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G:\Shared drives\M&amp;A (1)\1. Closed\2026.05.20_Firefly Lane\3. Post-Close PF Analysis\"/>
    </mc:Choice>
  </mc:AlternateContent>
  <xr:revisionPtr revIDLastSave="0" documentId="13_ncr:1_{892084BA-D9EB-4497-9279-F7F778CEABC5}" xr6:coauthVersionLast="47" xr6:coauthVersionMax="47" xr10:uidLastSave="{00000000-0000-0000-0000-000000000000}"/>
  <bookViews>
    <workbookView xWindow="-110" yWindow="-110" windowWidth="23260" windowHeight="14860" tabRatio="932" firstSheet="1" activeTab="4" xr2:uid="{00000000-000D-0000-FFFF-FFFF00000000}"/>
  </bookViews>
  <sheets>
    <sheet name="M&amp;A Reporting Slide - Old" sheetId="1" r:id="rId1"/>
    <sheet name="M&amp;A Reporting - New" sheetId="2" r:id="rId2"/>
    <sheet name="Valuation" sheetId="3" r:id="rId3"/>
    <sheet name="Sales &amp; Marketing Summary" sheetId="4" r:id="rId4"/>
    <sheet name="Adj. P&amp;L" sheetId="5" r:id="rId5"/>
    <sheet name="Revenue Analysis - Total" sheetId="6" r:id="rId6"/>
    <sheet name="Revenue Analysis - Barn" sheetId="7" r:id="rId7"/>
    <sheet name="Revenue Analysis - Chapel" sheetId="8" r:id="rId8"/>
    <sheet name="Events Summary" sheetId="9" r:id="rId9"/>
    <sheet name="Date Booked Summary" sheetId="10" r:id="rId10"/>
    <sheet name="Venue Specific--&gt;" sheetId="11" r:id="rId11"/>
    <sheet name="Go-Forward Payroll" sheetId="12" r:id="rId12"/>
    <sheet name="2024 Addbacks" sheetId="13" r:id="rId13"/>
    <sheet name="2025 Addbacks" sheetId="14" r:id="rId14"/>
    <sheet name="2026 Addbacks" sheetId="15" r:id="rId15"/>
    <sheet name="Leads &amp; Tours" sheetId="16" r:id="rId16"/>
    <sheet name="Averages" sheetId="17" r:id="rId17"/>
    <sheet name="All Inclusive Margin" sheetId="18" r:id="rId18"/>
    <sheet name="Future Events" sheetId="19" r:id="rId19"/>
    <sheet name="24-25 events" sheetId="20" r:id="rId20"/>
    <sheet name="Monthly P&amp;L" sheetId="21" r:id="rId21"/>
    <sheet name="2025 FY P&amp;L" sheetId="22" r:id="rId22"/>
    <sheet name="2026 P&amp;L" sheetId="23" r:id="rId23"/>
    <sheet name="WH--&gt;" sheetId="24" r:id="rId24"/>
    <sheet name="WH Rev &amp; Events Data" sheetId="25" r:id="rId25"/>
    <sheet name="FY25 By Venue Financials" sheetId="26" r:id="rId26"/>
    <sheet name="Monthly Events per venue" sheetId="27" r:id="rId27"/>
    <sheet name="P&amp;L Categories" sheetId="28" r:id="rId28"/>
    <sheet name="Checks" sheetId="29" r:id="rId29"/>
    <sheet name="Cash Flow" sheetId="30" r:id="rId30"/>
    <sheet name="Comparison" sheetId="31" r:id="rId31"/>
  </sheets>
  <definedNames>
    <definedName name="______key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I2" localSheetId="25">{"PVGraph2",#N/A,FALSE,"PV Data"}</definedName>
    <definedName name="_____I2" localSheetId="20">{"PVGraph2",#N/A,FALSE,"PV Data"}</definedName>
    <definedName name="_____I2">{"PVGraph2",#N/A,FALSE,"PV Data"}</definedName>
    <definedName name="_____I3" localSheetId="25">{"PVGraph2",#N/A,FALSE,"PV Data"}</definedName>
    <definedName name="_____I3" localSheetId="20">{"PVGraph2",#N/A,FALSE,"PV Data"}</definedName>
    <definedName name="_____I3">{"PVGraph2",#N/A,FALSE,"PV Data"}</definedName>
    <definedName name="_____key4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w1" localSheetId="25">{"PVGraph2",#N/A,FALSE,"PV Data"}</definedName>
    <definedName name="_____w1" localSheetId="20">{"PVGraph2",#N/A,FALSE,"PV Data"}</definedName>
    <definedName name="_____w1">{"PVGraph2",#N/A,FALSE,"PV Data"}</definedName>
    <definedName name="_____w2" localSheetId="25">{"PVGraph2",#N/A,FALSE,"PV Data"}</definedName>
    <definedName name="_____w2" localSheetId="20">{"PVGraph2",#N/A,FALSE,"PV Data"}</definedName>
    <definedName name="_____w2">{"PVGraph2",#N/A,FALSE,"PV Data"}</definedName>
    <definedName name="_____w3" localSheetId="25">{"PVGraph2",#N/A,FALSE,"PV Data"}</definedName>
    <definedName name="_____w3" localSheetId="20">{"PVGraph2",#N/A,FALSE,"PV Data"}</definedName>
    <definedName name="_____w3">{"PVGraph2",#N/A,FALSE,"PV Data"}</definedName>
    <definedName name="_____y2" localSheetId="25">{"PVGraph2",#N/A,FALSE,"PV Data"}</definedName>
    <definedName name="_____y2" localSheetId="20">{"PVGraph2",#N/A,FALSE,"PV Data"}</definedName>
    <definedName name="_____y2">{"PVGraph2",#N/A,FALSE,"PV Data"}</definedName>
    <definedName name="____key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I2" localSheetId="25">{"PVGraph2",#N/A,FALSE,"PV Data"}</definedName>
    <definedName name="___I2" localSheetId="20">{"PVGraph2",#N/A,FALSE,"PV Data"}</definedName>
    <definedName name="___I2">{"PVGraph2",#N/A,FALSE,"PV Data"}</definedName>
    <definedName name="___I3" localSheetId="25">{"PVGraph2",#N/A,FALSE,"PV Data"}</definedName>
    <definedName name="___I3" localSheetId="20">{"PVGraph2",#N/A,FALSE,"PV Data"}</definedName>
    <definedName name="___I3">{"PVGraph2",#N/A,FALSE,"PV Data"}</definedName>
    <definedName name="___key4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s1">#REF!</definedName>
    <definedName name="___s2">#REF!</definedName>
    <definedName name="___s3">#REF!</definedName>
    <definedName name="___s4">#REF!</definedName>
    <definedName name="___s5">#REF!</definedName>
    <definedName name="___s6">#REF!</definedName>
    <definedName name="___w1" localSheetId="25">{"PVGraph2",#N/A,FALSE,"PV Data"}</definedName>
    <definedName name="___w1" localSheetId="20">{"PVGraph2",#N/A,FALSE,"PV Data"}</definedName>
    <definedName name="___w1">{"PVGraph2",#N/A,FALSE,"PV Data"}</definedName>
    <definedName name="___w2" localSheetId="25">{"PVGraph2",#N/A,FALSE,"PV Data"}</definedName>
    <definedName name="___w2" localSheetId="20">{"PVGraph2",#N/A,FALSE,"PV Data"}</definedName>
    <definedName name="___w2">{"PVGraph2",#N/A,FALSE,"PV Data"}</definedName>
    <definedName name="___w3" localSheetId="25">{"PVGraph2",#N/A,FALSE,"PV Data"}</definedName>
    <definedName name="___w3" localSheetId="20">{"PVGraph2",#N/A,FALSE,"PV Data"}</definedName>
    <definedName name="___w3">{"PVGraph2",#N/A,FALSE,"PV Data"}</definedName>
    <definedName name="___y2" localSheetId="25">{"PVGraph2",#N/A,FALSE,"PV Data"}</definedName>
    <definedName name="___y2" localSheetId="20">{"PVGraph2",#N/A,FALSE,"PV Data"}</definedName>
    <definedName name="___y2">{"PVGraph2",#N/A,FALSE,"PV Data"}</definedName>
    <definedName name="__123Graph_A">#REF!</definedName>
    <definedName name="__123gRAPH_achart">#REF!</definedName>
    <definedName name="__123Graph_AChart1">#REF!</definedName>
    <definedName name="__123Graph_ACurrent">#REF!</definedName>
    <definedName name="__123Graph_AGRPH_EXPIRE">#REF!</definedName>
    <definedName name="__123Graph_AHMCISALES">#REF!</definedName>
    <definedName name="__123Graph_APRINCIPAL">#REF!</definedName>
    <definedName name="__123Graph_B">#REF!</definedName>
    <definedName name="__123Graph_BChart1">#REF!</definedName>
    <definedName name="__123Graph_BCurrent">#REF!</definedName>
    <definedName name="__123Graph_BFUEL">#REF!</definedName>
    <definedName name="__123Graph_BHMCISALES">#REF!</definedName>
    <definedName name="__123Graph_C">#REF!</definedName>
    <definedName name="__123Graph_CChart1">#REF!</definedName>
    <definedName name="__123Graph_CCurrent">#REF!</definedName>
    <definedName name="__123Graph_D">#REF!</definedName>
    <definedName name="__123Graph_DChart1">#REF!</definedName>
    <definedName name="__123Graph_DCurrent">#REF!</definedName>
    <definedName name="__123Graph_E">#REF!</definedName>
    <definedName name="__123Graph_EChart1">#REF!</definedName>
    <definedName name="__123Graph_ECurrent">#REF!</definedName>
    <definedName name="__123Graph_F">#REF!</definedName>
    <definedName name="__123Graph_LBL_APRINCIPAL">#REF!</definedName>
    <definedName name="__123Graph_X">#REF!</definedName>
    <definedName name="__123Graph_XChart1">#REF!</definedName>
    <definedName name="__123Graph_XCurrent">#REF!</definedName>
    <definedName name="__123Graph_XGRPH_EXPIRE">#REF!</definedName>
    <definedName name="__123Graph_XHMCISALES">#REF!</definedName>
    <definedName name="__abc">#REF!</definedName>
    <definedName name="__FDS_HYPERLINK_TOGGLE_STATE__">"ON"</definedName>
    <definedName name="__FDS_UNIQUE_RANGE_ID_GENERATOR_COUNTER">1</definedName>
    <definedName name="__IntlFixup">TRUE</definedName>
    <definedName name="__IntlFixupTable">#REF!</definedName>
    <definedName name="__key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>#REF!</definedName>
    <definedName name="__mp2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PL2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localSheetId="25">{#N/A,#N/A,FALSE,"Report Data";#N/A,#N/A,FALSE,"COMP POOL";#N/A,#N/A,FALSE,"COMP POOL NB95";#N/A,#N/A,FALSE,"COMP POOL NB94"}</definedName>
    <definedName name="__PL4" localSheetId="20">{#N/A,#N/A,FALSE,"Report Data";#N/A,#N/A,FALSE,"COMP POOL";#N/A,#N/A,FALSE,"COMP POOL NB95";#N/A,#N/A,FALSE,"COMP POOL NB94"}</definedName>
    <definedName name="__PL4">{#N/A,#N/A,FALSE,"Report Data";#N/A,#N/A,FALSE,"COMP POOL";#N/A,#N/A,FALSE,"COMP POOL NB95";#N/A,#N/A,FALSE,"COMP POOL NB94"}</definedName>
    <definedName name="__PL5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s1">#REF!</definedName>
    <definedName name="__s2">#REF!</definedName>
    <definedName name="__s3">#REF!</definedName>
    <definedName name="__s4">#REF!</definedName>
    <definedName name="__s5">#REF!</definedName>
    <definedName name="__s6">#REF!</definedName>
    <definedName name="__t9" localSheetId="25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 localSheetId="20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ver1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1__123Graph_ACHART_1">#REF!</definedName>
    <definedName name="_1__123Graph_ACHART_10">#REF!</definedName>
    <definedName name="_1__FDSAUDITLINK__" localSheetId="25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__FDSAUDITLINK__" localSheetId="20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__FDSAUDITLINK__">{"fdsup://IBCentral/FAT Viewer?action=UPDATE&amp;creator=factset&amp;DOC_NAME=fat:reuters_semi_source_window.fat&amp;display_string=Audit&amp;DYN_ARGS=TRUE&amp;VAR:ID1=70501510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10__123Graph_ACHART_9">#REF!</definedName>
    <definedName name="_10__123Graph_CCHART_3">#REF!</definedName>
    <definedName name="_10__FDSAUDITLINK__" localSheetId="25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" localSheetId="20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1__123Graph_BCHART_10">#REF!</definedName>
    <definedName name="_11__123Graph_DCHART_1">#REF!</definedName>
    <definedName name="_11__FDSAUDITLINK__" localSheetId="25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" localSheetId="20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2__123Graph_BCHART_11">#REF!</definedName>
    <definedName name="_12__123Graph_ECHART_1">#REF!</definedName>
    <definedName name="_12__FDSAUDITLINK__" localSheetId="25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" localSheetId="20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3Graph_C">#REF!</definedName>
    <definedName name="_13__123Graph_BCHART_12">#REF!</definedName>
    <definedName name="_13__123Graph_FCHART_1">#REF!</definedName>
    <definedName name="_13__FDSAUDITLINK__" localSheetId="25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" localSheetId="20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4__123Graph_BCHART_13">#REF!</definedName>
    <definedName name="_14__123Graph_LBL_ACHART_2">#REF!</definedName>
    <definedName name="_14__FDSAUDITLINK__" localSheetId="25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" localSheetId="20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5__123Graph_BCHART_14">#REF!</definedName>
    <definedName name="_15__123Graph_LBL_ACHART_3">#REF!</definedName>
    <definedName name="_15__FDSAUDITLINK__" localSheetId="25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" localSheetId="20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01_01">#REF!</definedName>
    <definedName name="_15_01_02">#REF!</definedName>
    <definedName name="_15_01_03">#REF!</definedName>
    <definedName name="_15_01_04">#REF!</definedName>
    <definedName name="_15_01_05">#REF!</definedName>
    <definedName name="_15_01_10">#REF!</definedName>
    <definedName name="_16__123Graph_BCHART_15">#REF!</definedName>
    <definedName name="_16__123Graph_LBL_ACHART_4">#REF!</definedName>
    <definedName name="_16__FDSAUDITLINK__" localSheetId="25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" localSheetId="20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7__123Graph_BCHART_16">#REF!</definedName>
    <definedName name="_17__123Graph_LBL_BCHART_2">#REF!</definedName>
    <definedName name="_17__FDSAUDITLINK__" localSheetId="25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" localSheetId="20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9_0_S">#REF!</definedName>
    <definedName name="_18__123Graph_BCHART_17">#REF!</definedName>
    <definedName name="_18__123Graph_LBL_BCHART_3">#REF!</definedName>
    <definedName name="_18__FDSAUDITLINK__" localSheetId="25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" localSheetId="20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0_0_S">#REF!</definedName>
    <definedName name="_19__123Graph_BCHART_18">#REF!</definedName>
    <definedName name="_19__123Graph_LBL_CCHART_2">#REF!</definedName>
    <definedName name="_19__FDSAUDITLINK__" localSheetId="25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" localSheetId="20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2__123Graph_ACHART_11">#REF!</definedName>
    <definedName name="_2__123Graph_ACHART_2">#REF!</definedName>
    <definedName name="_2__FDSAUDITLINK__" localSheetId="25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__FDSAUDITLINK__" localSheetId="20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__FDSAUDITLINK__">{"fdsup://IBCentral/FAT Viewer?action=UPDATE&amp;creator=factset&amp;DOC_NAME=fat:reuters_semi_source_window.fat&amp;display_string=Audit&amp;DYN_ARGS=TRUE&amp;VAR:ID1=75820520&amp;VAR:RCODE=SALES&amp;VAR:SDATE=20080699&amp;VAR:FREQ=FSA&amp;VAR:RELITEM=RF&amp;VAR:CURRENCY=USD&amp;VAR:CURRSOURCE=EXSHA","RE&amp;VAR:NATFREQ=FSA&amp;VAR:RFIELD=FINALIZED&amp;VAR:DB_TYPE=&amp;VAR:UNITS=MONTHLY&amp;window=popup&amp;width=450&amp;height=300&amp;START_MAXIMIZED=FALSE"}</definedName>
    <definedName name="_20__123Graph_BCHART_8">#REF!</definedName>
    <definedName name="_20__123Graph_LBL_CCHART_3">#REF!</definedName>
    <definedName name="_20__FDSAUDITLINK__" localSheetId="25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" localSheetId="20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1__123Graph_BCHART_9">#REF!</definedName>
    <definedName name="_21_0__123Grap">#REF!</definedName>
    <definedName name="_22__123Graph_CCHART_10">#REF!</definedName>
    <definedName name="_22_0_0__123Grap">#REF!</definedName>
    <definedName name="_23__123Graph_CCHART_11">#REF!</definedName>
    <definedName name="_24__123Graph_CCHART_12">#REF!</definedName>
    <definedName name="_25__123Graph_CCHART_13">#REF!</definedName>
    <definedName name="_26__123Graph_CCHART_14">#REF!</definedName>
    <definedName name="_269_0_Table2_">#REF!</definedName>
    <definedName name="_27__123Graph_CCHART_15">#REF!</definedName>
    <definedName name="_270_0_Table2_">#REF!</definedName>
    <definedName name="_28__123Graph_CCHART_16">#REF!</definedName>
    <definedName name="_29__123Graph_CCHART_17">#REF!</definedName>
    <definedName name="_3__123Graph_ACHART_12">#REF!</definedName>
    <definedName name="_3__123Graph_ACHART_3">#REF!</definedName>
    <definedName name="_3__FDSAUDITLINK__" localSheetId="25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__FDSAUDITLINK__" localSheetId="20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__FDSAUDITLINK__">{"fdsup://IBCentral/FAT Viewer?action=UPDATE&amp;creator=factset&amp;DOC_NAME=fat:reuters_semi_source_window.fat&amp;display_string=Audit&amp;DYN_ARGS=TRUE&amp;VAR:ID1=70501510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30__123Graph_CCHART_18">#REF!</definedName>
    <definedName name="_31__123Graph_CCHART_8">#REF!</definedName>
    <definedName name="_32__123Graph_CCHART_9">#REF!</definedName>
    <definedName name="_33__123Graph_LBL_ACHART_10">#REF!</definedName>
    <definedName name="_34__123Graph_LBL_ACHART_11">#REF!</definedName>
    <definedName name="_35__123Graph_LBL_ACHART_12">#REF!</definedName>
    <definedName name="_359_0_Table2_">#REF!</definedName>
    <definedName name="_36__123Graph_LBL_ACHART_13">#REF!</definedName>
    <definedName name="_360_0_Table2_">#REF!</definedName>
    <definedName name="_37__123Graph_LBL_ACHART_14">#REF!</definedName>
    <definedName name="_38__123Graph_LBL_ACHART_15">#REF!</definedName>
    <definedName name="_39__123Graph_LBL_ACHART_16">#REF!</definedName>
    <definedName name="_4__123Graph_ACHART_13">#REF!</definedName>
    <definedName name="_4__123Graph_ACHART_4">#REF!</definedName>
    <definedName name="_4__FDSAUDITLINK__" localSheetId="25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__FDSAUDITLINK__" localSheetId="20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__FDSAUDITLINK__">{"fdsup://IBCentral/FAT Viewer?action=UPDATE&amp;creator=factset&amp;DOC_NAME=fat:reuters_semi_source_window.fat&amp;display_string=Audit&amp;DYN_ARGS=TRUE&amp;VAR:ID1=75820520&amp;VAR:RCODE=EBITDA&amp;VAR:SDATE=20080699&amp;VAR:FREQ=FSA&amp;VAR:RELITEM=RF&amp;VAR:CURRENCY=USD&amp;VAR:CURRSOURCE=EXSH","ARE&amp;VAR:NATFREQ=FSA&amp;VAR:RFIELD=FINALIZED&amp;VAR:DB_TYPE=&amp;VAR:UNITS=MONTHLY&amp;window=popup&amp;width=450&amp;height=300&amp;START_MAXIMIZED=FALSE"}</definedName>
    <definedName name="_40__123Graph_LBL_ACHART_17">#REF!</definedName>
    <definedName name="_41__123Graph_LBL_ACHART_18">#REF!</definedName>
    <definedName name="_42__123Graph_LBL_ACHART_8">#REF!</definedName>
    <definedName name="_43__123Graph_LBL_ACHART_9">#REF!</definedName>
    <definedName name="_44__123Graph_LBL_BCHART_10">#REF!</definedName>
    <definedName name="_45__123Graph_LBL_BCHART_11">#REF!</definedName>
    <definedName name="_46__123Graph_LBL_BCHART_12">#REF!</definedName>
    <definedName name="_47__123Graph_LBL_BCHART_13">#REF!</definedName>
    <definedName name="_48__123Graph_LBL_BCHART_14">#REF!</definedName>
    <definedName name="_49__123Graph_LBL_BCHART_15">#REF!</definedName>
    <definedName name="_5__123Graph_ACHART_14">#REF!</definedName>
    <definedName name="_5__123Graph_BCHART_1">#REF!</definedName>
    <definedName name="_5__FDSAUDITLINK__" localSheetId="25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" localSheetId="20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0__123Graph_LBL_BCHART_16">#REF!</definedName>
    <definedName name="_51__123Graph_LBL_BCHART_17">#REF!</definedName>
    <definedName name="_52__123Graph_LBL_BCHART_18">#REF!</definedName>
    <definedName name="_53__123Graph_LBL_BCHART_8">#REF!</definedName>
    <definedName name="_54__123Graph_LBL_BCHART_9">#REF!</definedName>
    <definedName name="_55__123Graph_LBL_CCHART_10">#REF!</definedName>
    <definedName name="_56__123Graph_LBL_CCHART_11">#REF!</definedName>
    <definedName name="_57__123Graph_LBL_CCHART_12">#REF!</definedName>
    <definedName name="_58__123Graph_LBL_CCHART_13">#REF!</definedName>
    <definedName name="_59__123Graph_LBL_CCHART_14">#REF!</definedName>
    <definedName name="_6__123Graph_ACHART_15">#REF!</definedName>
    <definedName name="_6__123Graph_BCHART_2">#REF!</definedName>
    <definedName name="_6__FDSAUDITLINK__" localSheetId="25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" localSheetId="20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0__123Graph_LBL_CCHART_15">#REF!</definedName>
    <definedName name="_61__123Graph_LBL_CCHART_16">#REF!</definedName>
    <definedName name="_62__123Graph_LBL_CCHART_17">#REF!</definedName>
    <definedName name="_63__123Graph_LBL_CCHART_18">#REF!</definedName>
    <definedName name="_64__123Graph_LBL_CCHART_8">#REF!</definedName>
    <definedName name="_65__123Graph_LBL_CCHART_9">#REF!</definedName>
    <definedName name="_7__123Graph_ACHART_16">#REF!</definedName>
    <definedName name="_7__123Graph_BCHART_3">#REF!</definedName>
    <definedName name="_7__FDSAUDITLINK__" localSheetId="25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" localSheetId="20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8__123Graph_ACHART_17">#REF!</definedName>
    <definedName name="_8__123Graph_CCHART_1">#REF!</definedName>
    <definedName name="_8__FDSAUDITLINK__" localSheetId="25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" localSheetId="20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9_0_Table2_">#REF!</definedName>
    <definedName name="_9__123Graph_ACHART_18">#REF!</definedName>
    <definedName name="_9__123Graph_CCHART_2">#REF!</definedName>
    <definedName name="_9__FDSAUDITLINK__" localSheetId="25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" localSheetId="20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0_0_Table2_">#REF!</definedName>
    <definedName name="_A11" localSheetId="25">{#N/A,#N/A,FALSE,"Umsatz 99";#N/A,#N/A,FALSE,"ER 99 "}</definedName>
    <definedName name="_A11" localSheetId="20">{#N/A,#N/A,FALSE,"Umsatz 99";#N/A,#N/A,FALSE,"ER 99 "}</definedName>
    <definedName name="_A11">{#N/A,#N/A,FALSE,"Umsatz 99";#N/A,#N/A,FALSE,"ER 99 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1</definedName>
    <definedName name="_AtRisk_SimSetting_StdRecalcWithoutRiskStaticPercentile">0.5</definedName>
    <definedName name="_bdm.00EC971BF37311D6B67A0010A48BFF38.edm">#REF!</definedName>
    <definedName name="_bdm.05AD755AE1B644BCB6FF7AF6D6C94EE7.edm">#REF!</definedName>
    <definedName name="_bdm.074EB0C6AAE811D6B66B0010A4863BD8.edm">#REF!</definedName>
    <definedName name="_bdm.07E0E43621F04002BD2382A713A03758.edm">#REF!</definedName>
    <definedName name="_bdm.0B5E4A07F78E4E3E923312BD37FD77A2.edm">#REF!</definedName>
    <definedName name="_bdm.0E56D9750BC64403BB3CB88CB3D2E42D.edm">#REF!</definedName>
    <definedName name="_bdm.0E72569B534E450BBDD4D4C08A228512.edm">#REF!</definedName>
    <definedName name="_bdm.0F288D482B984B9FB7CF701B327B593C.edm">#REF!</definedName>
    <definedName name="_bdm.0F34FE049B5F4EFDBB16037DB1A02E9D.edm">#REF!</definedName>
    <definedName name="_bdm.14263D1F2D814D5EB1F95B1D6957384D.edm">#REF!</definedName>
    <definedName name="_bdm.1742263542124AF3BCE865208D9E404D.edm">#REF!</definedName>
    <definedName name="_bdm.196E2C1A7BD14EB9BA42E1F187F09491.edm">#REF!</definedName>
    <definedName name="_bdm.1D220B6B5B164370A3CF21AC7A43A0CE.edm">#REF!</definedName>
    <definedName name="_bdm.206C2D94AA3711D6B64A0010A494EFA8.edm">#REF!</definedName>
    <definedName name="_bdm.206C2DBCAA3711D6B64A0010A494EFA8.edm">#REF!</definedName>
    <definedName name="_bdm.2398C53567284E5E8937DD13BB789BD3.edm">#REF!</definedName>
    <definedName name="_bdm.25A9C63C58E0417DB5AA529D4513182D.edm">#REF!</definedName>
    <definedName name="_bdm.28F3C3B79E43484AA41A87D12ADB61B5.edm">#REF!</definedName>
    <definedName name="_bdm.29B6C90491534050B2C5F5D0FAC008D1.edm">#REF!</definedName>
    <definedName name="_bdm.2A5234D8A73011D6B6510010A48BFF38.edm">#REF!</definedName>
    <definedName name="_bdm.2F7A28C715A34E59ACD47BF4ACFF5BEC.edm">#REF!</definedName>
    <definedName name="_bdm.300AD74A4CB340EC819E80CB01F466A0.edm">#REF!</definedName>
    <definedName name="_bdm.31C6ADD3175943F4ACA95FC143D2714C.edm">#REF!</definedName>
    <definedName name="_bdm.327AEDCC6C414E00B9100D2BCE280864.edm">#REF!</definedName>
    <definedName name="_bdm.327EA03D3A584F82A302CFE810FD977E.edm">#REF!</definedName>
    <definedName name="_bdm.329FD9CDA97C40029C4A921D6224414B.edm">#REF!</definedName>
    <definedName name="_bdm.3803A7941AB5419A8F5B3F22659B0C31.edm">#REF!</definedName>
    <definedName name="_bdm.39C9E15CE9D24374A40E40FCDF6B0E3F.edm">#REF!</definedName>
    <definedName name="_bdm.3F3D154789DB4E3D9F8942A23646B270.edm">#REF!</definedName>
    <definedName name="_bdm.43BEFD54E5614A47BA6CC71AF25685D4.edm">#REF!</definedName>
    <definedName name="_bdm.475844AEC35A11D6B6A80010A4860669.edm">#REF!</definedName>
    <definedName name="_bdm.4A08328614CA492D939A7F87E1A801F3.edm">#REF!</definedName>
    <definedName name="_bdm.4CE945BFE9BA4627920222D07C48D847.edm">#REF!</definedName>
    <definedName name="_bdm.4DC3AE1E0F744F5D9EF18EA21D885678.edm">#REF!</definedName>
    <definedName name="_bdm.4E2453ACA1164E4F9DE66B578B5DC673.edm">#REF!</definedName>
    <definedName name="_bdm.50CB2E76FF304AF5BC48EE41236B683F.edm">#REF!</definedName>
    <definedName name="_bdm.5899DA80924A4C1182E5C7D6095DD314.edm">#REF!</definedName>
    <definedName name="_bdm.5AF8C68B1B4D4725A2EF100AD746D415.edm">#REF!</definedName>
    <definedName name="_bdm.5C6D0D9D93BD4742A18A5B8A51E9F99E.edm">#REF!</definedName>
    <definedName name="_bdm.5D5229D5282B49A7980F2D932A2FEEF7.edm">#REF!</definedName>
    <definedName name="_bdm.5D8D55B204CB487ABFE89E021F786C24.edm">#REF!</definedName>
    <definedName name="_bdm.635BC897BE9843D6A2C05F29B3D114D3.edm">#REF!</definedName>
    <definedName name="_bdm.680534A8CE05489CAF305B50B8D9395C.edm">#REF!</definedName>
    <definedName name="_bdm.68C63F4515314BF89862B5A20C1BD7F8.edm">#REF!</definedName>
    <definedName name="_bdm.6F44DF6EBF3D4432A71DF03D4DA26537.edm">#REF!</definedName>
    <definedName name="_bdm.716C82294FCE49368394CA76ECC4B77E.edm">#REF!</definedName>
    <definedName name="_bdm.726808AF6ACB495FA1B21036DFA75F1F.edm">#REF!</definedName>
    <definedName name="_bdm.75AEB8ED3BB74DDAAF13881E19CF0474.edm">#REF!</definedName>
    <definedName name="_bdm.76CB26C38BD6425B8EF13D4F9F050D8C.edm">#REF!</definedName>
    <definedName name="_bdm.77CA350A03D2489DBB902CDB2CC7E9F3.edm">#REF!</definedName>
    <definedName name="_bdm.77E3DB1B6A6448A88B71EC33708EDC78.edm">#REF!</definedName>
    <definedName name="_bdm.78B77DCD689A43EC883A79537C2E8408.edm">#REF!</definedName>
    <definedName name="_bdm.7959C39354BF4F3ABC81E2A6699346C1.edm">#REF!</definedName>
    <definedName name="_bdm.7BF116DE38A64470B4E18265DDE92DC0.edm">#REF!</definedName>
    <definedName name="_bdm.7C94300BA80D11D6B6520010A48BFF38.edm">#REF!</definedName>
    <definedName name="_bdm.7EE93FC3EF8B41A381740C6EDDE1E054.edm">#REF!</definedName>
    <definedName name="_bdm.803667C105C14884B5A6CB9298713468.edm">#REF!</definedName>
    <definedName name="_bdm.8307BA67B82942F3B5BCD3344CBC5EA0.edm">#REF!</definedName>
    <definedName name="_bdm.85F99FB96C224F8482F51D4AD9BF740E.edm">#REF!</definedName>
    <definedName name="_bdm.866793E555E14A479418CA224096B3B9.edm">#REF!</definedName>
    <definedName name="_bdm.88A58D7B814543689B428BE93961D66B.edm">#REF!</definedName>
    <definedName name="_bdm.8AC5004ED9FA4C37B745BB1EC4596BFF.edm">#REF!</definedName>
    <definedName name="_bdm.8FA12110325948FA90C24B82026C71CD.edm">#REF!</definedName>
    <definedName name="_bdm.90CC2D6911E2485397367C6312CF7CDC.edm">#REF!</definedName>
    <definedName name="_bdm.983AC8FF6A984882AED2CBB174642E2F.edm">#REF!</definedName>
    <definedName name="_bdm.98509675FE304640BD0099E41768A4DB.edm">#REF!</definedName>
    <definedName name="_bdm.98A6FF5E6E104127A4B3CE93863956AF.edm">#REF!</definedName>
    <definedName name="_bdm.9E3E5EABC4C4443999EB4F89DEA4A0DF.edm">#REF!</definedName>
    <definedName name="_bdm.9ECB63A12E9F4B9C88C18E0F4ACCFD11.edm">#REF!</definedName>
    <definedName name="_bdm.A00643E6A705476084A5F584F5934ED2.edm">#REF!</definedName>
    <definedName name="_bdm.A5079CC3AD6E11D6B69B0010A4860669.edm">#REF!</definedName>
    <definedName name="_bdm.A5ACD67A37814D1AB59C856D8B6F2DF0.edm">#REF!</definedName>
    <definedName name="_bdm.A835AB8BC6DC49ACA93174F81142BACB.edm">#REF!</definedName>
    <definedName name="_bdm.A9433F36D27E42998843D0702B3398CD.edm">#REF!</definedName>
    <definedName name="_bdm.AF0260D98F014A439AD500890343FDE2.edm">#REF!</definedName>
    <definedName name="_bdm.B91BF0A48D364AFE9B706DF758CA7B5B.edm">#REF!</definedName>
    <definedName name="_bdm.BA759280F5E749B5B422ACEA85F12DF4.edm">#REF!</definedName>
    <definedName name="_bdm.BD31A80AEEEA484CB8BF6204D87FC893.edm">#REF!</definedName>
    <definedName name="_bdm.C0D40696085E49099831902D538DE4D4.edm">#REF!</definedName>
    <definedName name="_bdm.C194714595F14520AA52E6501AEC9C62.edm">#REF!</definedName>
    <definedName name="_bdm.C3E13177535448438E150830D06FAD0D.edm">#REF!</definedName>
    <definedName name="_bdm.C7B3922953C6426985C1620C7A3C7EDA.edm">#REF!</definedName>
    <definedName name="_bdm.C8F013BD01514019A9E0C4F939E2056B.edm">#REF!</definedName>
    <definedName name="_bdm.CBCE49ABF7054C7D8635DCFD42C62637.edm">#REF!</definedName>
    <definedName name="_bdm.CF26F181CFB149089A150B6E9984E88F.edm">#REF!</definedName>
    <definedName name="_bdm.D43A6B2A947B4EA9A42335B05D28E8EB.edm">#REF!</definedName>
    <definedName name="_bdm.D5FAA374367241959C322560ED7F8A37.edm">#REF!</definedName>
    <definedName name="_bdm.DA40FBE9A21F45CAAF44C89D86D767E0.edm">#REF!</definedName>
    <definedName name="_bdm.E759967588A5442C9B723120C8E73070.edm">#REF!</definedName>
    <definedName name="_bdm.E8E49C6DF7BD45AE9D28FA42F05764BF.edm">#REF!</definedName>
    <definedName name="_bdm.F0C4D0A06132474297172E66F1E293D3.edm">#REF!</definedName>
    <definedName name="_bdm.F16CDE695B5146908E78CDD9F5E25F2C.edm">#REF!</definedName>
    <definedName name="_bdm.FA5944A4D7D644CA8283449B5AE2024F.edm">#REF!</definedName>
    <definedName name="_bdm.FastTrackBookmark.6_19_2005_7_04_22_PM.edm">#REF!</definedName>
    <definedName name="_bdm.FastTrackBookmark.8_9_2005_9_50_48_AM.edm">#REF!</definedName>
    <definedName name="_bdm.FB06355068A6473E8BFD84F095498EEF.edm">#REF!</definedName>
    <definedName name="_bdm.FD8F10FA8D994788AC408DD34035755E.edm">#REF!</definedName>
    <definedName name="_bdm.ToolkitBookmark.1_24_2004_11_15_31_PM.edm">#REF!</definedName>
    <definedName name="_bdm.ToolkitBookmark.1_24_2004_8_24_02_PM.edm">#REF!</definedName>
    <definedName name="_bdm.ToolkitBookmark.1_24_2004_8_54_41_PM.edm">#REF!</definedName>
    <definedName name="_bdm.ToolkitBookmark.1_25_2004_9_47_15_PM.edm">#REF!</definedName>
    <definedName name="_bdm.ToolkitBookmark.1_25_2004_9_47_23_PM.edm">#REF!</definedName>
    <definedName name="_BQ4.2">#REF!</definedName>
    <definedName name="_BQ4.3">#REF!</definedName>
    <definedName name="_c" localSheetId="25">{"Fiesta Facer Page",#N/A,FALSE,"Q_C_S";"Fiesta Main Page",#N/A,FALSE,"V_L";"Fiesta 95BP Struct",#N/A,FALSE,"StructBP";"Fiesta Post 95BP Struct",#N/A,FALSE,"AdjStructBP"}</definedName>
    <definedName name="_c" localSheetId="20">{"Fiesta Facer Page",#N/A,FALSE,"Q_C_S";"Fiesta Main Page",#N/A,FALSE,"V_L";"Fiesta 95BP Struct",#N/A,FALSE,"StructBP";"Fiesta Post 95BP Struct",#N/A,FALSE,"AdjStructBP"}</definedName>
    <definedName name="_c">{"Fiesta Facer Page",#N/A,FALSE,"Q_C_S";"Fiesta Main Page",#N/A,FALSE,"V_L";"Fiesta 95BP Struct",#N/A,FALSE,"StructBP";"Fiesta Post 95BP Struct",#N/A,FALSE,"AdjStructBP"}</definedName>
    <definedName name="_c83" localSheetId="25">{0,0,0,0;0,0,0,0;0,0,0,0}</definedName>
    <definedName name="_c83" localSheetId="20">{0,0,0,0;0,0,0,0;0,0,0,0}</definedName>
    <definedName name="_c83">{0,0,0,0;0,0,0,0;0,0,0,0}</definedName>
    <definedName name="_cd1" localSheetId="25">{#N/A,#N/A,FALSE,"Job Sched"}</definedName>
    <definedName name="_cd1" localSheetId="20">{#N/A,#N/A,FALSE,"Job Sched"}</definedName>
    <definedName name="_cd1">{#N/A,#N/A,FALSE,"Job Sched"}</definedName>
    <definedName name="_cd2" localSheetId="25">{#N/A,#N/A,FALSE,"Job Sched"}</definedName>
    <definedName name="_cd2" localSheetId="20">{#N/A,#N/A,FALSE,"Job Sched"}</definedName>
    <definedName name="_cd2">{#N/A,#N/A,FALSE,"Job Sched"}</definedName>
    <definedName name="_CD3" localSheetId="25">{#N/A,#N/A,FALSE,"Job Sched"}</definedName>
    <definedName name="_CD3" localSheetId="20">{#N/A,#N/A,FALSE,"Job Sched"}</definedName>
    <definedName name="_CD3">{#N/A,#N/A,FALSE,"Job Sched"}</definedName>
    <definedName name="_cd4" localSheetId="25">{#N/A,#N/A,FALSE,"Job Sched"}</definedName>
    <definedName name="_cd4" localSheetId="20">{#N/A,#N/A,FALSE,"Job Sched"}</definedName>
    <definedName name="_cd4">{#N/A,#N/A,FALSE,"Job Sched"}</definedName>
    <definedName name="_Cd5" localSheetId="25">{#N/A,#N/A,FALSE,"A"}</definedName>
    <definedName name="_Cd5" localSheetId="20">{#N/A,#N/A,FALSE,"A"}</definedName>
    <definedName name="_Cd5">{#N/A,#N/A,FALSE,"A"}</definedName>
    <definedName name="_cd8" localSheetId="25">{#N/A,#N/A,FALSE,"Job Sched"}</definedName>
    <definedName name="_cd8" localSheetId="20">{#N/A,#N/A,FALSE,"Job Sched"}</definedName>
    <definedName name="_cd8">{#N/A,#N/A,FALSE,"Job Sched"}</definedName>
    <definedName name="_dff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Values">#REF!</definedName>
    <definedName name="_fdf1" localSheetId="25">{"incomemth",#N/A,TRUE,"forecast00";"incomepercentmth",#N/A,TRUE,"forecast00";"balancemth",#N/A,TRUE,"forecast00";"cashmth",#N/A,TRUE,"forecast00";"covenantmth",#N/A,TRUE,"forecast00"}</definedName>
    <definedName name="_fdf1" localSheetId="20">{"incomemth",#N/A,TRUE,"forecast00";"incomepercentmth",#N/A,TRUE,"forecast00";"balancemth",#N/A,TRUE,"forecast00";"cashmth",#N/A,TRUE,"forecast00";"covenantmth",#N/A,TRUE,"forecast00"}</definedName>
    <definedName name="_fdf1">{"incomemth",#N/A,TRUE,"forecast00";"incomepercentmth",#N/A,TRUE,"forecast00";"balancemth",#N/A,TRUE,"forecast00";"cashmth",#N/A,TRUE,"forecast00";"covenantmth",#N/A,TRUE,"forecast00"}</definedName>
    <definedName name="_fdg1" localSheetId="25">{"incomemth",#N/A,TRUE,"forecast00";"incomepercentmth",#N/A,TRUE,"forecast00";"balancemth",#N/A,TRUE,"forecast00";"cashmth",#N/A,TRUE,"forecast00";"covenantmth",#N/A,TRUE,"forecast00"}</definedName>
    <definedName name="_fdg1" localSheetId="20">{"incomemth",#N/A,TRUE,"forecast00";"incomepercentmth",#N/A,TRUE,"forecast00";"balancemth",#N/A,TRUE,"forecast00";"cashmth",#N/A,TRUE,"forecast00";"covenantmth",#N/A,TRUE,"forecast00"}</definedName>
    <definedName name="_fdg1">{"incomemth",#N/A,TRUE,"forecast00";"incomepercentmth",#N/A,TRUE,"forecast00";"balancemth",#N/A,TRUE,"forecast00";"cashmth",#N/A,TRUE,"forecast00";"covenantmth",#N/A,TRUE,"forecast00"}</definedName>
    <definedName name="_fds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d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>#REF!</definedName>
    <definedName name="_xlnm._FilterDatabase" localSheetId="18" hidden="1">'Future Events'!$A$2:$AC$226</definedName>
    <definedName name="_gf1" localSheetId="25">{"incomemth",#N/A,TRUE,"forecast00";"incomepercentmth",#N/A,TRUE,"forecast00";"balancemth",#N/A,TRUE,"forecast00";"cashmth",#N/A,TRUE,"forecast00";"covenantmth",#N/A,TRUE,"forecast00"}</definedName>
    <definedName name="_gf1" localSheetId="20">{"incomemth",#N/A,TRUE,"forecast00";"incomepercentmth",#N/A,TRUE,"forecast00";"balancemth",#N/A,TRUE,"forecast00";"cashmth",#N/A,TRUE,"forecast00";"covenantmth",#N/A,TRUE,"forecast00"}</definedName>
    <definedName name="_gf1">{"incomemth",#N/A,TRUE,"forecast00";"incomepercentmth",#N/A,TRUE,"forecast00";"balancemth",#N/A,TRUE,"forecast00";"cashmth",#N/A,TRUE,"forecast00";"covenantmth",#N/A,TRUE,"forecast00"}</definedName>
    <definedName name="_GSRATES_1">"CT300001Latest          "</definedName>
    <definedName name="_GSRATES_2">"CT300001Latest          "</definedName>
    <definedName name="_GSRATES_3">"CT300001Latest          "</definedName>
    <definedName name="_GSRATES_4">"CT300001Latest          "</definedName>
    <definedName name="_GSRATES_5">"CT300001Latest          "</definedName>
    <definedName name="_GSRATES_6">"CT300001Latest          "</definedName>
    <definedName name="_GSRATES_COUNT">1</definedName>
    <definedName name="_hod2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localSheetId="25">{"PVGraph2",#N/A,FALSE,"PV Data"}</definedName>
    <definedName name="_I2" localSheetId="20">{"PVGraph2",#N/A,FALSE,"PV Data"}</definedName>
    <definedName name="_I2">{"PVGraph2",#N/A,FALSE,"PV Data"}</definedName>
    <definedName name="_I3" localSheetId="25">{"PVGraph2",#N/A,FALSE,"PV Data"}</definedName>
    <definedName name="_I3" localSheetId="20">{"PVGraph2",#N/A,FALSE,"PV Data"}</definedName>
    <definedName name="_I3">{"PVGraph2",#N/A,FALSE,"PV Data"}</definedName>
    <definedName name="_ibo2" localSheetId="25">{#N/A,#N/A,FALSE,"Summary";#N/A,#N/A,FALSE,"Projections";#N/A,#N/A,FALSE,"Mkt Mults";#N/A,#N/A,FALSE,"DCF";#N/A,#N/A,FALSE,"Accr Dil";#N/A,#N/A,FALSE,"PIC LBO";#N/A,#N/A,FALSE,"MULT10_4";#N/A,#N/A,FALSE,"CBI LBO"}</definedName>
    <definedName name="_ibo2" localSheetId="20">{#N/A,#N/A,FALSE,"Summary";#N/A,#N/A,FALSE,"Projections";#N/A,#N/A,FALSE,"Mkt Mults";#N/A,#N/A,FALSE,"DCF";#N/A,#N/A,FALSE,"Accr Dil";#N/A,#N/A,FALSE,"PIC LBO";#N/A,#N/A,FALSE,"MULT10_4";#N/A,#N/A,FALSE,"CBI LBO"}</definedName>
    <definedName name="_ibo2">{#N/A,#N/A,FALSE,"Summary";#N/A,#N/A,FALSE,"Projections";#N/A,#N/A,FALSE,"Mkt Mults";#N/A,#N/A,FALSE,"DCF";#N/A,#N/A,FALSE,"Accr Dil";#N/A,#N/A,FALSE,"PIC LBO";#N/A,#N/A,FALSE,"MULT10_4";#N/A,#N/A,FALSE,"CBI LBO"}</definedName>
    <definedName name="_Key">#REF!</definedName>
    <definedName name="_Key1">#REF!</definedName>
    <definedName name="_key2">#REF!</definedName>
    <definedName name="_key3">#REF!</definedName>
    <definedName name="_key4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>#REF!</definedName>
    <definedName name="_mfg2" localSheetId="25">{"PAGE 1",#N/A,FALSE,"WEST_OT"}</definedName>
    <definedName name="_mfg2" localSheetId="20">{"PAGE 1",#N/A,FALSE,"WEST_OT"}</definedName>
    <definedName name="_mfg2">{"PAGE 1",#N/A,FALSE,"WEST_OT"}</definedName>
    <definedName name="_mfg3" localSheetId="25">{"PAGE 1",#N/A,FALSE,"WEST_OT"}</definedName>
    <definedName name="_mfg3" localSheetId="20">{"PAGE 1",#N/A,FALSE,"WEST_OT"}</definedName>
    <definedName name="_mfg3">{"PAGE 1",#N/A,FALSE,"WEST_OT"}</definedName>
    <definedName name="_mfg4" localSheetId="25">{"PAGE 1",#N/A,FALSE,"WEST_OT"}</definedName>
    <definedName name="_mfg4" localSheetId="20">{"PAGE 1",#N/A,FALSE,"WEST_OT"}</definedName>
    <definedName name="_mfg4">{"PAGE 1",#N/A,FALSE,"WEST_OT"}</definedName>
    <definedName name="_mfg5" localSheetId="25">{"PAGE 1",#N/A,FALSE,"WEST_OT"}</definedName>
    <definedName name="_mfg5" localSheetId="20">{"PAGE 1",#N/A,FALSE,"WEST_OT"}</definedName>
    <definedName name="_mfg5">{"PAGE 1",#N/A,FALSE,"WEST_OT"}</definedName>
    <definedName name="_nm12" localSheetId="25">{#N/A,#N/A,FALSE,"Land";#N/A,#N/A,FALSE,"Cost Analysis";"Summary",#N/A,FALSE,"Equipment"}</definedName>
    <definedName name="_nm12" localSheetId="20">{#N/A,#N/A,FALSE,"Land";#N/A,#N/A,FALSE,"Cost Analysis";"Summary",#N/A,FALSE,"Equipment"}</definedName>
    <definedName name="_nm12">{#N/A,#N/A,FALSE,"Land";#N/A,#N/A,FALSE,"Cost Analysis";"Summary",#N/A,FALSE,"Equipment"}</definedName>
    <definedName name="_nv2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k1" localSheetId="25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2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2">#REF!</definedName>
    <definedName name="_Order1">255</definedName>
    <definedName name="_Order2">0</definedName>
    <definedName name="_Order39">255</definedName>
    <definedName name="_P00comps1">#REF!</definedName>
    <definedName name="_P00comps2">#REF!</definedName>
    <definedName name="_Regression_Int">1</definedName>
    <definedName name="_Regression_Out">#REF!</definedName>
    <definedName name="_Regression_X">#REF!</definedName>
    <definedName name="_Regression_Y">#REF!</definedName>
    <definedName name="_rod1" localSheetId="25">{#N/A,#N/A,FALSE,"Projections";#N/A,#N/A,FALSE,"Multiples Valuation";#N/A,#N/A,FALSE,"LBO";#N/A,#N/A,FALSE,"Multiples_Sensitivity";#N/A,#N/A,FALSE,"Summary"}</definedName>
    <definedName name="_rod1" localSheetId="20">{#N/A,#N/A,FALSE,"Projections";#N/A,#N/A,FALSE,"Multiples Valuation";#N/A,#N/A,FALSE,"LBO";#N/A,#N/A,FALSE,"Multiples_Sensitivity";#N/A,#N/A,FALSE,"Summary"}</definedName>
    <definedName name="_rod1">{#N/A,#N/A,FALSE,"Projections";#N/A,#N/A,FALSE,"Multiples Valuation";#N/A,#N/A,FALSE,"LBO";#N/A,#N/A,FALSE,"Multiples_Sensitivity";#N/A,#N/A,FALSE,"Summary"}</definedName>
    <definedName name="_s1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ort">#REF!</definedName>
    <definedName name="_sort1">#REF!</definedName>
    <definedName name="_t1" localSheetId="25">{"bs",#N/A,FALSE,"SCF"}</definedName>
    <definedName name="_t1" localSheetId="20">{"bs",#N/A,FALSE,"SCF"}</definedName>
    <definedName name="_t1">{"bs",#N/A,FALSE,"SCF"}</definedName>
    <definedName name="_t9" localSheetId="25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 localSheetId="20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>#REF!</definedName>
    <definedName name="_Table1_In2">#REF!</definedName>
    <definedName name="_Table1_Out">#REF!</definedName>
    <definedName name="_Table2_In1">#REF!</definedName>
    <definedName name="_Table2_In2">#REF!</definedName>
    <definedName name="_Table2_Out">#REF!</definedName>
    <definedName name="_Table3_In2">#REF!</definedName>
    <definedName name="_Table3_Out">#REF!</definedName>
    <definedName name="_w1" localSheetId="25">{"PVGraph2",#N/A,FALSE,"PV Data"}</definedName>
    <definedName name="_w1" localSheetId="20">{"PVGraph2",#N/A,FALSE,"PV Data"}</definedName>
    <definedName name="_w1">{"PVGraph2",#N/A,FALSE,"PV Data"}</definedName>
    <definedName name="_w2" localSheetId="25">{"PVGraph2",#N/A,FALSE,"PV Data"}</definedName>
    <definedName name="_w2" localSheetId="20">{"PVGraph2",#N/A,FALSE,"PV Data"}</definedName>
    <definedName name="_w2">{"PVGraph2",#N/A,FALSE,"PV Data"}</definedName>
    <definedName name="_w3" localSheetId="25">{"PVGraph2",#N/A,FALSE,"PV Data"}</definedName>
    <definedName name="_w3" localSheetId="20">{"PVGraph2",#N/A,FALSE,"PV Data"}</definedName>
    <definedName name="_w3">{"PVGraph2",#N/A,FALSE,"PV Data"}</definedName>
    <definedName name="_wrn2" localSheetId="25">{#N/A,#N/A,FALSE,"ASSUMPTIONS";#N/A,#N/A,FALSE,"Valuation Summary";"page1",#N/A,FALSE,"PRESENTATION";"page2",#N/A,FALSE,"PRESENTATION";#N/A,#N/A,FALSE,"ORIGINAL_ROLLBACK"}</definedName>
    <definedName name="_wrn2" localSheetId="20">{#N/A,#N/A,FALSE,"ASSUMPTIONS";#N/A,#N/A,FALSE,"Valuation Summary";"page1",#N/A,FALSE,"PRESENTATION";"page2",#N/A,FALSE,"PRESENTATION";#N/A,#N/A,FALSE,"ORIGINAL_ROLLBACK"}</definedName>
    <definedName name="_wrn2">{#N/A,#N/A,FALSE,"ASSUMPTIONS";#N/A,#N/A,FALSE,"Valuation Summary";"page1",#N/A,FALSE,"PRESENTATION";"page2",#N/A,FALSE,"PRESENTATION";#N/A,#N/A,FALSE,"ORIGINAL_ROLLBACK"}</definedName>
    <definedName name="_wrn3" localSheetId="25">{#N/A,#N/A,FALSE,"ASSUMPTIONS";#N/A,#N/A,FALSE,"Valuation Summary";"page1",#N/A,FALSE,"PRESENTATION";"page2",#N/A,FALSE,"PRESENTATION";#N/A,#N/A,FALSE,"ORIGINAL_ROLLBACK"}</definedName>
    <definedName name="_wrn3" localSheetId="20">{#N/A,#N/A,FALSE,"ASSUMPTIONS";#N/A,#N/A,FALSE,"Valuation Summary";"page1",#N/A,FALSE,"PRESENTATION";"page2",#N/A,FALSE,"PRESENTATION";#N/A,#N/A,FALSE,"ORIGINAL_ROLLBACK"}</definedName>
    <definedName name="_wrn3">{#N/A,#N/A,FALSE,"ASSUMPTIONS";#N/A,#N/A,FALSE,"Valuation Summary";"page1",#N/A,FALSE,"PRESENTATION";"page2",#N/A,FALSE,"PRESENTATION";#N/A,#N/A,FALSE,"ORIGINAL_ROLLBACK"}</definedName>
    <definedName name="_wrn4" localSheetId="25">{"general",#N/A,FALSE,"Assumptions"}</definedName>
    <definedName name="_wrn4" localSheetId="20">{"general",#N/A,FALSE,"Assumptions"}</definedName>
    <definedName name="_wrn4">{"general",#N/A,FALSE,"Assumptions"}</definedName>
    <definedName name="_x1" localSheetId="25">{#N/A,#N/A,FALSE,"FY97";#N/A,#N/A,FALSE,"FY98";#N/A,#N/A,FALSE,"FY99";#N/A,#N/A,FALSE,"FY00";#N/A,#N/A,FALSE,"FY01"}</definedName>
    <definedName name="_x1" localSheetId="20">{#N/A,#N/A,FALSE,"FY97";#N/A,#N/A,FALSE,"FY98";#N/A,#N/A,FALSE,"FY99";#N/A,#N/A,FALSE,"FY00";#N/A,#N/A,FALSE,"FY01"}</definedName>
    <definedName name="_x1">{#N/A,#N/A,FALSE,"FY97";#N/A,#N/A,FALSE,"FY98";#N/A,#N/A,FALSE,"FY99";#N/A,#N/A,FALSE,"FY00";#N/A,#N/A,FALSE,"FY01"}</definedName>
    <definedName name="_y2" localSheetId="25">{"PVGraph2",#N/A,FALSE,"PV Data"}</definedName>
    <definedName name="_y2" localSheetId="20">{"PVGraph2",#N/A,FALSE,"PV Data"}</definedName>
    <definedName name="_y2">{"PVGraph2",#N/A,FALSE,"PV Data"}</definedName>
    <definedName name="_Zcomps2" localSheetId="25">{0,0,0,0,1,-4105,28.3464566929134,28.3464566929134,28.346456664,28.3464566929134,2,TRUE,TRUE,FALSE,FALSE,FALSE,#N/A,1,85,1,2,"","","","&amp;""Kennerly,Roman Bold""&amp;14L&amp;12EHMAN &amp;14 B&amp;12ROTHERS","","",FALSE}</definedName>
    <definedName name="_Zcomps2" localSheetId="20">{0,0,0,0,1,-4105,28.3464566929134,28.3464566929134,28.346456664,28.3464566929134,2,TRUE,TRUE,FALSE,FALSE,FALSE,#N/A,1,85,1,2,"","","","&amp;""Kennerly,Roman Bold""&amp;14L&amp;12EHMAN &amp;14 B&amp;12ROTHERS","","",FALSE}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a" localSheetId="25">{"histincome",#N/A,FALSE,"hyfins";"closing balance",#N/A,FALSE,"hyfins"}</definedName>
    <definedName name="a" localSheetId="20">{"histincome",#N/A,FALSE,"hyfins";"closing balance",#N/A,FALSE,"hyfins"}</definedName>
    <definedName name="a">{"histincome",#N/A,FALSE,"hyfins";"closing balance",#N/A,FALSE,"hyfins"}</definedName>
    <definedName name="a." localSheetId="25">{#N/A,#N/A,TRUE,"KEY DATA";#N/A,#N/A,TRUE,"KEY DATA Base Case";#N/A,#N/A,TRUE,"JULY";#N/A,#N/A,TRUE,"AUG";#N/A,#N/A,TRUE,"SEPT";#N/A,#N/A,TRUE,"3Q"}</definedName>
    <definedName name="a." localSheetId="20">{#N/A,#N/A,TRUE,"KEY DATA";#N/A,#N/A,TRUE,"KEY DATA Base Case";#N/A,#N/A,TRUE,"JULY";#N/A,#N/A,TRUE,"AUG";#N/A,#N/A,TRUE,"SEPT";#N/A,#N/A,TRUE,"3Q"}</definedName>
    <definedName name="a.">{#N/A,#N/A,TRUE,"KEY DATA";#N/A,#N/A,TRUE,"KEY DATA Base Case";#N/A,#N/A,TRUE,"JULY";#N/A,#N/A,TRUE,"AUG";#N/A,#N/A,TRUE,"SEPT";#N/A,#N/A,TRUE,"3Q"}</definedName>
    <definedName name="A.." localSheetId="25">{#N/A,#N/A,TRUE,"KEY DATA";#N/A,#N/A,TRUE,"KEY DATA Base Case";#N/A,#N/A,TRUE,"JULY";#N/A,#N/A,TRUE,"AUG";#N/A,#N/A,TRUE,"SEPT";#N/A,#N/A,TRUE,"3Q"}</definedName>
    <definedName name="A.." localSheetId="20">{#N/A,#N/A,TRUE,"KEY DATA";#N/A,#N/A,TRUE,"KEY DATA Base Case";#N/A,#N/A,TRUE,"JULY";#N/A,#N/A,TRUE,"AUG";#N/A,#N/A,TRUE,"SEPT";#N/A,#N/A,TRUE,"3Q"}</definedName>
    <definedName name="A..">{#N/A,#N/A,TRUE,"KEY DATA";#N/A,#N/A,TRUE,"KEY DATA Base Case";#N/A,#N/A,TRUE,"JULY";#N/A,#N/A,TRUE,"AUG";#N/A,#N/A,TRUE,"SEPT";#N/A,#N/A,TRUE,"3Q"}</definedName>
    <definedName name="a4tfgaw4twe">#REF!</definedName>
    <definedName name="aa" localSheetId="25">{#N/A,#N/A,TRUE,"KEY DATA";#N/A,#N/A,TRUE,"KEY DATA Base Case";#N/A,#N/A,TRUE,"JULY";#N/A,#N/A,TRUE,"AUG";#N/A,#N/A,TRUE,"SEPT";#N/A,#N/A,TRUE,"3Q"}</definedName>
    <definedName name="aa" localSheetId="20">{#N/A,#N/A,TRUE,"KEY DATA";#N/A,#N/A,TRUE,"KEY DATA Base Case";#N/A,#N/A,TRUE,"JULY";#N/A,#N/A,TRUE,"AUG";#N/A,#N/A,TRUE,"SEPT";#N/A,#N/A,TRUE,"3Q"}</definedName>
    <definedName name="aa">{#N/A,#N/A,TRUE,"KEY DATA";#N/A,#N/A,TRUE,"KEY DATA Base Case";#N/A,#N/A,TRUE,"JULY";#N/A,#N/A,TRUE,"AUG";#N/A,#N/A,TRUE,"SEPT";#N/A,#N/A,TRUE,"3Q"}</definedName>
    <definedName name="aaa" localSheetId="25">{#N/A,#N/A,TRUE,"Falcons_Standalone";#N/A,#N/A,TRUE,"Target_Input";#N/A,#N/A,TRUE,"Target_Calendarized"}</definedName>
    <definedName name="aaa" localSheetId="20">{#N/A,#N/A,TRUE,"Falcons_Standalone";#N/A,#N/A,TRUE,"Target_Input";#N/A,#N/A,TRUE,"Target_Calendarized"}</definedName>
    <definedName name="aaa">{#N/A,#N/A,TRUE,"Falcons_Standalone";#N/A,#N/A,TRUE,"Target_Input";#N/A,#N/A,TRUE,"Target_Calendarized"}</definedName>
    <definedName name="aaa." localSheetId="25">{#N/A,#N/A,TRUE,"KEY DATA";#N/A,#N/A,TRUE,"KEY DATA Base Case";#N/A,#N/A,TRUE,"JULY";#N/A,#N/A,TRUE,"AUG";#N/A,#N/A,TRUE,"SEPT";#N/A,#N/A,TRUE,"3Q"}</definedName>
    <definedName name="aaa." localSheetId="20">{#N/A,#N/A,TRUE,"KEY DATA";#N/A,#N/A,TRUE,"KEY DATA Base Case";#N/A,#N/A,TRUE,"JULY";#N/A,#N/A,TRUE,"AUG";#N/A,#N/A,TRUE,"SEPT";#N/A,#N/A,TRUE,"3Q"}</definedName>
    <definedName name="aaa.">{#N/A,#N/A,TRUE,"KEY DATA";#N/A,#N/A,TRUE,"KEY DATA Base Case";#N/A,#N/A,TRUE,"JULY";#N/A,#N/A,TRUE,"AUG";#N/A,#N/A,TRUE,"SEPT";#N/A,#N/A,TRUE,"3Q"}</definedName>
    <definedName name="AAA_DOCTOPS">"AAA_SET"</definedName>
    <definedName name="AAA_duser">"OFF"</definedName>
    <definedName name="aaaa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aaa" localSheetId="25">{"Outflow 1",#N/A,FALSE,"Outflows-Inflows";"Outflow 2",#N/A,FALSE,"Outflows-Inflows";"Inflow 1",#N/A,FALSE,"Outflows-Inflows";"Inflow 2",#N/A,FALSE,"Outflows-Inflows"}</definedName>
    <definedName name="aaaaaaa" localSheetId="20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name="aaaasdf" localSheetId="25">{#N/A,#N/A,TRUE,"GEM Total";#N/A,#N/A,TRUE,"Final Assembly";#N/A,#N/A,TRUE,"Cleaning";#N/A,#N/A,TRUE,"Schooping,Clearing";#N/A,#N/A,TRUE,"Winding"}</definedName>
    <definedName name="aaaasdf" localSheetId="20">{#N/A,#N/A,TRUE,"GEM Total";#N/A,#N/A,TRUE,"Final Assembly";#N/A,#N/A,TRUE,"Cleaning";#N/A,#N/A,TRUE,"Schooping,Clearing";#N/A,#N/A,TRUE,"Winding"}</definedName>
    <definedName name="aaaasdf">{#N/A,#N/A,TRUE,"GEM Total";#N/A,#N/A,TRUE,"Final Assembly";#N/A,#N/A,TRUE,"Cleaning";#N/A,#N/A,TRUE,"Schooping,Clearing";#N/A,#N/A,TRUE,"Winding"}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localSheetId="25">{#N/A,#N/A,FALSE,"Projections";#N/A,#N/A,FALSE,"Multiples Valuation";#N/A,#N/A,FALSE,"LBO";#N/A,#N/A,FALSE,"Multiples_Sensitivity";#N/A,#N/A,FALSE,"Summary"}</definedName>
    <definedName name="aabb" localSheetId="20">{#N/A,#N/A,FALSE,"Projections";#N/A,#N/A,FALSE,"Multiples Valuation";#N/A,#N/A,FALSE,"LBO";#N/A,#N/A,FALSE,"Multiples_Sensitivity";#N/A,#N/A,FALSE,"Summary"}</definedName>
    <definedName name="aabb">{#N/A,#N/A,FALSE,"Projections";#N/A,#N/A,FALSE,"Multiples Valuation";#N/A,#N/A,FALSE,"LBO";#N/A,#N/A,FALSE,"Multiples_Sensitivity";#N/A,#N/A,FALSE,"Summary"}</definedName>
    <definedName name="aas">"c4426"</definedName>
    <definedName name="aasd" localSheetId="25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 localSheetId="20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a" localSheetId="25">{"PrintView",#N/A,FALSE,"Cash &amp; Equiv";"PrintView",#N/A,FALSE,"Investments";"Other Assets Print View",#N/A,FALSE,"Other Assets"}</definedName>
    <definedName name="aasda" localSheetId="20">{"PrintView",#N/A,FALSE,"Cash &amp; Equiv";"PrintView",#N/A,FALSE,"Investments";"Other Assets Print View",#N/A,FALSE,"Other Assets"}</definedName>
    <definedName name="aasda">{"PrintView",#N/A,FALSE,"Cash &amp; Equiv";"PrintView",#N/A,FALSE,"Investments";"Other Assets Print View",#N/A,FALSE,"Other Assets"}</definedName>
    <definedName name="aasdfa" localSheetId="25">{"rtn",#N/A,FALSE,"RTN";"tables",#N/A,FALSE,"RTN";"cf",#N/A,FALSE,"CF";"stats",#N/A,FALSE,"Stats";"prop",#N/A,FALSE,"Prop"}</definedName>
    <definedName name="aasdfa" localSheetId="20">{"rtn",#N/A,FALSE,"RTN";"tables",#N/A,FALSE,"RTN";"cf",#N/A,FALSE,"CF";"stats",#N/A,FALSE,"Stats";"prop",#N/A,FALSE,"Prop"}</definedName>
    <definedName name="aasdfa">{"rtn",#N/A,FALSE,"RTN";"tables",#N/A,FALSE,"RTN";"cf",#N/A,FALSE,"CF";"stats",#N/A,FALSE,"Stats";"prop",#N/A,FALSE,"Prop"}</definedName>
    <definedName name="ABC">#REF!</definedName>
    <definedName name="abcd" localSheetId="25">{"histincome",#N/A,FALSE,"hyfins";"closing balance",#N/A,FALSE,"hyfins"}</definedName>
    <definedName name="abcd" localSheetId="20">{"histincome",#N/A,FALSE,"hyfins";"closing balance",#N/A,FALSE,"hyfins"}</definedName>
    <definedName name="abcd">{"histincome",#N/A,FALSE,"hyfins";"closing balance",#N/A,FALSE,"hyfins"}</definedName>
    <definedName name="abv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Database">"G:\GC\INV\554\07_01\554_0701.mdb"</definedName>
    <definedName name="Accretion.Dilution2" localSheetId="2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 localSheetId="20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ccretion.Dilution2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adf">#REF!</definedName>
    <definedName name="adfadf" localSheetId="25">{"histincome",#N/A,FALSE,"hyfins";"closing balance",#N/A,FALSE,"hyfins"}</definedName>
    <definedName name="adfadf" localSheetId="20">{"histincome",#N/A,FALSE,"hyfins";"closing balance",#N/A,FALSE,"hyfins"}</definedName>
    <definedName name="adfadf">{"histincome",#N/A,FALSE,"hyfins";"closing balance",#N/A,FALSE,"hyfins"}</definedName>
    <definedName name="adfda" localSheetId="25">{"histincome",#N/A,FALSE,"hyfins";"closing balance",#N/A,FALSE,"hyfins"}</definedName>
    <definedName name="adfda" localSheetId="20">{"histincome",#N/A,FALSE,"hyfins";"closing balance",#N/A,FALSE,"hyfins"}</definedName>
    <definedName name="adfda">{"histincome",#N/A,FALSE,"hyfins";"closing balance",#N/A,FALSE,"hyfins"}</definedName>
    <definedName name="adfdasfasd" localSheetId="25">{"histincome",#N/A,FALSE,"hyfins";"closing balance",#N/A,FALSE,"hyfins"}</definedName>
    <definedName name="adfdasfasd" localSheetId="20">{"histincome",#N/A,FALSE,"hyfins";"closing balance",#N/A,FALSE,"hyfins"}</definedName>
    <definedName name="adfdasfasd">{"histincome",#N/A,FALSE,"hyfins";"closing balance",#N/A,FALSE,"hyfins"}</definedName>
    <definedName name="adfj" localSheetId="25">{"bs",#N/A,FALSE,"SCF"}</definedName>
    <definedName name="adfj" localSheetId="20">{"bs",#N/A,FALSE,"SCF"}</definedName>
    <definedName name="adfj">{"bs",#N/A,FALSE,"SCF"}</definedName>
    <definedName name="adg" localSheetId="25">{"'Sheet1'!$A$1:$O$40"}</definedName>
    <definedName name="adg" localSheetId="20">{"'Sheet1'!$A$1:$O$40"}</definedName>
    <definedName name="adg">{"'Sheet1'!$A$1:$O$40"}</definedName>
    <definedName name="ads" localSheetId="25">{#N/A,#N/A,FALSE,"AD_Purch";#N/A,#N/A,FALSE,"Projections";#N/A,#N/A,FALSE,"DCF";#N/A,#N/A,FALSE,"Mkt Val"}</definedName>
    <definedName name="ads" localSheetId="20">{#N/A,#N/A,FALSE,"AD_Purch";#N/A,#N/A,FALSE,"Projections";#N/A,#N/A,FALSE,"DCF";#N/A,#N/A,FALSE,"Mkt Val"}</definedName>
    <definedName name="ads">{#N/A,#N/A,FALSE,"AD_Purch";#N/A,#N/A,FALSE,"Projections";#N/A,#N/A,FALSE,"DCF";#N/A,#N/A,FALSE,"Mkt Val"}</definedName>
    <definedName name="ADSAFD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AFD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localSheetId="25">{"bs",#N/A,FALSE,"SCF"}</definedName>
    <definedName name="adsf" localSheetId="20">{"bs",#N/A,FALSE,"SCF"}</definedName>
    <definedName name="adsf">{"bs",#N/A,FALSE,"SCF"}</definedName>
    <definedName name="adwsfklj" localSheetId="25">{"bs",#N/A,FALSE,"SCF"}</definedName>
    <definedName name="adwsfklj" localSheetId="20">{"bs",#N/A,FALSE,"SCF"}</definedName>
    <definedName name="adwsfklj">{"bs",#N/A,FALSE,"SCF"}</definedName>
    <definedName name="aeradfaereawt" localSheetId="25">{"var_page",#N/A,FALSE,"template"}</definedName>
    <definedName name="aeradfaereawt" localSheetId="20">{"var_page",#N/A,FALSE,"template"}</definedName>
    <definedName name="aeradfaereawt">{"var_page",#N/A,FALSE,"template"}</definedName>
    <definedName name="aertqet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f">#REF!</definedName>
    <definedName name="Africa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g" localSheetId="25">{"incomemth",#N/A,TRUE,"forecast00";"incomepercentmth",#N/A,TRUE,"forecast00";"balancemth",#N/A,TRUE,"forecast00";"cashmth",#N/A,TRUE,"forecast00";"covenantmth",#N/A,TRUE,"forecast00"}</definedName>
    <definedName name="ag" localSheetId="20">{"incomemth",#N/A,TRUE,"forecast00";"incomepercentmth",#N/A,TRUE,"forecast00";"balancemth",#N/A,TRUE,"forecast00";"cashmth",#N/A,TRUE,"forecast00";"covenantmth",#N/A,TRUE,"forecast00"}</definedName>
    <definedName name="ag">{"incomemth",#N/A,TRUE,"forecast00";"incomepercentmth",#N/A,TRUE,"forecast00";"balancemth",#N/A,TRUE,"forecast00";"cashmth",#N/A,TRUE,"forecast00";"covenantmth",#N/A,TRUE,"forecast00"}</definedName>
    <definedName name="akl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ndo" localSheetId="25">{"'下期集計（10.27迄・速報値）'!$Q$16"}</definedName>
    <definedName name="ando" localSheetId="20">{"'下期集計（10.27迄・速報値）'!$Q$16"}</definedName>
    <definedName name="ando">{"'下期集計（10.27迄・速報値）'!$Q$16"}</definedName>
    <definedName name="Annual" localSheetId="25">{"Outflow 1",#N/A,FALSE,"Outflows-Inflows";"Outflow 2",#N/A,FALSE,"Outflows-Inflows";"Inflow 1",#N/A,FALSE,"Outflows-Inflows";"Inflow 2",#N/A,FALSE,"Outflows-Inflows"}</definedName>
    <definedName name="Annual" localSheetId="20">{"Outflow 1",#N/A,FALSE,"Outflows-Inflows";"Outflow 2",#N/A,FALSE,"Outflows-Inflows";"Inflow 1",#N/A,FALSE,"Outflows-Inflows";"Inflow 2",#N/A,FALSE,"Outflows-Inflows"}</definedName>
    <definedName name="Annual">{"Outflow 1",#N/A,FALSE,"Outflows-Inflows";"Outflow 2",#N/A,FALSE,"Outflows-Inflows";"Inflow 1",#N/A,FALSE,"Outflows-Inflows";"Inflow 2",#N/A,FALSE,"Outflows-Inflows"}</definedName>
    <definedName name="anscount">1</definedName>
    <definedName name="app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rgqe" localSheetId="25">{#N/A,#N/A,FALSE,"puboff";#N/A,#N/A,FALSE,"financials";#N/A,#N/A,FALSE,"valuation";#N/A,#N/A,FALSE,"split"}</definedName>
    <definedName name="argqe" localSheetId="20">{#N/A,#N/A,FALSE,"puboff";#N/A,#N/A,FALSE,"financials";#N/A,#N/A,FALSE,"valuation";#N/A,#N/A,FALSE,"split"}</definedName>
    <definedName name="argqe">{#N/A,#N/A,FALSE,"puboff";#N/A,#N/A,FALSE,"financials";#N/A,#N/A,FALSE,"valuation";#N/A,#N/A,FALSE,"split"}</definedName>
    <definedName name="as" localSheetId="25">{#N/A,#N/A,FALSE,"Bank";#N/A,#N/A,FALSE,"Insurance";#N/A,#N/A,FALSE,"Thrift";#N/A,#N/A,FALSE,"HMO"}</definedName>
    <definedName name="as" localSheetId="20">{#N/A,#N/A,FALSE,"Bank";#N/A,#N/A,FALSE,"Insurance";#N/A,#N/A,FALSE,"Thrift";#N/A,#N/A,FALSE,"HMO"}</definedName>
    <definedName name="as">{#N/A,#N/A,FALSE,"Bank";#N/A,#N/A,FALSE,"Insurance";#N/A,#N/A,FALSE,"Thrift";#N/A,#N/A,FALSE,"HMO"}</definedName>
    <definedName name="as_1" localSheetId="25">{#N/A,#N/A,FALSE,"Bank";#N/A,#N/A,FALSE,"Insurance";#N/A,#N/A,FALSE,"Thrift";#N/A,#N/A,FALSE,"HMO"}</definedName>
    <definedName name="as_1" localSheetId="20">{#N/A,#N/A,FALSE,"Bank";#N/A,#N/A,FALSE,"Insurance";#N/A,#N/A,FALSE,"Thrift";#N/A,#N/A,FALSE,"HMO"}</definedName>
    <definedName name="as_1">{#N/A,#N/A,FALSE,"Bank";#N/A,#N/A,FALSE,"Insurance";#N/A,#N/A,FALSE,"Thrift";#N/A,#N/A,FALSE,"HMO"}</definedName>
    <definedName name="AS2DocOpenMode">"AS2DocumentEdit"</definedName>
    <definedName name="AS2HasNoAutoHeaderFooter">" "</definedName>
    <definedName name="AS2NamedRange">7</definedName>
    <definedName name="AS2ReportLS">1</definedName>
    <definedName name="AS2StaticLS">#REF!</definedName>
    <definedName name="AS2SyncStepLS">0</definedName>
    <definedName name="AS2TickmarkLS">#REF!</definedName>
    <definedName name="AS2VersionLS">300</definedName>
    <definedName name="asdasd" localSheetId="25">{#N/A,#N/A,TRUE,"Acquirer_Cases_Input";#N/A,#N/A,TRUE,"Acquirer_Input";#N/A,#N/A,TRUE,"Acquirer"}</definedName>
    <definedName name="asdasd" localSheetId="20">{#N/A,#N/A,TRUE,"Acquirer_Cases_Input";#N/A,#N/A,TRUE,"Acquirer_Input";#N/A,#N/A,TRUE,"Acquirer"}</definedName>
    <definedName name="asdasd">{#N/A,#N/A,TRUE,"Acquirer_Cases_Input";#N/A,#N/A,TRUE,"Acquirer_Input";#N/A,#N/A,TRUE,"Acquirer"}</definedName>
    <definedName name="asdf" localSheetId="25">{#N/A,#N/A,TRUE,"KEY DATA";#N/A,#N/A,TRUE,"KEY DATA Base Case";#N/A,#N/A,TRUE,"JULY";#N/A,#N/A,TRUE,"AUG";#N/A,#N/A,TRUE,"SEPT";#N/A,#N/A,TRUE,"3Q"}</definedName>
    <definedName name="asdf" localSheetId="20">{#N/A,#N/A,TRUE,"KEY DATA";#N/A,#N/A,TRUE,"KEY DATA Base Case";#N/A,#N/A,TRUE,"JULY";#N/A,#N/A,TRUE,"AUG";#N/A,#N/A,TRUE,"SEPT";#N/A,#N/A,TRUE,"3Q"}</definedName>
    <definedName name="asdf">{#N/A,#N/A,TRUE,"KEY DATA";#N/A,#N/A,TRUE,"KEY DATA Base Case";#N/A,#N/A,TRUE,"JULY";#N/A,#N/A,TRUE,"AUG";#N/A,#N/A,TRUE,"SEPT";#N/A,#N/A,TRUE,"3Q"}</definedName>
    <definedName name="asdfas" localSheetId="25">{"print 1.6",#N/A,FALSE,"Sheet1";"print 2.6",#N/A,FALSE,"Sheet1";"print 3.6",#N/A,FALSE,"Sheet1";"print 4.6",#N/A,FALSE,"Sheet1";"print 5.6",#N/A,FALSE,"Sheet1";"print 6.6",#N/A,FALSE,"Sheet1"}</definedName>
    <definedName name="asdfas" localSheetId="20">{"print 1.6",#N/A,FALSE,"Sheet1";"print 2.6",#N/A,FALSE,"Sheet1";"print 3.6",#N/A,FALSE,"Sheet1";"print 4.6",#N/A,FALSE,"Sheet1";"print 5.6",#N/A,FALSE,"Sheet1";"print 6.6",#N/A,FALSE,"Sheet1"}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 localSheetId="25">{"print 1.6",#N/A,FALSE,"Sheet1";"print 2.6",#N/A,FALSE,"Sheet1";"print 3.6",#N/A,FALSE,"Sheet1";"print 4.6",#N/A,FALSE,"Sheet1";"print 5.6",#N/A,FALSE,"Sheet1";"print 6.6",#N/A,FALSE,"Sheet1"}</definedName>
    <definedName name="asdfasaa" localSheetId="20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g" localSheetId="25">{"rtn",#N/A,FALSE,"RTN";"tables",#N/A,FALSE,"RTN";"cf",#N/A,FALSE,"CF";"stats",#N/A,FALSE,"Stats";"prop",#N/A,FALSE,"Prop"}</definedName>
    <definedName name="asdfg" localSheetId="20">{"rtn",#N/A,FALSE,"RTN";"tables",#N/A,FALSE,"RTN";"cf",#N/A,FALSE,"CF";"stats",#N/A,FALSE,"Stats";"prop",#N/A,FALSE,"Prop"}</definedName>
    <definedName name="asdfg">{"rtn",#N/A,FALSE,"RTN";"tables",#N/A,FALSE,"RTN";"cf",#N/A,FALSE,"CF";"stats",#N/A,FALSE,"Stats";"prop",#N/A,FALSE,"Prop"}</definedName>
    <definedName name="asdfjkl" localSheetId="25">{"bs",#N/A,FALSE,"SCF"}</definedName>
    <definedName name="asdfjkl" localSheetId="20">{"bs",#N/A,FALSE,"SCF"}</definedName>
    <definedName name="asdfjkl">{"bs",#N/A,FALSE,"SCF"}</definedName>
    <definedName name="asdgasrgasdf" localSheetId="25">{"histincome",#N/A,FALSE,"hyfins";"closing balance",#N/A,FALSE,"hyfins"}</definedName>
    <definedName name="asdgasrgasdf" localSheetId="20">{"histincome",#N/A,FALSE,"hyfins";"closing balance",#N/A,FALSE,"hyfins"}</definedName>
    <definedName name="asdgasrgasdf">{"histincome",#N/A,FALSE,"hyfins";"closing balance",#N/A,FALSE,"hyfins"}</definedName>
    <definedName name="asfdasfad" localSheetId="25">{"histincome",#N/A,FALSE,"hyfins";"closing balance",#N/A,FALSE,"hyfins"}</definedName>
    <definedName name="asfdasfad" localSheetId="20">{"histincome",#N/A,FALSE,"hyfins";"closing balance",#N/A,FALSE,"hyfins"}</definedName>
    <definedName name="asfdasfad">{"histincome",#N/A,FALSE,"hyfins";"closing balance",#N/A,FALSE,"hyfins"}</definedName>
    <definedName name="asgg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s" localSheetId="25">{"print 1.6",#N/A,FALSE,"Sheet1";"print 2.6",#N/A,FALSE,"Sheet1";"print 3.6",#N/A,FALSE,"Sheet1";"print 4.6",#N/A,FALSE,"Sheet1";"print 5.6",#N/A,FALSE,"Sheet1";"print 6.6",#N/A,FALSE,"Sheet1"}</definedName>
    <definedName name="ass" localSheetId="20">{"print 1.6",#N/A,FALSE,"Sheet1";"print 2.6",#N/A,FALSE,"Sheet1";"print 3.6",#N/A,FALSE,"Sheet1";"print 4.6",#N/A,FALSE,"Sheet1";"print 5.6",#N/A,FALSE,"Sheet1";"print 6.6",#N/A,FALSE,"Sheet1"}</definedName>
    <definedName name="ass">{"print 1.6",#N/A,FALSE,"Sheet1";"print 2.6",#N/A,FALSE,"Sheet1";"print 3.6",#N/A,FALSE,"Sheet1";"print 4.6",#N/A,FALSE,"Sheet1";"print 5.6",#N/A,FALSE,"Sheet1";"print 6.6",#N/A,FALSE,"Sheet1"}</definedName>
    <definedName name="ass.all" localSheetId="25">{#N/A,#N/A,FALSE,"cpt"}</definedName>
    <definedName name="ass.all" localSheetId="20">{#N/A,#N/A,FALSE,"cpt"}</definedName>
    <definedName name="ass.all">{#N/A,#N/A,FALSE,"cpt"}</definedName>
    <definedName name="ass2.all" localSheetId="25">{#N/A,#N/A,FALSE,"cpt"}</definedName>
    <definedName name="ass2.all" localSheetId="20">{#N/A,#N/A,FALSE,"cpt"}</definedName>
    <definedName name="ass2.all">{#N/A,#N/A,FALSE,"cpt"}</definedName>
    <definedName name="asss" localSheetId="25">{"rtn",#N/A,FALSE,"RTN";"tables",#N/A,FALSE,"RTN";"cf",#N/A,FALSE,"CF";"stats",#N/A,FALSE,"Stats";"prop",#N/A,FALSE,"Prop"}</definedName>
    <definedName name="asss" localSheetId="20">{"rtn",#N/A,FALSE,"RTN";"tables",#N/A,FALSE,"RTN";"cf",#N/A,FALSE,"CF";"stats",#N/A,FALSE,"Stats";"prop",#N/A,FALSE,"Prop"}</definedName>
    <definedName name="asss">{"rtn",#N/A,FALSE,"RTN";"tables",#N/A,FALSE,"RTN";"cf",#N/A,FALSE,"CF";"stats",#N/A,FALSE,"Stats";"prop",#N/A,FALSE,"Prop"}</definedName>
    <definedName name="Assumptios2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ustinTest" localSheetId="25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tinTest" localSheetId="20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tinTest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 localSheetId="25">{#N/A,#N/A,FALSE,"Sheet1"}</definedName>
    <definedName name="AUto1" localSheetId="20">{#N/A,#N/A,FALSE,"Sheet1"}</definedName>
    <definedName name="AUto1">{#N/A,#N/A,FALSE,"Sheet1"}</definedName>
    <definedName name="AUto2" localSheetId="25">{#N/A,#N/A,FALSE,"Sheet1"}</definedName>
    <definedName name="AUto2" localSheetId="20">{#N/A,#N/A,FALSE,"Sheet1"}</definedName>
    <definedName name="AUto2">{#N/A,#N/A,FALSE,"Sheet1"}</definedName>
    <definedName name="aweruio" localSheetId="25">{"bs",#N/A,FALSE,"SCF"}</definedName>
    <definedName name="aweruio" localSheetId="20">{"bs",#N/A,FALSE,"SCF"}</definedName>
    <definedName name="aweruio">{"bs",#N/A,FALSE,"SCF"}</definedName>
    <definedName name="axe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" localSheetId="25">{"histincome",#N/A,FALSE,"hyfins";"closing balance",#N/A,FALSE,"hyfins"}</definedName>
    <definedName name="b" localSheetId="20">{"histincome",#N/A,FALSE,"hyfins";"closing balance",#N/A,FALSE,"hyfins"}</definedName>
    <definedName name="b">{"histincome",#N/A,FALSE,"hyfins";"closing balance",#N/A,FALSE,"hyfins"}</definedName>
    <definedName name="b.s" localSheetId="25">{"bs",#N/A,FALSE,"SCF"}</definedName>
    <definedName name="b.s" localSheetId="20">{"bs",#N/A,FALSE,"SCF"}</definedName>
    <definedName name="b.s">{"bs",#N/A,FALSE,"SCF"}</definedName>
    <definedName name="backup" localSheetId="25">{#N/A,#N/A,TRUE,"KEY DATA";#N/A,#N/A,TRUE,"KEY DATA Base Case";#N/A,#N/A,TRUE,"JULY";#N/A,#N/A,TRUE,"AUG";#N/A,#N/A,TRUE,"SEPT";#N/A,#N/A,TRUE,"3Q"}</definedName>
    <definedName name="backup" localSheetId="20">{#N/A,#N/A,TRUE,"KEY DATA";#N/A,#N/A,TRUE,"KEY DATA Base Case";#N/A,#N/A,TRUE,"JULY";#N/A,#N/A,TRUE,"AUG";#N/A,#N/A,TRUE,"SEPT";#N/A,#N/A,TRUE,"3Q"}</definedName>
    <definedName name="backup">{#N/A,#N/A,TRUE,"KEY DATA";#N/A,#N/A,TRUE,"KEY DATA Base Case";#N/A,#N/A,TRUE,"JULY";#N/A,#N/A,TRUE,"AUG";#N/A,#N/A,TRUE,"SEPT";#N/A,#N/A,TRUE,"3Q"}</definedName>
    <definedName name="backup." localSheetId="25">{#N/A,#N/A,TRUE,"KEY DATA";#N/A,#N/A,TRUE,"KEY DATA Base Case";#N/A,#N/A,TRUE,"JULY";#N/A,#N/A,TRUE,"AUG";#N/A,#N/A,TRUE,"SEPT";#N/A,#N/A,TRUE,"3Q"}</definedName>
    <definedName name="backup." localSheetId="20">{#N/A,#N/A,TRUE,"KEY DATA";#N/A,#N/A,TRUE,"KEY DATA Base Case";#N/A,#N/A,TRUE,"JULY";#N/A,#N/A,TRUE,"AUG";#N/A,#N/A,TRUE,"SEPT";#N/A,#N/A,TRUE,"3Q"}</definedName>
    <definedName name="backup.">{#N/A,#N/A,TRUE,"KEY DATA";#N/A,#N/A,TRUE,"KEY DATA Base Case";#N/A,#N/A,TRUE,"JULY";#N/A,#N/A,TRUE,"AUG";#N/A,#N/A,TRUE,"SEPT";#N/A,#N/A,TRUE,"3Q"}</definedName>
    <definedName name="BadLink">#REF!</definedName>
    <definedName name="bal.sh" localSheetId="25">{"bs",#N/A,FALSE,"SCF"}</definedName>
    <definedName name="bal.sh" localSheetId="20">{"bs",#N/A,FALSE,"SCF"}</definedName>
    <definedName name="bal.sh">{"bs",#N/A,FALSE,"SCF"}</definedName>
    <definedName name="Balance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b" localSheetId="25">{#N/A,#N/A,FALSE,"Consolidated Shipley";#N/A,#N/A,FALSE,"Consolidated PWB";#N/A,#N/A,FALSE,"Consolidated Micro"}</definedName>
    <definedName name="bb" localSheetId="20">{#N/A,#N/A,FALSE,"Consolidated Shipley";#N/A,#N/A,FALSE,"Consolidated PWB";#N/A,#N/A,FALSE,"Consolidated Micro"}</definedName>
    <definedName name="bb">{#N/A,#N/A,FALSE,"Consolidated Shipley";#N/A,#N/A,FALSE,"Consolidated PWB";#N/A,#N/A,FALSE,"Consolidated Micro"}</definedName>
    <definedName name="bbb" localSheetId="25">{#N/A,#N/A,FALSE,"Consolidated Shipley";#N/A,#N/A,FALSE,"Consolidated PWB";#N/A,#N/A,FALSE,"Consolidated Micro"}</definedName>
    <definedName name="bbb" localSheetId="20">{#N/A,#N/A,FALSE,"Consolidated Shipley";#N/A,#N/A,FALSE,"Consolidated PWB";#N/A,#N/A,FALSE,"Consolidated Micro"}</definedName>
    <definedName name="bbb">{#N/A,#N/A,FALSE,"Consolidated Shipley";#N/A,#N/A,FALSE,"Consolidated PWB";#N/A,#N/A,FALSE,"Consolidated Micro"}</definedName>
    <definedName name="bbbb" localSheetId="25">{"gross_margin1",#N/A,FALSE,"Gross Margin Detail";"gross_margin2",#N/A,FALSE,"Gross Margin Detail"}</definedName>
    <definedName name="bbbb" localSheetId="20">{"gross_margin1",#N/A,FALSE,"Gross Margin Detail";"gross_margin2",#N/A,FALSE,"Gross Margin Detail"}</definedName>
    <definedName name="bbbb">{"gross_margin1",#N/A,FALSE,"Gross Margin Detail";"gross_margin2",#N/A,FALSE,"Gross Margin Detail"}</definedName>
    <definedName name="bbbbb" localSheetId="25">{"historical acquirer",#N/A,FALSE,"Historical Performance";"historical target",#N/A,FALSE,"Historical Performance"}</definedName>
    <definedName name="bbbbb" localSheetId="20">{"historical acquirer",#N/A,FALSE,"Historical Performance";"historical target",#N/A,FALSE,"Historical Performance"}</definedName>
    <definedName name="bbbbb">{"historical acquirer",#N/A,FALSE,"Historical Performance";"historical target",#N/A,FALSE,"Historical Performance"}</definedName>
    <definedName name="bbbbbb" localSheetId="25">{#N/A,#N/A,TRUE,"Acquirer_Cases_Input";#N/A,#N/A,TRUE,"Acquirer_Input";#N/A,#N/A,TRUE,"Acquirer"}</definedName>
    <definedName name="bbbbbb" localSheetId="20">{#N/A,#N/A,TRUE,"Acquirer_Cases_Input";#N/A,#N/A,TRUE,"Acquirer_Input";#N/A,#N/A,TRUE,"Acquirer"}</definedName>
    <definedName name="bbbbbb">{#N/A,#N/A,TRUE,"Acquirer_Cases_Input";#N/A,#N/A,TRUE,"Acquirer_Input";#N/A,#N/A,TRUE,"Acquirer"}</definedName>
    <definedName name="bbbbbbb" localSheetId="25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 localSheetId="20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ear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>15</definedName>
    <definedName name="BG_Ins">4</definedName>
    <definedName name="BG_Mod">6</definedName>
    <definedName name="BILL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localSheetId="25">{"PAGE 1",#N/A,FALSE,"WEST_OT"}</definedName>
    <definedName name="bill1" localSheetId="20">{"PAGE 1",#N/A,FALSE,"WEST_OT"}</definedName>
    <definedName name="bill1">{"PAGE 1",#N/A,FALSE,"WEST_OT"}</definedName>
    <definedName name="bill2" localSheetId="25">{"PAGE 1",#N/A,FALSE,"WEST_OT"}</definedName>
    <definedName name="bill2" localSheetId="20">{"PAGE 1",#N/A,FALSE,"WEST_OT"}</definedName>
    <definedName name="bill2">{"PAGE 1",#N/A,FALSE,"WEST_OT"}</definedName>
    <definedName name="bill3" localSheetId="25">{"PAGE 1",#N/A,FALSE,"WEST_OT"}</definedName>
    <definedName name="bill3" localSheetId="20">{"PAGE 1",#N/A,FALSE,"WEST_OT"}</definedName>
    <definedName name="bill3">{"PAGE 1",#N/A,FALSE,"WEST_OT"}</definedName>
    <definedName name="billrev2" localSheetId="25">{"PAGE 1",#N/A,FALSE,"WEST_OT"}</definedName>
    <definedName name="billrev2" localSheetId="20">{"PAGE 1",#N/A,FALSE,"WEST_OT"}</definedName>
    <definedName name="billrev2">{"PAGE 1",#N/A,FALSE,"WEST_OT"}</definedName>
    <definedName name="bj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LANK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>#REF!</definedName>
    <definedName name="BLPB10">#REF!</definedName>
    <definedName name="BLPB11">#REF!</definedName>
    <definedName name="BLPB2">#REF!</definedName>
    <definedName name="BLPB6">#REF!</definedName>
    <definedName name="BLPB7">#REF!</definedName>
    <definedName name="BLPB8">#REF!</definedName>
    <definedName name="BLPB9">#REF!</definedName>
    <definedName name="BLPH1">#REF!</definedName>
    <definedName name="BLPH10">#REF!</definedName>
    <definedName name="BLPH11">#REF!</definedName>
    <definedName name="BLPH12">#REF!</definedName>
    <definedName name="BLPH13">#REF!</definedName>
    <definedName name="BLPH132">#REF!</definedName>
    <definedName name="BLPH14">#REF!</definedName>
    <definedName name="BLPH15">#REF!</definedName>
    <definedName name="BLPH16">#REF!</definedName>
    <definedName name="BLPH17">#REF!</definedName>
    <definedName name="BLPH18">#REF!</definedName>
    <definedName name="BLPH19">#REF!</definedName>
    <definedName name="BLPH2">#REF!</definedName>
    <definedName name="BLPH20">#REF!</definedName>
    <definedName name="BLPH200001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">#REF!</definedName>
    <definedName name="Bridge" localSheetId="25">{"'Highlights'!$A$1:$M$123"}</definedName>
    <definedName name="Bridge" localSheetId="20">{"'Highlights'!$A$1:$M$123"}</definedName>
    <definedName name="Bridge">{"'Highlights'!$A$1:$M$123"}</definedName>
    <definedName name="BROWN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localSheetId="25">{#N/A,#N/A,FALSE,"Job Sched"}</definedName>
    <definedName name="bs" localSheetId="20">{#N/A,#N/A,FALSE,"Job Sched"}</definedName>
    <definedName name="bs">{#N/A,#N/A,FALSE,"Job Sched"}</definedName>
    <definedName name="BSIWhichPageSetup">1</definedName>
    <definedName name="BSIWhichPageSetup_0">"0þ"</definedName>
    <definedName name="bskdfj" localSheetId="25">{"bs",#N/A,FALSE,"SCF"}</definedName>
    <definedName name="bskdfj" localSheetId="20">{"bs",#N/A,FALSE,"SCF"}</definedName>
    <definedName name="bskdfj">{"bs",#N/A,FALSE,"SCF"}</definedName>
    <definedName name="bsl" localSheetId="25">{"bs",#N/A,FALSE,"SCF"}</definedName>
    <definedName name="bsl" localSheetId="20">{"bs",#N/A,FALSE,"SCF"}</definedName>
    <definedName name="bsl">{"bs",#N/A,FALSE,"SCF"}</definedName>
    <definedName name="bss" localSheetId="25">{"bs",#N/A,FALSE,"SCF"}</definedName>
    <definedName name="bss" localSheetId="20">{"bs",#N/A,FALSE,"SCF"}</definedName>
    <definedName name="bss">{"bs",#N/A,FALSE,"SCF"}</definedName>
    <definedName name="bst" localSheetId="25">{"bs",#N/A,FALSE,"SCF"}</definedName>
    <definedName name="bst" localSheetId="20">{"bs",#N/A,FALSE,"SCF"}</definedName>
    <definedName name="bst">{"bs",#N/A,FALSE,"SCF"}</definedName>
    <definedName name="bsth" localSheetId="25">{"bs",#N/A,FALSE,"SCF"}</definedName>
    <definedName name="bsth" localSheetId="20">{"bs",#N/A,FALSE,"SCF"}</definedName>
    <definedName name="bsth">{"bs",#N/A,FALSE,"SCF"}</definedName>
    <definedName name="bvwrg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ye" localSheetId="25">{#N/A,#N/A,FALSE,"Aging Summary";#N/A,#N/A,FALSE,"Ratio Analysis";#N/A,#N/A,FALSE,"Test 120 Day Accts";#N/A,#N/A,FALSE,"Tickmarks"}</definedName>
    <definedName name="bye" localSheetId="20">{#N/A,#N/A,FALSE,"Aging Summary";#N/A,#N/A,FALSE,"Ratio Analysis";#N/A,#N/A,FALSE,"Test 120 Day Accts";#N/A,#N/A,FALSE,"Tickmarks"}</definedName>
    <definedName name="bye">{#N/A,#N/A,FALSE,"Aging Summary";#N/A,#N/A,FALSE,"Ratio Analysis";#N/A,#N/A,FALSE,"Test 120 Day Accts";#N/A,#N/A,FALSE,"Tickmarks"}</definedName>
    <definedName name="cap.pos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localSheetId="25">{#N/A,#N/A,FALSE,"IPO";#N/A,#N/A,FALSE,"DCF";#N/A,#N/A,FALSE,"LBO";#N/A,#N/A,FALSE,"MULT_VAL";#N/A,#N/A,FALSE,"Status Quo";#N/A,#N/A,FALSE,"Recap"}</definedName>
    <definedName name="Capacity" localSheetId="20">{#N/A,#N/A,FALSE,"IPO";#N/A,#N/A,FALSE,"DCF";#N/A,#N/A,FALSE,"LBO";#N/A,#N/A,FALSE,"MULT_VAL";#N/A,#N/A,FALSE,"Status Quo";#N/A,#N/A,FALSE,"Recap"}</definedName>
    <definedName name="Capacity">{#N/A,#N/A,FALSE,"IPO";#N/A,#N/A,FALSE,"DCF";#N/A,#N/A,FALSE,"LBO";#N/A,#N/A,FALSE,"MULT_VAL";#N/A,#N/A,FALSE,"Status Quo";#N/A,#N/A,FALSE,"Recap"}</definedName>
    <definedName name="cawc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_sChart1D5372A5_opts">"1, 5, 1, False, 2, False, False, , 0, False, False, 1, 1"</definedName>
    <definedName name="cb_sChart41E9A35_opts">"1, 9, 1, False, 2, False, False, , 0, False, True, 1, 1"</definedName>
    <definedName name="cb_sChart68E08A4_opts">"1, 1, 1, False, 2, True, False, , 0, False, False, 2, 2"</definedName>
    <definedName name="cb_sChart6F544DD_opts">"1, 3, 1, False, 2, False, False, , 0, False, False, 2, 1"</definedName>
    <definedName name="cb_sChart74FE4B0_opts">"1, 4, 1, False, 2, True, False, , 0, False, False, 1, 1"</definedName>
    <definedName name="cb_sChart74FE8FC_opts">"1, 4, 1, False, 2, True, False, , 0, False, False, 1, 1"</definedName>
    <definedName name="cb_sChartE2218BA_opts">"1, 4, 1, False, 2, False, False, , 0, False, True, 1, 1"</definedName>
    <definedName name="cb_sChartE221ADA_opts">"1, 5, 1, False, 2, False, False, , 0, False, False, 1, 1"</definedName>
    <definedName name="cb_sChartF046D89_opts">"1, 1, 1, False, 2, True, False, , 1, False, False, 1, 1"</definedName>
    <definedName name="cb_sChartF048B26_opts">"1, 5, 1, False, 2, False, False, , 1, False, False, 1, 2"</definedName>
    <definedName name="cb_sChartF2B7B01_opts">"1, 1, 1, False, 2, True, False, , 1, False, False, 1, 1"</definedName>
    <definedName name="cc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ccc" localSheetId="25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 localSheetId="20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c" localSheetId="25">{#N/A,#N/A,FALSE,"SUM";#N/A,#N/A,FALSE,"Holding Cost ";#N/A,#N/A,FALSE,"2000 &amp; C3D";#N/A,#N/A,FALSE,"Disposal Costs";#N/A,#N/A,FALSE,"WIP";#N/A,#N/A,FALSE,"Fin Goods"}</definedName>
    <definedName name="cccc" localSheetId="20">{#N/A,#N/A,FALSE,"SUM";#N/A,#N/A,FALSE,"Holding Cost ";#N/A,#N/A,FALSE,"2000 &amp; C3D";#N/A,#N/A,FALSE,"Disposal Costs";#N/A,#N/A,FALSE,"WIP";#N/A,#N/A,FALSE,"Fin Goods"}</definedName>
    <definedName name="cccc">{#N/A,#N/A,FALSE,"SUM";#N/A,#N/A,FALSE,"Holding Cost ";#N/A,#N/A,FALSE,"2000 &amp; C3D";#N/A,#N/A,FALSE,"Disposal Costs";#N/A,#N/A,FALSE,"WIP";#N/A,#N/A,FALSE,"Fin Goods"}</definedName>
    <definedName name="ccccc" localSheetId="25">{"revenue detail 1",#N/A,FALSE,"Revenue Detail";"revenue detail 2",#N/A,FALSE,"Revenue Detail";"revenue detail 3",#N/A,FALSE,"Revenue Detail";"revenue detail 4",#N/A,FALSE,"Revenue Detail"}</definedName>
    <definedName name="ccccc" localSheetId="20">{"revenue detail 1",#N/A,FALSE,"Revenue Detail";"revenue detail 2",#N/A,FALSE,"Revenue Detail";"revenue detail 3",#N/A,FALSE,"Revenue Detail";"revenue detail 4",#N/A,FALSE,"Revenue Detail"}</definedName>
    <definedName name="ccccc">{"revenue detail 1",#N/A,FALSE,"Revenue Detail";"revenue detail 2",#N/A,FALSE,"Revenue Detail";"revenue detail 3",#N/A,FALSE,"Revenue Detail";"revenue detail 4",#N/A,FALSE,"Revenue Detail"}</definedName>
    <definedName name="cccccc" localSheetId="25">{#N/A,#N/A,TRUE,"Falcons_Standalone";#N/A,#N/A,TRUE,"Target_Input";#N/A,#N/A,TRUE,"Target_Calendarized"}</definedName>
    <definedName name="cccccc" localSheetId="20">{#N/A,#N/A,TRUE,"Falcons_Standalone";#N/A,#N/A,TRUE,"Target_Input";#N/A,#N/A,TRUE,"Target_Calendarized"}</definedName>
    <definedName name="cccccc">{#N/A,#N/A,TRUE,"Falcons_Standalone";#N/A,#N/A,TRUE,"Target_Input";#N/A,#N/A,TRUE,"Target_Calendarized"}</definedName>
    <definedName name="ccccccc" localSheetId="25">{"revenue graph",#N/A,FALSE,"Revenue Graph"}</definedName>
    <definedName name="ccccccc" localSheetId="20">{"revenue graph",#N/A,FALSE,"Revenue Graph"}</definedName>
    <definedName name="ccccccc">{"revenue graph",#N/A,FALSE,"Revenue Graph"}</definedName>
    <definedName name="cccccccc" localSheetId="25">{"Total",#N/A,FALSE,"Six Fields";"PDP",#N/A,FALSE,"Six Fields";"PNP",#N/A,FALSE,"Six Fields";"PUD",#N/A,FALSE,"Six Fields";"Prob",#N/A,FALSE,"Six Fields"}</definedName>
    <definedName name="cccccccc" localSheetId="20">{"Total",#N/A,FALSE,"Six Fields";"PDP",#N/A,FALSE,"Six Fields";"PNP",#N/A,FALSE,"Six Fields";"PUD",#N/A,FALSE,"Six Fields";"Prob",#N/A,FALSE,"Six Fields"}</definedName>
    <definedName name="cccccccc">{"Total",#N/A,FALSE,"Six Fields";"PDP",#N/A,FALSE,"Six Fields";"PNP",#N/A,FALSE,"Six Fields";"PUD",#N/A,FALSE,"Six Fields";"Prob",#N/A,FALSE,"Six Fields"}</definedName>
    <definedName name="ccccccccc" localSheetId="25">{"Sum1",#N/A,FALSE,"Reserve Report";"Sum2",#N/A,FALSE,"Reserve Report";"Sum3",#N/A,FALSE,"Reserve Report";"Sum4",#N/A,FALSE,"Reserve Report"}</definedName>
    <definedName name="ccccccccc" localSheetId="20">{"Sum1",#N/A,FALSE,"Reserve Report";"Sum2",#N/A,FALSE,"Reserve Report";"Sum3",#N/A,FALSE,"Reserve Report";"Sum4",#N/A,FALSE,"Reserve Report"}</definedName>
    <definedName name="ccccccccc">{"Sum1",#N/A,FALSE,"Reserve Report";"Sum2",#N/A,FALSE,"Reserve Report";"Sum3",#N/A,FALSE,"Reserve Report";"Sum4",#N/A,FALSE,"Reserve Report"}</definedName>
    <definedName name="CDW" localSheetId="25">{#N/A,#N/A,FALSE,"Job Sched"}</definedName>
    <definedName name="CDW" localSheetId="20">{#N/A,#N/A,FALSE,"Job Sched"}</definedName>
    <definedName name="CDW">{#N/A,#N/A,FALSE,"Job Sched"}</definedName>
    <definedName name="Change2">#REF!</definedName>
    <definedName name="Change3">#REF!</definedName>
    <definedName name="Change4">#REF!</definedName>
    <definedName name="ChangeRange">#REF!</definedName>
    <definedName name="ChangeRange2">#REF!</definedName>
    <definedName name="Charts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arts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art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chiho" localSheetId="25">{"'下期集計（10.27迄・速報値）'!$Q$16"}</definedName>
    <definedName name="chiho" localSheetId="20">{"'下期集計（10.27迄・速報値）'!$Q$16"}</definedName>
    <definedName name="chiho">{"'下期集計（10.27迄・速報値）'!$Q$16"}</definedName>
    <definedName name="CIQANR_0cdc9bc9617447d9918b87c0498c940b">#REF!</definedName>
    <definedName name="CIQANR_157b185613f048f282bdddd768cc31e3">#REF!</definedName>
    <definedName name="CIQANR_18113b82c54b47d7b62173a743de6ade">#REF!</definedName>
    <definedName name="CIQANR_1830267ee08e4f81a28886312ed0ec5c">#REF!</definedName>
    <definedName name="CIQANR_19b71c4a10f440f69b1bee3059f53a69">#REF!</definedName>
    <definedName name="CIQANR_1f6e66a455ef4fe88016c991ae4b37ca">#REF!</definedName>
    <definedName name="CIQANR_2f5da5a31d07487e82e98a1bdd7ced7e">#REF!</definedName>
    <definedName name="CIQANR_2ff2df1710c04b7f84b65e4a6718d85d">#REF!</definedName>
    <definedName name="CIQANR_3413f8e2a79a4750b75899d22968ad34">#REF!</definedName>
    <definedName name="CIQANR_36889a98b1614032bb2308cb84381dd6">#REF!</definedName>
    <definedName name="CIQANR_39f9bc360016443185452b87fd3d9eec">#REF!</definedName>
    <definedName name="CIQANR_3af002bac10146bbb9a3de18eaef1400">#REF!</definedName>
    <definedName name="CIQANR_4ac146632eb84d16b942b9883adbd924">#REF!</definedName>
    <definedName name="CIQANR_4dda386863bf428e9e3a6a49f2ae944c">#REF!</definedName>
    <definedName name="CIQANR_5e13679c97334bce9ae37621e85a7616">#REF!</definedName>
    <definedName name="CIQANR_611ecffb907e444c86408143fad40851">#REF!</definedName>
    <definedName name="CIQANR_7027aaec95d94590b43439b7ddf20574">#REF!</definedName>
    <definedName name="CIQANR_717062aa10bb4e909ccf3a95d5560b21">#REF!</definedName>
    <definedName name="CIQANR_72913ad941b84e60b98d433df87ffce7">#REF!</definedName>
    <definedName name="CIQANR_77fb9279df8a493e8f5a709f63aaae99">#REF!</definedName>
    <definedName name="CIQANR_79fe43782c344a37bbd1794ff60680fb">#REF!</definedName>
    <definedName name="CIQANR_80f35069a89349f58857b20f3567e47c">#REF!</definedName>
    <definedName name="CIQANR_81dd27bdffba41b090884a3c67d2d439">#REF!</definedName>
    <definedName name="CIQANR_844de01878314ea5b4cfe0fc6a5d9232">#REF!</definedName>
    <definedName name="CIQANR_88c69f3a986b4777b9cdf6992a74d3dd">#REF!</definedName>
    <definedName name="CIQANR_93000237be504f62abac86c512938f4e">#REF!</definedName>
    <definedName name="CIQANR_9a7b7ac833294b6091b0ca37b516c297">#REF!</definedName>
    <definedName name="CIQANR_9ccc5add95ac4eefae02248b669d161c">#REF!</definedName>
    <definedName name="CIQANR_a38e4697e5dc42259580e9ca03909ec2">#REF!</definedName>
    <definedName name="CIQANR_a5aed6c2bd8e421cb2ae5ed5fcc5170d">#REF!</definedName>
    <definedName name="CIQANR_a5afacb2184747cd8c67ca7713db1aab">#REF!</definedName>
    <definedName name="CIQANR_a66129044a2c42d0933e997b5463698e">#REF!</definedName>
    <definedName name="CIQANR_acf9a5f478d741f2b7331bb557e4e755">#REF!</definedName>
    <definedName name="CIQANR_c792abc0d658466597f9228677b02083">#REF!</definedName>
    <definedName name="CIQANR_dd4c5f4e22d9498a934d71c4eb6eb4eb">#REF!</definedName>
    <definedName name="CIQANR_dfbd768cbfaf43ce93cdde13a94bc3b3">#REF!</definedName>
    <definedName name="CIQANR_e476d3bf91f946b9a1ff31e1cd44db92">#REF!</definedName>
    <definedName name="CIQANR_f076546fe15e43c588c020a5f0b9192b">#REF!</definedName>
    <definedName name="CIQANR_f08ea20652d441a880b1a2465b5b2b73">#REF!</definedName>
    <definedName name="CIQANR_f0aef81c6a40429a9ec399517ac493d6">#REF!</definedName>
    <definedName name="CIQANR_f31cc8cc57a040e7a506103a704cca6d">#REF!</definedName>
    <definedName name="CIQANR_f64a81b2bafc4adb852e91f8ef8a4538">#REF!</definedName>
    <definedName name="CIQWBGuid">"Laszeray Rolling Monthly v2 for Forecast.xlsx"</definedName>
    <definedName name="CIQWBGuil2">"c74735fe-0900-4227-b020-948d12a31ac8"</definedName>
    <definedName name="CIQWBInfo">"{ ""CIQVersion"":""9.49.2423.4439"" }"</definedName>
    <definedName name="CM_Accounts">#REF!</definedName>
    <definedName name="CM_Actual">#REF!</definedName>
    <definedName name="CM_Actual_Dump">#REF!</definedName>
    <definedName name="CM_ActualYTD_Dump">#REF!</definedName>
    <definedName name="CM_Budget_Dump">#REF!</definedName>
    <definedName name="CM_BudgetYTD_Dump">#REF!</definedName>
    <definedName name="CM_CONTR">#REF!</definedName>
    <definedName name="CM_DIV">#REF!</definedName>
    <definedName name="CM_GDWS">#REF!</definedName>
    <definedName name="Code">#REF!</definedName>
    <definedName name="comm" localSheetId="25">{"PAGE 1",#N/A,FALSE,"WEST_OT"}</definedName>
    <definedName name="comm" localSheetId="20">{"PAGE 1",#N/A,FALSE,"WEST_OT"}</definedName>
    <definedName name="comm">{"PAGE 1",#N/A,FALSE,"WEST_OT"}</definedName>
    <definedName name="comm2" localSheetId="25">{"PAGE 1",#N/A,FALSE,"WEST_OT"}</definedName>
    <definedName name="comm2" localSheetId="20">{"PAGE 1",#N/A,FALSE,"WEST_OT"}</definedName>
    <definedName name="comm2">{"PAGE 1",#N/A,FALSE,"WEST_OT"}</definedName>
    <definedName name="comm3" localSheetId="25">{"PAGE 1",#N/A,FALSE,"WEST_OT"}</definedName>
    <definedName name="comm3" localSheetId="20">{"PAGE 1",#N/A,FALSE,"WEST_OT"}</definedName>
    <definedName name="comm3">{"PAGE 1",#N/A,FALSE,"WEST_OT"}</definedName>
    <definedName name="commrev2" localSheetId="25">{"PAGE 1",#N/A,FALSE,"WEST_OT"}</definedName>
    <definedName name="commrev2" localSheetId="20">{"PAGE 1",#N/A,FALSE,"WEST_OT"}</definedName>
    <definedName name="commrev2">{"PAGE 1",#N/A,FALSE,"WEST_OT"}</definedName>
    <definedName name="ComparatEU" localSheetId="25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 localSheetId="20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results" localSheetId="25">{"FCB_ALL",#N/A,FALSE,"FCB"}</definedName>
    <definedName name="compresults" localSheetId="20">{"FCB_ALL",#N/A,FALSE,"FCB"}</definedName>
    <definedName name="compresults">{"FCB_ALL",#N/A,FALSE,"FCB"}</definedName>
    <definedName name="coname">#REF!</definedName>
    <definedName name="consumer3" localSheetId="25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" localSheetId="20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sumer3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ContentsHelp">#REF!</definedName>
    <definedName name="ContentsHelp2">#REF!</definedName>
    <definedName name="Copy" localSheetId="25">{#N/A,#N/A,FALSE,"TESTING";#N/A,#N/A,FALSE,"TESTING"}</definedName>
    <definedName name="Copy" localSheetId="20">{#N/A,#N/A,FALSE,"TESTING";#N/A,#N/A,FALSE,"TESTING"}</definedName>
    <definedName name="Copy">{#N/A,#N/A,FALSE,"TESTING";#N/A,#N/A,FALSE,"TESTING"}</definedName>
    <definedName name="Corporate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un" localSheetId="25">{#N/A,#N/A,FALSE,"Assessment";#N/A,#N/A,FALSE,"Staffing";#N/A,#N/A,FALSE,"Hires";#N/A,#N/A,FALSE,"Assumptions"}</definedName>
    <definedName name="coun" localSheetId="20">{#N/A,#N/A,FALSE,"Assessment";#N/A,#N/A,FALSE,"Staffing";#N/A,#N/A,FALSE,"Hires";#N/A,#N/A,FALSE,"Assumptions"}</definedName>
    <definedName name="coun">{#N/A,#N/A,FALSE,"Assessment";#N/A,#N/A,FALSE,"Staffing";#N/A,#N/A,FALSE,"Hires";#N/A,#N/A,FALSE,"Assumptions"}</definedName>
    <definedName name="COUNTRY" localSheetId="25">{#N/A,#N/A,FALSE,"Assessment";#N/A,#N/A,FALSE,"Staffing";#N/A,#N/A,FALSE,"Hires";#N/A,#N/A,FALSE,"Assumptions"}</definedName>
    <definedName name="COUNTRY" localSheetId="20">{#N/A,#N/A,FALSE,"Assessment";#N/A,#N/A,FALSE,"Staffing";#N/A,#N/A,FALSE,"Hires";#N/A,#N/A,FALSE,"Assumptions"}</definedName>
    <definedName name="COUNTRY">{#N/A,#N/A,FALSE,"Assessment";#N/A,#N/A,FALSE,"Staffing";#N/A,#N/A,FALSE,"Hires";#N/A,#N/A,FALSE,"Assumptions"}</definedName>
    <definedName name="cpvs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>#REF!</definedName>
    <definedName name="CreateTable2">#REF!</definedName>
    <definedName name="csdfsa">"c4427"</definedName>
    <definedName name="Cwvu.GREY_ALL.">#REF!</definedName>
    <definedName name="cxaa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Y_15_IS">#REF!</definedName>
    <definedName name="CY_16_IS">#REF!</definedName>
    <definedName name="d" localSheetId="25">{#N/A,#N/A,TRUE,"Acquirer_Cases_Input";#N/A,#N/A,TRUE,"Acquirer_Input";#N/A,#N/A,TRUE,"Acquirer"}</definedName>
    <definedName name="d" localSheetId="20">{#N/A,#N/A,TRUE,"Acquirer_Cases_Input";#N/A,#N/A,TRUE,"Acquirer_Input";#N/A,#N/A,TRUE,"Acquirer"}</definedName>
    <definedName name="d">{#N/A,#N/A,TRUE,"Acquirer_Cases_Input";#N/A,#N/A,TRUE,"Acquirer_Input";#N/A,#N/A,TRUE,"Acquirer"}</definedName>
    <definedName name="dafd" localSheetId="25">{"bs",#N/A,FALSE,"SCF"}</definedName>
    <definedName name="dafd" localSheetId="20">{"bs",#N/A,FALSE,"SCF"}</definedName>
    <definedName name="dafd">{"bs",#N/A,FALSE,"SCF"}</definedName>
    <definedName name="dafdsaf" localSheetId="25">{"incomemth",#N/A,TRUE,"forecast00";"incomepercentmth",#N/A,TRUE,"forecast00";"balancemth",#N/A,TRUE,"forecast00";"cashmth",#N/A,TRUE,"forecast00";"covenantmth",#N/A,TRUE,"forecast00"}</definedName>
    <definedName name="dafdsaf" localSheetId="20">{"incomemth",#N/A,TRUE,"forecast00";"incomepercentmth",#N/A,TRUE,"forecast00";"balancemth",#N/A,TRUE,"forecast00";"cashmth",#N/A,TRUE,"forecast00";"covenantmth",#N/A,TRUE,"forecast00"}</definedName>
    <definedName name="dafdsaf">{"incomemth",#N/A,TRUE,"forecast00";"incomepercentmth",#N/A,TRUE,"forecast00";"balancemth",#N/A,TRUE,"forecast00";"cashmth",#N/A,TRUE,"forecast00";"covenantmth",#N/A,TRUE,"forecast00"}</definedName>
    <definedName name="dafesra">#REF!</definedName>
    <definedName name="dafsaf1" localSheetId="25">{"incomemth",#N/A,TRUE,"forecast00";"incomepercentmth",#N/A,TRUE,"forecast00";"balancemth",#N/A,TRUE,"forecast00";"cashmth",#N/A,TRUE,"forecast00";"covenantmth",#N/A,TRUE,"forecast00"}</definedName>
    <definedName name="dafsaf1" localSheetId="20">{"incomemth",#N/A,TRUE,"forecast00";"incomepercentmth",#N/A,TRUE,"forecast00";"balancemth",#N/A,TRUE,"forecast00";"cashmth",#N/A,TRUE,"forecast00";"covenantmth",#N/A,TRUE,"forecast00"}</definedName>
    <definedName name="dafsaf1">{"incomemth",#N/A,TRUE,"forecast00";"incomepercentmth",#N/A,TRUE,"forecast00";"balancemth",#N/A,TRUE,"forecast00";"cashmth",#N/A,TRUE,"forecast00";"covenantmth",#N/A,TRUE,"forecast00"}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bf" localSheetId="25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 localSheetId="20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d" localSheetId="25">{#N/A,#N/A,FALSE,"AD_Purch";#N/A,#N/A,FALSE,"Projections";#N/A,#N/A,FALSE,"DCF";#N/A,#N/A,FALSE,"Mkt Val"}</definedName>
    <definedName name="dd" localSheetId="20">{#N/A,#N/A,FALSE,"AD_Purch";#N/A,#N/A,FALSE,"Projections";#N/A,#N/A,FALSE,"DCF";#N/A,#N/A,FALSE,"Mkt Val"}</definedName>
    <definedName name="dd">{#N/A,#N/A,FALSE,"AD_Purch";#N/A,#N/A,FALSE,"Projections";#N/A,#N/A,FALSE,"DCF";#N/A,#N/A,FALSE,"Mkt Val"}</definedName>
    <definedName name="ddd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d" localSheetId="25">{#N/A,#N/A,TRUE,"FOC_Product_Assumptions"}</definedName>
    <definedName name="dddd" localSheetId="20">{#N/A,#N/A,TRUE,"FOC_Product_Assumptions"}</definedName>
    <definedName name="dddd">{#N/A,#N/A,TRUE,"FOC_Product_Assumptions"}</definedName>
    <definedName name="ddddddddd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ebt000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localSheetId="25">{"Outflow 1",#N/A,FALSE,"Outflows-Inflows";"Outflow 2",#N/A,FALSE,"Outflows-Inflows";"Inflow 1",#N/A,FALSE,"Outflows-Inflows";"Inflow 2",#N/A,FALSE,"Outflows-Inflows"}</definedName>
    <definedName name="DebtService1" localSheetId="20">{"Outflow 1",#N/A,FALSE,"Outflows-Inflows";"Outflow 2",#N/A,FALSE,"Outflows-Inflows";"Inflow 1",#N/A,FALSE,"Outflows-Inflows";"Inflow 2",#N/A,FALSE,"Outflows-Inflows"}</definedName>
    <definedName name="DebtService1">{"Outflow 1",#N/A,FALSE,"Outflows-Inflows";"Outflow 2",#N/A,FALSE,"Outflows-Inflows";"Inflow 1",#N/A,FALSE,"Outflows-Inflows";"Inflow 2",#N/A,FALSE,"Outflows-Inflows"}</definedName>
    <definedName name="Dec95JobSched" localSheetId="25">{#N/A,#N/A,FALSE,"Job Sched"}</definedName>
    <definedName name="Dec95JobSched" localSheetId="20">{#N/A,#N/A,FALSE,"Job Sched"}</definedName>
    <definedName name="Dec95JobSched">{#N/A,#N/A,FALSE,"Job Sched"}</definedName>
    <definedName name="delete1" localSheetId="25">{"bs",#N/A,FALSE,"SCF"}</definedName>
    <definedName name="delete1" localSheetId="20">{"bs",#N/A,FALSE,"SCF"}</definedName>
    <definedName name="delete1">{"bs",#N/A,FALSE,"SCF"}</definedName>
    <definedName name="DeleteRange">#REF!</definedName>
    <definedName name="DeleteRange2">#REF!</definedName>
    <definedName name="DeleteTable">#REF!</definedName>
    <definedName name="DeleteTable2">#REF!</definedName>
    <definedName name="dfdfdfd" localSheetId="25">{#N/A,#N/A,FALSE,"AD_Purchase";#N/A,#N/A,FALSE,"Credit";#N/A,#N/A,FALSE,"PF Acquisition";#N/A,#N/A,FALSE,"PF Offering"}</definedName>
    <definedName name="dfdfdfd" localSheetId="20">{#N/A,#N/A,FALSE,"AD_Purchase";#N/A,#N/A,FALSE,"Credit";#N/A,#N/A,FALSE,"PF Acquisition";#N/A,#N/A,FALSE,"PF Offering"}</definedName>
    <definedName name="dfdfdfd">{#N/A,#N/A,FALSE,"AD_Purchase";#N/A,#N/A,FALSE,"Credit";#N/A,#N/A,FALSE,"PF Acquisition";#N/A,#N/A,FALSE,"PF Offering"}</definedName>
    <definedName name="dfdfdfldsj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25">{#N/A,#N/A,FALSE,"Assump";#N/A,#N/A,FALSE,"Income";#N/A,#N/A,FALSE,"Balance";#N/A,#N/A,FALSE,"DCF Pump";#N/A,#N/A,FALSE,"Trans Assump";#N/A,#N/A,FALSE,"Combined Income";#N/A,#N/A,FALSE,"Combined Balance"}</definedName>
    <definedName name="dfgdfgdfg" localSheetId="20">{#N/A,#N/A,FALSE,"Assump";#N/A,#N/A,FALSE,"Income";#N/A,#N/A,FALSE,"Balance";#N/A,#N/A,FALSE,"DCF Pump";#N/A,#N/A,FALSE,"Trans Assump";#N/A,#N/A,FALSE,"Combined Income";#N/A,#N/A,FALSE,"Combined Balance"}</definedName>
    <definedName name="dfgdfgdfg">{#N/A,#N/A,FALSE,"Assump";#N/A,#N/A,FALSE,"Income";#N/A,#N/A,FALSE,"Balance";#N/A,#N/A,FALSE,"DCF Pump";#N/A,#N/A,FALSE,"Trans Assump";#N/A,#N/A,FALSE,"Combined Income";#N/A,#N/A,FALSE,"Combined Balance"}</definedName>
    <definedName name="dfgds">38922.8233796296</definedName>
    <definedName name="dfj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localSheetId="25">{"incomemth",#N/A,TRUE,"forecast00";"incomepercentmth",#N/A,TRUE,"forecast00";"balancemth",#N/A,TRUE,"forecast00";"cashmth",#N/A,TRUE,"forecast00";"covenantmth",#N/A,TRUE,"forecast00"}</definedName>
    <definedName name="dfjk" localSheetId="20">{"incomemth",#N/A,TRUE,"forecast00";"incomepercentmth",#N/A,TRUE,"forecast00";"balancemth",#N/A,TRUE,"forecast00";"cashmth",#N/A,TRUE,"forecast00";"covenantmth",#N/A,TRUE,"forecast00"}</definedName>
    <definedName name="dfjk">{"incomemth",#N/A,TRUE,"forecast00";"incomepercentmth",#N/A,TRUE,"forecast00";"balancemth",#N/A,TRUE,"forecast00";"cashmth",#N/A,TRUE,"forecast00";"covenantmth",#N/A,TRUE,"forecast00"}</definedName>
    <definedName name="dfjl" localSheetId="25">{"bs",#N/A,FALSE,"SCF"}</definedName>
    <definedName name="dfjl" localSheetId="20">{"bs",#N/A,FALSE,"SCF"}</definedName>
    <definedName name="dfjl">{"bs",#N/A,FALSE,"SCF"}</definedName>
    <definedName name="dfjsld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sfa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isplay_area_2">#REF!</definedName>
    <definedName name="DJK" localSheetId="25">{"bs",#N/A,FALSE,"SCF"}</definedName>
    <definedName name="DJK" localSheetId="20">{"bs",#N/A,FALSE,"SCF"}</definedName>
    <definedName name="DJK">{"bs",#N/A,FALSE,"SCF"}</definedName>
    <definedName name="dk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ma" localSheetId="25">{"GLI-Income Statement",#N/A,FALSE,"gli";"GLI - Balance Sheet Wksht",#N/A,FALSE,"gli";"GLI-Cash Flow",#N/A,FALSE,"gli";"GLI Qtrly Stats",#N/A,FALSE,"gli"}</definedName>
    <definedName name="dma" localSheetId="20">{"GLI-Income Statement",#N/A,FALSE,"gli";"GLI - Balance Sheet Wksht",#N/A,FALSE,"gli";"GLI-Cash Flow",#N/A,FALSE,"gli";"GLI Qtrly Stats",#N/A,FALSE,"gli"}</definedName>
    <definedName name="dma">{"GLI-Income Statement",#N/A,FALSE,"gli";"GLI - Balance Sheet Wksht",#N/A,FALSE,"gli";"GLI-Cash Flow",#N/A,FALSE,"gli";"GLI Qtrly Stats",#N/A,FALSE,"gli"}</definedName>
    <definedName name="DME_DocumentFlags">"1"</definedName>
    <definedName name="DME_DocumentID">"::ODMA\DME-MSE\London-36832"</definedName>
    <definedName name="DME_DocumentOpened">"True"</definedName>
    <definedName name="DME_DocumentTitle">"London-36832 - Standard Mini Model"</definedName>
    <definedName name="DME_LocalFile">"False"</definedName>
    <definedName name="DME_NextWindowNumber">"2"</definedName>
    <definedName name="doh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sa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uper" localSheetId="25">{#N/A,#N/A,FALSE,"Summary";#N/A,#N/A,FALSE,"Projections";#N/A,#N/A,FALSE,"Mkt Mults";#N/A,#N/A,FALSE,"DCF";#N/A,#N/A,FALSE,"Accr Dil";#N/A,#N/A,FALSE,"PIC LBO";#N/A,#N/A,FALSE,"MULT10_4";#N/A,#N/A,FALSE,"CBI LBO"}</definedName>
    <definedName name="Duper" localSheetId="20">{#N/A,#N/A,FALSE,"Summary";#N/A,#N/A,FALSE,"Projections";#N/A,#N/A,FALSE,"Mkt Mults";#N/A,#N/A,FALSE,"DCF";#N/A,#N/A,FALSE,"Accr Dil";#N/A,#N/A,FALSE,"PIC LBO";#N/A,#N/A,FALSE,"MULT10_4";#N/A,#N/A,FALSE,"CBI LBO"}</definedName>
    <definedName name="Duper">{#N/A,#N/A,FALSE,"Summary";#N/A,#N/A,FALSE,"Projections";#N/A,#N/A,FALSE,"Mkt Mults";#N/A,#N/A,FALSE,"DCF";#N/A,#N/A,FALSE,"Accr Dil";#N/A,#N/A,FALSE,"PIC LBO";#N/A,#N/A,FALSE,"MULT10_4";#N/A,#N/A,FALSE,"CBI LBO"}</definedName>
    <definedName name="dwcwc" localSheetId="25">{#N/A,#N/A,FALSE,"Assump";#N/A,#N/A,FALSE,"Income";#N/A,#N/A,FALSE,"Balance";#N/A,#N/A,FALSE,"DCF Pump";#N/A,#N/A,FALSE,"Trans Assump";#N/A,#N/A,FALSE,"Combined Income";#N/A,#N/A,FALSE,"Combined Balance"}</definedName>
    <definedName name="dwcwc" localSheetId="20">{#N/A,#N/A,FALSE,"Assump";#N/A,#N/A,FALSE,"Income";#N/A,#N/A,FALSE,"Balance";#N/A,#N/A,FALSE,"DCF Pump";#N/A,#N/A,FALSE,"Trans Assump";#N/A,#N/A,FALSE,"Combined Income";#N/A,#N/A,FALSE,"Combined Balance"}</definedName>
    <definedName name="dwcwc">{#N/A,#N/A,FALSE,"Assump";#N/A,#N/A,FALSE,"Income";#N/A,#N/A,FALSE,"Balance";#N/A,#N/A,FALSE,"DCF Pump";#N/A,#N/A,FALSE,"Trans Assump";#N/A,#N/A,FALSE,"Combined Income";#N/A,#N/A,FALSE,"Combined Balance"}</definedName>
    <definedName name="dzfsdf" localSheetId="25">{#N/A,#N/A,TRUE,"FOC_Product_Assumptions"}</definedName>
    <definedName name="dzfsdf" localSheetId="20">{#N/A,#N/A,TRUE,"FOC_Product_Assumptions"}</definedName>
    <definedName name="dzfsdf">{#N/A,#N/A,TRUE,"FOC_Product_Assumptions"}</definedName>
    <definedName name="e" localSheetId="25">{"MonthlyRentRoll",#N/A,FALSE,"RentRoll"}</definedName>
    <definedName name="e" localSheetId="20">{"MonthlyRentRoll",#N/A,FALSE,"RentRoll"}</definedName>
    <definedName name="e">{"MonthlyRentRoll",#N/A,FALSE,"RentRoll"}</definedName>
    <definedName name="e5yy25y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e5yy25y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e5yy25y">{#N/A,#N/A,FALSE,"Projections";#N/A,#N/A,FALSE,"Contribution_Stock";#N/A,#N/A,FALSE,"PF_Combo_Stock";#N/A,#N/A,FALSE,"Projections";#N/A,#N/A,FALSE,"Contribution_Cash";#N/A,#N/A,FALSE,"PF_Combo_Cash";#N/A,#N/A,FALSE,"IPO_Cash"}</definedName>
    <definedName name="ee" localSheetId="25">{#N/A,#N/A,FALSE,"OperatingAssumptions"}</definedName>
    <definedName name="ee" localSheetId="20">{#N/A,#N/A,FALSE,"OperatingAssumptions"}</definedName>
    <definedName name="ee">{#N/A,#N/A,FALSE,"OperatingAssumptions"}</definedName>
    <definedName name="EEE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EE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ejejejej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ng" localSheetId="25">{"PAGE 1",#N/A,FALSE,"WEST_OT"}</definedName>
    <definedName name="Eng" localSheetId="20">{"PAGE 1",#N/A,FALSE,"WEST_OT"}</definedName>
    <definedName name="Eng">{"PAGE 1",#N/A,FALSE,"WEST_OT"}</definedName>
    <definedName name="ENG_BI_EXE_NAME">"BICORE.EXE"</definedName>
    <definedName name="ENG_BI_EXEC_CMD_ARGS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>"91061191011161050730660760720850650850800720661200551230541341320951161191061191011161050730660940900700820700831021171111181211051191120851191061151261270951161191051271041171010770670810700830870920790910770610870720830660810580530550510680560490480"</definedName>
    <definedName name="ENG_BI_EXEC_CMD_ARGS_3">"68050050055059060058059058065056063056055060053054053064055066066057050068051051053059058054059058062052063055049054063050052058059059055050059058053053064050058054059059063054063054051054063049058062059064055060050058053060057057063055049059134123099"</definedName>
    <definedName name="ENG_BI_EXEC_CMD_ARGS_4">"117118099112105103081065087078068079077070062106110129128079091077069086074069081069082069082083070056126"</definedName>
    <definedName name="ENG_BI_GEN_LIC">"1"</definedName>
    <definedName name="ENG_BI_GEN_LIC_WS">"True"</definedName>
    <definedName name="ENG_BI_TLA2">"152;120;133;91;249;21;39;191;31;68;207;73;225;167;47;216;175;109;105;194;178;125;73;16;103;190;84;195;53;158;61;126"</definedName>
    <definedName name="EraseMe" localSheetId="25">{#N/A,#N/A,FALSE,"Job Sched"}</definedName>
    <definedName name="EraseMe" localSheetId="20">{#N/A,#N/A,FALSE,"Job Sched"}</definedName>
    <definedName name="EraseMe">{#N/A,#N/A,FALSE,"Job Sched"}</definedName>
    <definedName name="ero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t" localSheetId="25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 localSheetId="20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stimate" localSheetId="25">{#N/A,#N/A,FALSE,"P&amp;L";#N/A,#N/A,FALSE,"Capital";#N/A,#N/A,FALSE,"Summary";#N/A,#N/A,FALSE,"VAR Rec";#N/A,#N/A,FALSE,"EBIT Rec"}</definedName>
    <definedName name="Estimate" localSheetId="20">{#N/A,#N/A,FALSE,"P&amp;L";#N/A,#N/A,FALSE,"Capital";#N/A,#N/A,FALSE,"Summary";#N/A,#N/A,FALSE,"VAR Rec";#N/A,#N/A,FALSE,"EBIT Rec"}</definedName>
    <definedName name="Estimate">{#N/A,#N/A,FALSE,"P&amp;L";#N/A,#N/A,FALSE,"Capital";#N/A,#N/A,FALSE,"Summary";#N/A,#N/A,FALSE,"VAR Rec";#N/A,#N/A,FALSE,"EBIT Rec"}</definedName>
    <definedName name="ETR">#REF!</definedName>
    <definedName name="ev.Calculation">-4135</definedName>
    <definedName name="ev.Initialized">FALSE</definedName>
    <definedName name="EV__ALLOWSTOPEXPAND__">1</definedName>
    <definedName name="EV__CVPARAMS__">"Any by Any!$C$11:$D$32;"</definedName>
    <definedName name="EV__DECIMALSYMBOL__">"."</definedName>
    <definedName name="EV__EVCOM_OPTIONS__">8</definedName>
    <definedName name="EV__EXPOPTIONS__">1</definedName>
    <definedName name="EV__LASTREFTIME__">"(GMT-06:00)11/12/2013 10:29:55 AM"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>"Miles,Plan,TotalAdj,TOT_DEPT,TOT_COMPANY,TOT_LOB,2008.total,PERIODIC,"</definedName>
    <definedName name="EV__LOCKEDCVW__FINANCE_HP">"Balance_Sheet,ACTUAL,C_HPE,All_DS,2011.dec,YTD,"</definedName>
    <definedName name="EV__LOCKEDCVW__HBG_REPORTING">"BTO_AllBillTo,CAT_ACTUAL,ACC_NetRev,P_GBP,DSR_TOTAL_DSRC,BDC_TOTAL_DC,MKT_ALLMK,2007.SEP,PRD_TOTAL_HBG,SDT_TOTALSD,STO_AllSoldTo,VEN_ALLVENDOR,PERIODIC,"</definedName>
    <definedName name="EV__LOCKEDCVW__PAYROLL">"11250,Actual,TotalAdj,TOT_DEPT,ALLEMPL,TOT_COMPANY_PF,Tot_Job,TOT_LOB,ALLPAYGROUPS,2008.Total,ALLDATACONT,PERIODIC,"</definedName>
    <definedName name="EV__LOCKEDCVW__RATE">"TotalEntity2,P_GBP,2007.TOTAL,RAT_PLA_MTH,CAT_ACTUAL,PERIODIC,"</definedName>
    <definedName name="EV__LOCKEDCVW__REVENUE">"CustomerData,Actual,1001018,Revenue,10,TOT_LOB,2009.SEP,PERIODIC,"</definedName>
    <definedName name="EV__LOCKEDCVW__SAFETY">"PrevDOTRatio_PLAN,Plan,Input,LINEHAUL,TOT_COMPANY,REGULAR,2009.TOTAL,PERIODIC,"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134217733</definedName>
    <definedName name="EV__WBVERSION__">0</definedName>
    <definedName name="ewr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localSheetId="25">{#N/A,#N/A,FALSE,"Projections";#N/A,#N/A,FALSE,"Multiples Valuation";#N/A,#N/A,FALSE,"LBO";#N/A,#N/A,FALSE,"Multiples_Sensitivity";#N/A,#N/A,FALSE,"Summary"}</definedName>
    <definedName name="ewrew" localSheetId="20">{#N/A,#N/A,FALSE,"Projections";#N/A,#N/A,FALSE,"Multiples Valuation";#N/A,#N/A,FALSE,"LBO";#N/A,#N/A,FALSE,"Multiples_Sensitivity";#N/A,#N/A,FALSE,"Summary"}</definedName>
    <definedName name="ewrew">{#N/A,#N/A,FALSE,"Projections";#N/A,#N/A,FALSE,"Multiples Valuation";#N/A,#N/A,FALSE,"LBO";#N/A,#N/A,FALSE,"Multiples_Sensitivity";#N/A,#N/A,FALSE,"Summary"}</definedName>
    <definedName name="ExactAddinConnection">"001"</definedName>
    <definedName name="ExactAddinConnection.001">"SQLVM;001;HenisDC;1"</definedName>
    <definedName name="ExactAddinConnection.002">"SQLVM;002;HenisDC;1"</definedName>
    <definedName name="ExactAddinConnection.003">"SQLVM;003;HenisDC;1"</definedName>
    <definedName name="ExactAddinConnection.005">"EVOLUTION;005;meberly;0"</definedName>
    <definedName name="ExactAddinConnection.100">"iecsa0600;100;staff.deublin;1"</definedName>
    <definedName name="ExactAddinReports">1</definedName>
    <definedName name="Exceptional" localSheetId="25">{#N/A,#N/A,FALSE,"TESTING";#N/A,#N/A,FALSE,"TESTING"}</definedName>
    <definedName name="Exceptional" localSheetId="20">{#N/A,#N/A,FALSE,"TESTING";#N/A,#N/A,FALSE,"TESTING"}</definedName>
    <definedName name="Exceptional">{#N/A,#N/A,FALSE,"TESTING";#N/A,#N/A,FALSE,"TESTING"}</definedName>
    <definedName name="Exp.2008" localSheetId="25">{"'WST RETAIL PRICE LIST Apr 9 (2)'!$B$1:$C$177"}</definedName>
    <definedName name="Exp.2008" localSheetId="20">{"'WST RETAIL PRICE LIST Apr 9 (2)'!$B$1:$C$177"}</definedName>
    <definedName name="Exp.2008">{"'WST RETAIL PRICE LIST Apr 9 (2)'!$B$1:$C$177"}</definedName>
    <definedName name="extr" localSheetId="25">{"P&amp;L",#N/A,TRUE,"HC";"P&amp;L Percents",#N/A,TRUE,"P&amp;L";"M&amp;A3 P&amp;L",#N/A,TRUE,"HC";"M&amp;A3 Pipeline",#N/A,TRUE,"HC";"Franchises",#N/A,TRUE,"HC";"CF&amp;BS",#N/A,TRUE,"HC"}</definedName>
    <definedName name="extr" localSheetId="20">{"P&amp;L",#N/A,TRUE,"HC";"P&amp;L Percents",#N/A,TRUE,"P&amp;L";"M&amp;A3 P&amp;L",#N/A,TRUE,"HC";"M&amp;A3 Pipeline",#N/A,TRUE,"HC";"Franchises",#N/A,TRUE,"HC";"CF&amp;BS",#N/A,TRUE,"HC"}</definedName>
    <definedName name="extr">{"P&amp;L",#N/A,TRUE,"HC";"P&amp;L Percents",#N/A,TRUE,"P&amp;L";"M&amp;A3 P&amp;L",#N/A,TRUE,"HC";"M&amp;A3 Pipeline",#N/A,TRUE,"HC";"Franchises",#N/A,TRUE,"HC";"CF&amp;BS",#N/A,TRUE,"HC"}</definedName>
    <definedName name="extr1" localSheetId="25">{"P&amp;L",#N/A,TRUE,"HC";"P&amp;L Percents",#N/A,TRUE,"P&amp;L";"M&amp;A3 P&amp;L",#N/A,TRUE,"HC";"M&amp;A3 Pipeline",#N/A,TRUE,"HC";"Franchises",#N/A,TRUE,"HC";"CF&amp;BS",#N/A,TRUE,"HC"}</definedName>
    <definedName name="extr1" localSheetId="20">{"P&amp;L",#N/A,TRUE,"HC";"P&amp;L Percents",#N/A,TRUE,"P&amp;L";"M&amp;A3 P&amp;L",#N/A,TRUE,"HC";"M&amp;A3 Pipeline",#N/A,TRUE,"HC";"Franchises",#N/A,TRUE,"HC";"CF&amp;BS",#N/A,TRUE,"HC"}</definedName>
    <definedName name="extr1">{"P&amp;L",#N/A,TRUE,"HC";"P&amp;L Percents",#N/A,TRUE,"P&amp;L";"M&amp;A3 P&amp;L",#N/A,TRUE,"HC";"M&amp;A3 Pipeline",#N/A,TRUE,"HC";"Franchises",#N/A,TRUE,"HC";"CF&amp;BS",#N/A,TRUE,"HC"}</definedName>
    <definedName name="eyteye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eyeey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Code">#REF!</definedName>
    <definedName name="fd">#REF!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f" localSheetId="25">{"incomemth",#N/A,TRUE,"forecast00";"incomepercentmth",#N/A,TRUE,"forecast00";"balancemth",#N/A,TRUE,"forecast00";"cashmth",#N/A,TRUE,"forecast00";"covenantmth",#N/A,TRUE,"forecast00"}</definedName>
    <definedName name="fdf" localSheetId="20">{"incomemth",#N/A,TRUE,"forecast00";"incomepercentmth",#N/A,TRUE,"forecast00";"balancemth",#N/A,TRUE,"forecast00";"cashmth",#N/A,TRUE,"forecast00";"covenantmth",#N/A,TRUE,"forecast00"}</definedName>
    <definedName name="fdf">{"incomemth",#N/A,TRUE,"forecast00";"incomepercentmth",#N/A,TRUE,"forecast00";"balancemth",#N/A,TRUE,"forecast00";"cashmth",#N/A,TRUE,"forecast00";"covenantmth",#N/A,TRUE,"forecast00"}</definedName>
    <definedName name="FD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 localSheetId="25">{"inputs raw data",#N/A,TRUE,"INPUT"}</definedName>
    <definedName name="fdfghdf" localSheetId="20">{"inputs raw data",#N/A,TRUE,"INPUT"}</definedName>
    <definedName name="fdfghdf">{"inputs raw data",#N/A,TRUE,"INPUT"}</definedName>
    <definedName name="FDFS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localSheetId="25">{"incomemth",#N/A,TRUE,"forecast00";"incomepercentmth",#N/A,TRUE,"forecast00";"balancemth",#N/A,TRUE,"forecast00";"cashmth",#N/A,TRUE,"forecast00";"covenantmth",#N/A,TRUE,"forecast00"}</definedName>
    <definedName name="fdg" localSheetId="20">{"incomemth",#N/A,TRUE,"forecast00";"incomepercentmth",#N/A,TRUE,"forecast00";"balancemth",#N/A,TRUE,"forecast00";"cashmth",#N/A,TRUE,"forecast00";"covenantmth",#N/A,TRUE,"forecast00"}</definedName>
    <definedName name="fdg">{"incomemth",#N/A,TRUE,"forecast00";"incomepercentmth",#N/A,TRUE,"forecast00";"balancemth",#N/A,TRUE,"forecast00";"cashmth",#N/A,TRUE,"forecast00";"covenantmth",#N/A,TRUE,"forecast00"}</definedName>
    <definedName name="fdghdfsdf">#REF!</definedName>
    <definedName name="fdjkei" localSheetId="25">{"bs",#N/A,FALSE,"SCF"}</definedName>
    <definedName name="fdjkei" localSheetId="20">{"bs",#N/A,FALSE,"SCF"}</definedName>
    <definedName name="fdjkei">{"bs",#N/A,FALSE,"SCF"}</definedName>
    <definedName name="FDP_0_1_aUrv">#REF!</definedName>
    <definedName name="FDP_1_1_aUrv">#REF!</definedName>
    <definedName name="FDP_10_1_aUrv">#REF!</definedName>
    <definedName name="FDP_100_1_aUrv">#REF!</definedName>
    <definedName name="FDP_101_1_aUrv">#REF!</definedName>
    <definedName name="FDP_102_1_aUrv">#REF!</definedName>
    <definedName name="FDP_103_1_aUrv">#REF!</definedName>
    <definedName name="FDP_104_1_aUrv">#REF!</definedName>
    <definedName name="FDP_105_1_aUrv">#REF!</definedName>
    <definedName name="FDP_106_1_aUrv">#REF!</definedName>
    <definedName name="FDP_107_1_aUrv">#REF!</definedName>
    <definedName name="FDP_108_1_aUrv">#REF!</definedName>
    <definedName name="FDP_109_1_aUrv">#REF!</definedName>
    <definedName name="FDP_11_1_aDrv">#REF!</definedName>
    <definedName name="FDP_110_1_aUrv">#REF!</definedName>
    <definedName name="FDP_111_1_aUrv">#REF!</definedName>
    <definedName name="FDP_112_1_aUrv">#REF!</definedName>
    <definedName name="FDP_113_1_aUrv">#REF!</definedName>
    <definedName name="FDP_114_1_aUrv">#REF!</definedName>
    <definedName name="FDP_115_1_aUrv">#REF!</definedName>
    <definedName name="FDP_116_1_aUrv">#REF!</definedName>
    <definedName name="FDP_117_1_aUrv">#REF!</definedName>
    <definedName name="FDP_118_1_aUrv">#REF!</definedName>
    <definedName name="FDP_119_1_aUrv">#REF!</definedName>
    <definedName name="FDP_12_1_aDrv">#REF!</definedName>
    <definedName name="FDP_120_1_aUrv">#REF!</definedName>
    <definedName name="FDP_121_1_aUrv">#REF!</definedName>
    <definedName name="FDP_122_1_aUrv">#REF!</definedName>
    <definedName name="FDP_123_1_aUrv">#REF!</definedName>
    <definedName name="FDP_124_1_aUrv">#REF!</definedName>
    <definedName name="FDP_125_1_aUrv">#REF!</definedName>
    <definedName name="FDP_126_1_aUrv">#REF!</definedName>
    <definedName name="FDP_127_1_aUrv">#REF!</definedName>
    <definedName name="FDP_128_1_aUrv">#REF!</definedName>
    <definedName name="FDP_129_1_aUrv">#REF!</definedName>
    <definedName name="FDP_13_1_aDrv">#REF!</definedName>
    <definedName name="FDP_130_1_aUrv">#REF!</definedName>
    <definedName name="FDP_131_1_aUrv">#REF!</definedName>
    <definedName name="FDP_132_1_aUrv">#REF!</definedName>
    <definedName name="FDP_133_1_aUrv">#REF!</definedName>
    <definedName name="FDP_134_1_aUrv">#REF!</definedName>
    <definedName name="FDP_135_1_aUrv">#REF!</definedName>
    <definedName name="FDP_136_1_aSrv">#REF!</definedName>
    <definedName name="FDP_137_1_aUrv">#REF!</definedName>
    <definedName name="FDP_138_1_aUrv">#REF!</definedName>
    <definedName name="FDP_139_1_aUrv">#REF!</definedName>
    <definedName name="FDP_14_1_aDrv">#REF!</definedName>
    <definedName name="FDP_140_1_aUrv">#REF!</definedName>
    <definedName name="FDP_141_1_aSrv">#REF!</definedName>
    <definedName name="FDP_142_1_aUrv">#REF!</definedName>
    <definedName name="FDP_143_1_aUrv">#REF!</definedName>
    <definedName name="FDP_144_1_aUrv">#REF!</definedName>
    <definedName name="FDP_145_1_aUrv">#REF!</definedName>
    <definedName name="FDP_146_1_aUrv">#REF!</definedName>
    <definedName name="FDP_147_1_aUrv">#REF!</definedName>
    <definedName name="FDP_148_1_aUrv">#REF!</definedName>
    <definedName name="FDP_149_1_aUrv">#REF!</definedName>
    <definedName name="FDP_15_1_aUrv">#REF!</definedName>
    <definedName name="FDP_150_1_aUrv">#REF!</definedName>
    <definedName name="FDP_151_1_aUrv">#REF!</definedName>
    <definedName name="FDP_152_1_aUrv">#REF!</definedName>
    <definedName name="FDP_153_1_aUrv">#REF!</definedName>
    <definedName name="FDP_154_1_aUrv">#REF!</definedName>
    <definedName name="FDP_155_1_aSrv">#REF!</definedName>
    <definedName name="FDP_156_1_aUrv">#REF!</definedName>
    <definedName name="FDP_157_1_aSrv">#REF!</definedName>
    <definedName name="FDP_158_1_aUrv">#REF!</definedName>
    <definedName name="FDP_159_1_aSrv">#REF!</definedName>
    <definedName name="FDP_16_1_aDrv">#REF!</definedName>
    <definedName name="FDP_160_1_aUrv">#REF!</definedName>
    <definedName name="FDP_161_1_aSrv">#REF!</definedName>
    <definedName name="FDP_162_1_aUrv">#REF!</definedName>
    <definedName name="FDP_163_1_aSrv">#REF!</definedName>
    <definedName name="FDP_164_1_aUrv">#REF!</definedName>
    <definedName name="FDP_165_1_aSrv">#REF!</definedName>
    <definedName name="FDP_166_1_aDrv">#REF!</definedName>
    <definedName name="FDP_167_1_aDrv">#REF!</definedName>
    <definedName name="FDP_168_1_aDrv">#REF!</definedName>
    <definedName name="FDP_169_1_aDrv">#REF!</definedName>
    <definedName name="FDP_17_1_aUrv">#REF!</definedName>
    <definedName name="FDP_170_1_aDrv">#REF!</definedName>
    <definedName name="FDP_171_1_aDrv">#REF!</definedName>
    <definedName name="FDP_172_1_aDrv">#REF!</definedName>
    <definedName name="FDP_173_1_aDrv">#REF!</definedName>
    <definedName name="FDP_174_1_aDrv">#REF!</definedName>
    <definedName name="FDP_175_1_aDrv">#REF!</definedName>
    <definedName name="FDP_176_1_aDrv">#REF!</definedName>
    <definedName name="FDP_177_1_aDrv">#REF!</definedName>
    <definedName name="FDP_178_1_aDrv">#REF!</definedName>
    <definedName name="FDP_179_1_aUrv">#REF!</definedName>
    <definedName name="FDP_18_1_aUrv">#REF!</definedName>
    <definedName name="FDP_180_1_aUrv">#REF!</definedName>
    <definedName name="FDP_181_1_aUrv">#REF!</definedName>
    <definedName name="FDP_182_1_aDrv">#REF!</definedName>
    <definedName name="FDP_183_1_aDrv">#REF!</definedName>
    <definedName name="FDP_184_1_aUdv">#REF!</definedName>
    <definedName name="FDP_185_1_aUdv">#REF!</definedName>
    <definedName name="FDP_186_1_aUdv">#REF!</definedName>
    <definedName name="FDP_187_1_aUdv">#REF!</definedName>
    <definedName name="FDP_188_1_aUdv">#REF!</definedName>
    <definedName name="FDP_189_1_aUdv">#REF!</definedName>
    <definedName name="FDP_19_1_aDrv">#REF!</definedName>
    <definedName name="FDP_190_1_aUdv">#REF!</definedName>
    <definedName name="FDP_191_1_aUdv">#REF!</definedName>
    <definedName name="FDP_192_1_aUdv">#REF!</definedName>
    <definedName name="FDP_193_1_aUdv">#REF!</definedName>
    <definedName name="FDP_194_1_aUdv">#REF!</definedName>
    <definedName name="FDP_195_1_aUdv">#REF!</definedName>
    <definedName name="FDP_196_1_aUdv">#REF!</definedName>
    <definedName name="FDP_197_1_aUdv">#REF!</definedName>
    <definedName name="FDP_198_1_aUdv">#REF!</definedName>
    <definedName name="FDP_199_1_aUdv">#REF!</definedName>
    <definedName name="FDP_2_1_aUrv">#REF!</definedName>
    <definedName name="FDP_20_1_aDrv">#REF!</definedName>
    <definedName name="FDP_200_1_aDdv">#REF!</definedName>
    <definedName name="FDP_201_1_aDdv">#REF!</definedName>
    <definedName name="FDP_202_1_aDdv">#REF!</definedName>
    <definedName name="FDP_203_1_aDdv">#REF!</definedName>
    <definedName name="FDP_204_1_aUrv">#REF!</definedName>
    <definedName name="FDP_205_1_aUrv">#REF!</definedName>
    <definedName name="FDP_206_1_aDrv">#REF!</definedName>
    <definedName name="FDP_21_1_aDrv">#REF!</definedName>
    <definedName name="FDP_22_1_aDrv">#REF!</definedName>
    <definedName name="FDP_23_1_aDrv">#REF!</definedName>
    <definedName name="FDP_24_1_aDrv">#REF!</definedName>
    <definedName name="FDP_25_1_aUrv">#REF!</definedName>
    <definedName name="FDP_26_1_aUrv">#REF!</definedName>
    <definedName name="FDP_27_1_aDrv">#REF!</definedName>
    <definedName name="FDP_28_1_aUrv">#REF!</definedName>
    <definedName name="FDP_280_1_aSrv">#REF!</definedName>
    <definedName name="FDP_281_1_aSrv">#REF!</definedName>
    <definedName name="FDP_282_1_aSrv">#REF!</definedName>
    <definedName name="FDP_283_1_aSrv">#REF!</definedName>
    <definedName name="FDP_29_1_aUrv">#REF!</definedName>
    <definedName name="FDP_3_1_aUrv">#REF!</definedName>
    <definedName name="FDP_30_1_aUrv">#REF!</definedName>
    <definedName name="FDP_31_1_aUrv">#REF!</definedName>
    <definedName name="FDP_32_1_aUrv">#REF!</definedName>
    <definedName name="FDP_33_1_aDrv">#REF!</definedName>
    <definedName name="FDP_34_1_aUrv">#REF!</definedName>
    <definedName name="FDP_35_1_aUrv">#REF!</definedName>
    <definedName name="FDP_36_1_aUrv">#REF!</definedName>
    <definedName name="FDP_37_1_aUrv">#REF!</definedName>
    <definedName name="FDP_38_1_aUrv">#REF!</definedName>
    <definedName name="FDP_39_1_aSrv">#REF!</definedName>
    <definedName name="FDP_4_1_aSrv">#REF!</definedName>
    <definedName name="FDP_40_1_aUrv">#REF!</definedName>
    <definedName name="FDP_41_1_aUrv">#REF!</definedName>
    <definedName name="FDP_42_1_aUrv">#REF!</definedName>
    <definedName name="FDP_43_1_aUrv">#REF!</definedName>
    <definedName name="FDP_44_1_aUrv">#REF!</definedName>
    <definedName name="FDP_45_1_aSrv">#REF!</definedName>
    <definedName name="FDP_46_1_aSrv">#REF!</definedName>
    <definedName name="FDP_47_1_aUrv">#REF!</definedName>
    <definedName name="FDP_48_1_aUrv">#REF!</definedName>
    <definedName name="FDP_49_1_aUrv">#REF!</definedName>
    <definedName name="FDP_5_1_aDrv">#REF!</definedName>
    <definedName name="FDP_50_1_aUrv">#REF!</definedName>
    <definedName name="FDP_51_1_aUrv">#REF!</definedName>
    <definedName name="FDP_52_1_aSrv">#REF!</definedName>
    <definedName name="FDP_53_1_aUrv">#REF!</definedName>
    <definedName name="FDP_54_1_aUrv">#REF!</definedName>
    <definedName name="FDP_55_1_aUrv">#REF!</definedName>
    <definedName name="FDP_56_1_aUrv">#REF!</definedName>
    <definedName name="FDP_57_1_aUrv">#REF!</definedName>
    <definedName name="FDP_58_1_aUrv">#REF!</definedName>
    <definedName name="FDP_59_1_aUrv">#REF!</definedName>
    <definedName name="FDP_6_1_aSrv">#REF!</definedName>
    <definedName name="FDP_60_1_aUrv">#REF!</definedName>
    <definedName name="FDP_61_1_aUrv">#REF!</definedName>
    <definedName name="FDP_62_1_aUrv">#REF!</definedName>
    <definedName name="FDP_63_1_aUrv">#REF!</definedName>
    <definedName name="FDP_64_1_aUrv">#REF!</definedName>
    <definedName name="FDP_65_1_aSrv">#REF!</definedName>
    <definedName name="FDP_66_1_aSrv">#REF!</definedName>
    <definedName name="FDP_67_1_aUrv">#REF!</definedName>
    <definedName name="FDP_68_1_aSrv">#REF!</definedName>
    <definedName name="FDP_69_1_aSrv">#REF!</definedName>
    <definedName name="FDP_7_1_aSrv">#REF!</definedName>
    <definedName name="FDP_70_1_aUrv">#REF!</definedName>
    <definedName name="FDP_71_1_aUrv">#REF!</definedName>
    <definedName name="FDP_72_1_aUrv">#REF!</definedName>
    <definedName name="FDP_73_1_aSrv">#REF!</definedName>
    <definedName name="FDP_74_1_aDrv">#REF!</definedName>
    <definedName name="FDP_75_1_aUrv">#REF!</definedName>
    <definedName name="FDP_76_1_aDrv">#REF!</definedName>
    <definedName name="FDP_77_1_aUrv">#REF!</definedName>
    <definedName name="FDP_78_1_aSrv">#REF!</definedName>
    <definedName name="FDP_79_1_aUrv">#REF!</definedName>
    <definedName name="FDP_8_1_aUrv">#REF!</definedName>
    <definedName name="FDP_80_1_aSrv">#REF!</definedName>
    <definedName name="FDP_81_1_aUrv">#REF!</definedName>
    <definedName name="FDP_82_1_aUrv">#REF!</definedName>
    <definedName name="FDP_83_1_aUrv">#REF!</definedName>
    <definedName name="FDP_84_1_aUrv">#REF!</definedName>
    <definedName name="FDP_85_1_aUrv">#REF!</definedName>
    <definedName name="FDP_86_1_aSrv">#REF!</definedName>
    <definedName name="FDP_87_1_aUrv">#REF!</definedName>
    <definedName name="FDP_88_1_aSrv">#REF!</definedName>
    <definedName name="FDP_89_1_aUrv">#REF!</definedName>
    <definedName name="FDP_9_1_aSrv">#REF!</definedName>
    <definedName name="FDP_90_1_aUrv">#REF!</definedName>
    <definedName name="FDP_91_1_aUrv">#REF!</definedName>
    <definedName name="FDP_92_1_aSrv">#REF!</definedName>
    <definedName name="FDP_93_1_aUrv">#REF!</definedName>
    <definedName name="FDP_94_1_aSrv">#REF!</definedName>
    <definedName name="FDP_95_1_aUrv">#REF!</definedName>
    <definedName name="FDP_96_1_aUrv">#REF!</definedName>
    <definedName name="FDP_97_1_aSrv">#REF!</definedName>
    <definedName name="FDP_98_1_aDrv">#REF!</definedName>
    <definedName name="FDP_99_1_aUrv">#REF!</definedName>
    <definedName name="fds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a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aefdf">#REF!</definedName>
    <definedName name="fdsfs" localSheetId="25">{"GLI-Income Statement",#N/A,FALSE,"gli";"GLI - Balance Sheet Wksht",#N/A,FALSE,"gli";"GLI-Cash Flow",#N/A,FALSE,"gli";"GLI Qtrly Stats",#N/A,FALSE,"gli"}</definedName>
    <definedName name="fdsfs" localSheetId="20">{"GLI-Income Statement",#N/A,FALSE,"gli";"GLI - Balance Sheet Wksht",#N/A,FALSE,"gli";"GLI-Cash Flow",#N/A,FALSE,"gli";"GLI Qtrly Stats",#N/A,FALSE,"gli"}</definedName>
    <definedName name="fdsfs">{"GLI-Income Statement",#N/A,FALSE,"gli";"GLI - Balance Sheet Wksht",#N/A,FALSE,"gli";"GLI-Cash Flow",#N/A,FALSE,"gli";"GLI Qtrly Stats",#N/A,FALSE,"gli"}</definedName>
    <definedName name="fdsfsd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25">{"incomemth",#N/A,TRUE,"forecast00";"incomepercentmth",#N/A,TRUE,"forecast00";"balancemth",#N/A,TRUE,"forecast00";"cashmth",#N/A,TRUE,"forecast00";"covenantmth",#N/A,TRUE,"forecast00"}</definedName>
    <definedName name="fdsg" localSheetId="20">{"incomemth",#N/A,TRUE,"forecast00";"incomepercentmth",#N/A,TRUE,"forecast00";"balancemth",#N/A,TRUE,"forecast00";"cashmth",#N/A,TRUE,"forecast00";"covenantmth",#N/A,TRUE,"forecast00"}</definedName>
    <definedName name="fdsg">{"incomemth",#N/A,TRUE,"forecast00";"incomepercentmth",#N/A,TRUE,"forecast00";"balancemth",#N/A,TRUE,"forecast00";"cashmth",#N/A,TRUE,"forecast00";"covenantmth",#N/A,TRUE,"forecast00"}</definedName>
    <definedName name="fdsg1" localSheetId="25">{"incomemth",#N/A,TRUE,"forecast00";"incomepercentmth",#N/A,TRUE,"forecast00";"balancemth",#N/A,TRUE,"forecast00";"cashmth",#N/A,TRUE,"forecast00";"covenantmth",#N/A,TRUE,"forecast00"}</definedName>
    <definedName name="fdsg1" localSheetId="20">{"incomemth",#N/A,TRUE,"forecast00";"incomepercentmth",#N/A,TRUE,"forecast00";"balancemth",#N/A,TRUE,"forecast00";"cashmth",#N/A,TRUE,"forecast00";"covenantmth",#N/A,TRUE,"forecast00"}</definedName>
    <definedName name="fdsg1">{"incomemth",#N/A,TRUE,"forecast00";"incomepercentmth",#N/A,TRUE,"forecast00";"balancemth",#N/A,TRUE,"forecast00";"cashmth",#N/A,TRUE,"forecast00";"covenantmth",#N/A,TRUE,"forecast00"}</definedName>
    <definedName name="fe" localSheetId="25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localSheetId="2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df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es" localSheetId="25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" localSheetId="20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FeesDan" localSheetId="25">{"Total Credit",#N/A,FALSE,"Credit";"Appraisal",#N/A,FALSE,"Credit";"Customer Service",#N/A,FALSE,"Credit";"Home Office",#N/A,FALSE,"Credit";"Quality Control",#N/A,FALSE,"Credit";"Risk Mgmt",#N/A,FALSE,"Credit"}</definedName>
    <definedName name="FeesDan" localSheetId="20">{"Total Credit",#N/A,FALSE,"Credit";"Appraisal",#N/A,FALSE,"Credit";"Customer Service",#N/A,FALSE,"Credit";"Home Office",#N/A,FALSE,"Credit";"Quality Control",#N/A,FALSE,"Credit";"Risk Mgmt",#N/A,FALSE,"Credit"}</definedName>
    <definedName name="FeesDan">{"Total Credit",#N/A,FALSE,"Credit";"Appraisal",#N/A,FALSE,"Credit";"Customer Service",#N/A,FALSE,"Credit";"Home Office",#N/A,FALSE,"Credit";"Quality Control",#N/A,FALSE,"Credit";"Risk Mgmt",#N/A,FALSE,"Credit"}</definedName>
    <definedName name="fefs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gheath">#REF!</definedName>
    <definedName name="ff" localSheetId="25">{#N/A,#N/A,TRUE,"Summary";"AnnualRentRoll",#N/A,TRUE,"RentRoll";#N/A,#N/A,TRUE,"ExitStratigy";#N/A,#N/A,TRUE,"OperatingAssumptions"}</definedName>
    <definedName name="ff" localSheetId="20">{#N/A,#N/A,TRUE,"Summary";"AnnualRentRoll",#N/A,TRUE,"RentRoll";#N/A,#N/A,TRUE,"ExitStratigy";#N/A,#N/A,TRUE,"OperatingAssumptions"}</definedName>
    <definedName name="ff">{#N/A,#N/A,TRUE,"Summary";"AnnualRentRoll",#N/A,TRUE,"RentRoll";#N/A,#N/A,TRUE,"ExitStratigy";#N/A,#N/A,TRUE,"OperatingAssumptions"}</definedName>
    <definedName name="FFDFDFSD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localSheetId="25">{"NHEC",#N/A,FALSE,"NHEC"}</definedName>
    <definedName name="FFF" localSheetId="20">{"NHEC",#N/A,FALSE,"NHEC"}</definedName>
    <definedName name="FFF">{"NHEC",#N/A,FALSE,"NHEC"}</definedName>
    <definedName name="ffff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g" localSheetId="25">{#N/A,#N/A,FALSE,"Pooling";#N/A,#N/A,FALSE,"income";#N/A,#N/A,FALSE,"valuation"}</definedName>
    <definedName name="fg" localSheetId="20">{#N/A,#N/A,FALSE,"Pooling";#N/A,#N/A,FALSE,"income";#N/A,#N/A,FALSE,"valuation"}</definedName>
    <definedName name="fg">{#N/A,#N/A,FALSE,"Pooling";#N/A,#N/A,FALSE,"income";#N/A,#N/A,FALSE,"valuation"}</definedName>
    <definedName name="fgf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ina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jlk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otnoteDefaults" localSheetId="25">{1;TRUE;5;"Times New Roman";FALSE;FALSE;TRUE;18;8;-4.5;-4;1;2;2;1;TRUE;5}</definedName>
    <definedName name="FootnoteDefaults" localSheetId="20">{1;TRUE;5;"Times New Roman";FALSE;FALSE;TRUE;18;8;-4.5;-4;1;2;2;1;TRUE;5}</definedName>
    <definedName name="FootnoteDefaults">{1;TRUE;5;"Times New Roman";FALSE;FALSE;TRUE;18;8;-4.5;-4;1;2;2;1;TRUE;5}</definedName>
    <definedName name="forgeti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atted" localSheetId="25">{"'Sheet1'!$A$1:$F$101"}</definedName>
    <definedName name="Formatted" localSheetId="20">{"'Sheet1'!$A$1:$F$101"}</definedName>
    <definedName name="Formatted">{"'Sheet1'!$A$1:$F$101"}</definedName>
    <definedName name="fr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esfg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sdfsadf" localSheetId="25">{"investments",#N/A,FALSE,"CYTD CF Oct";"invest month",#N/A,FALSE,"CYTD CF Oct";"scf",#N/A,FALSE,"CYTD CF Oct";"direct method",#N/A,FALSE,"CYTD CF Oct";"indirect",#N/A,FALSE,"CYTD CF Oct"}</definedName>
    <definedName name="fsdfsadf" localSheetId="20">{"investments",#N/A,FALSE,"CYTD CF Oct";"invest month",#N/A,FALSE,"CYTD CF Oct";"scf",#N/A,FALSE,"CYTD CF Oct";"direct method",#N/A,FALSE,"CYTD CF Oct";"indirect",#N/A,FALSE,"CYTD CF Oct"}</definedName>
    <definedName name="fsdfsadf">{"investments",#N/A,FALSE,"CYTD CF Oct";"invest month",#N/A,FALSE,"CYTD CF Oct";"scf",#N/A,FALSE,"CYTD CF Oct";"direct method",#N/A,FALSE,"CYTD CF Oct";"indirect",#N/A,FALSE,"CYTD CF Oct"}</definedName>
    <definedName name="fsdsfafd" localSheetId="25">{"CSheet",#N/A,FALSE,"C";"SmCap",#N/A,FALSE,"VAL1";"GulfCoast",#N/A,FALSE,"VAL1";"nav",#N/A,FALSE,"NAV";"Summary",#N/A,FALSE,"NAV"}</definedName>
    <definedName name="fsdsfafd" localSheetId="20">{"CSheet",#N/A,FALSE,"C";"SmCap",#N/A,FALSE,"VAL1";"GulfCoast",#N/A,FALSE,"VAL1";"nav",#N/A,FALSE,"NAV";"Summary",#N/A,FALSE,"NAV"}</definedName>
    <definedName name="fsdsfafd">{"CSheet",#N/A,FALSE,"C";"SmCap",#N/A,FALSE,"VAL1";"GulfCoast",#N/A,FALSE,"VAL1";"nav",#N/A,FALSE,"NAV";"Summary",#N/A,FALSE,"NAV"}</definedName>
    <definedName name="fsssadfd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 localSheetId="25">{"by departments",#N/A,TRUE,"FORECAST";"cap_headcount",#N/A,TRUE,"FORECAST";"summary",#N/A,TRUE,"FORECAST"}</definedName>
    <definedName name="fuck" localSheetId="20">{"by departments",#N/A,TRUE,"FORECAST";"cap_headcount",#N/A,TRUE,"FORECAST";"summary",#N/A,TRUE,"FORECAST"}</definedName>
    <definedName name="fuck">{"by departments",#N/A,TRUE,"FORECAST";"cap_headcount",#N/A,TRUE,"FORECAST";"summary",#N/A,TRUE,"FORECAST"}</definedName>
    <definedName name="fuckme" localSheetId="25">{"SUMMARY",#N/A,TRUE,"SUMMARY";"compare",#N/A,TRUE,"Vs. Bus Plan";"ratios",#N/A,TRUE,"Ratios";"REVENUE",#N/A,TRUE,"Revenue";"expenses",#N/A,TRUE,"1996 budget";"payroll",#N/A,TRUE,"Payroll"}</definedName>
    <definedName name="fuckme" localSheetId="20">{"SUMMARY",#N/A,TRUE,"SUMMARY";"compare",#N/A,TRUE,"Vs. Bus Plan";"ratios",#N/A,TRUE,"Ratios";"REVENUE",#N/A,TRUE,"Revenue";"expenses",#N/A,TRUE,"1996 budget";"payroll",#N/A,TRUE,"Payroll"}</definedName>
    <definedName name="fuckme">{"SUMMARY",#N/A,TRUE,"SUMMARY";"compare",#N/A,TRUE,"Vs. Bus Plan";"ratios",#N/A,TRUE,"Ratios";"REVENUE",#N/A,TRUE,"Revenue";"expenses",#N/A,TRUE,"1996 budget";"payroll",#N/A,TRUE,"Payroll"}</definedName>
    <definedName name="full1">#REF!</definedName>
    <definedName name="fundIV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ｇ" localSheetId="25">{"'下期集計（10.27迄・速報値）'!$Q$16"}</definedName>
    <definedName name="ｇ" localSheetId="20">{"'下期集計（10.27迄・速報値）'!$Q$16"}</definedName>
    <definedName name="ｇ">{"'下期集計（10.27迄・速報値）'!$Q$16"}</definedName>
    <definedName name="GA" localSheetId="25">{#N/A,#N/A,FALSE,"Job Sched"}</definedName>
    <definedName name="GA" localSheetId="20">{#N/A,#N/A,FALSE,"Job Sched"}</definedName>
    <definedName name="GA">{#N/A,#N/A,FALSE,"Job Sched"}</definedName>
    <definedName name="gb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d" localSheetId="25">{"'下期集計（10.27迄・速報値）'!$Q$16"}</definedName>
    <definedName name="gd" localSheetId="20">{"'下期集計（10.27迄・速報値）'!$Q$16"}</definedName>
    <definedName name="gd">{"'下期集計（10.27迄・速報値）'!$Q$16"}</definedName>
    <definedName name="gda" localSheetId="25">{"'下期集計（10.27迄・速報値）'!$Q$16"}</definedName>
    <definedName name="gda" localSheetId="20">{"'下期集計（10.27迄・速報値）'!$Q$16"}</definedName>
    <definedName name="gda">{"'下期集計（10.27迄・速報値）'!$Q$16"}</definedName>
    <definedName name="gdfs" localSheetId="25">{#N/A,#N/A,FALSE,"Projections";#N/A,#N/A,FALSE,"Multiples Valuation";#N/A,#N/A,FALSE,"LBO";#N/A,#N/A,FALSE,"Multiples_Sensitivity";#N/A,#N/A,FALSE,"Summary"}</definedName>
    <definedName name="gdfs" localSheetId="20">{#N/A,#N/A,FALSE,"Projections";#N/A,#N/A,FALSE,"Multiples Valuation";#N/A,#N/A,FALSE,"LBO";#N/A,#N/A,FALSE,"Multiples_Sensitivity";#N/A,#N/A,FALSE,"Summary"}</definedName>
    <definedName name="gdfs">{#N/A,#N/A,FALSE,"Projections";#N/A,#N/A,FALSE,"Multiples Valuation";#N/A,#N/A,FALSE,"LBO";#N/A,#N/A,FALSE,"Multiples_Sensitivity";#N/A,#N/A,FALSE,"Summary"}</definedName>
    <definedName name="gdsa" localSheetId="25">{"'下期集計（10.27迄・速報値）'!$Q$16"}</definedName>
    <definedName name="gdsa" localSheetId="20">{"'下期集計（10.27迄・速報値）'!$Q$16"}</definedName>
    <definedName name="gdsa">{"'下期集計（10.27迄・速報値）'!$Q$16"}</definedName>
    <definedName name="gf" localSheetId="25">{"incomemth",#N/A,TRUE,"forecast00";"incomepercentmth",#N/A,TRUE,"forecast00";"balancemth",#N/A,TRUE,"forecast00";"cashmth",#N/A,TRUE,"forecast00";"covenantmth",#N/A,TRUE,"forecast00"}</definedName>
    <definedName name="gf" localSheetId="20">{"incomemth",#N/A,TRUE,"forecast00";"incomepercentmth",#N/A,TRUE,"forecast00";"balancemth",#N/A,TRUE,"forecast00";"cashmth",#N/A,TRUE,"forecast00";"covenantmth",#N/A,TRUE,"forecast00"}</definedName>
    <definedName name="gf">{"incomemth",#N/A,TRUE,"forecast00";"incomepercentmth",#N/A,TRUE,"forecast00";"balancemth",#N/A,TRUE,"forecast00";"cashmth",#N/A,TRUE,"forecast00";"covenantmth",#N/A,TRUE,"forecast00"}</definedName>
    <definedName name="gfie" localSheetId="25">{"bs",#N/A,FALSE,"SCF"}</definedName>
    <definedName name="gfie" localSheetId="20">{"bs",#N/A,FALSE,"SCF"}</definedName>
    <definedName name="gfie">{"bs",#N/A,FALSE,"SCF"}</definedName>
    <definedName name="gfkf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G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 localSheetId="25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" localSheetId="20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gggg" localSheetId="25">{#N/A,#N/A,TRUE,"Model"}</definedName>
    <definedName name="gggg" localSheetId="20">{#N/A,#N/A,TRUE,"Model"}</definedName>
    <definedName name="gggg">{#N/A,#N/A,TRUE,"Model"}</definedName>
    <definedName name="gk" localSheetId="25">{"incomemth",#N/A,TRUE,"forecast00";"incomepercentmth",#N/A,TRUE,"forecast00";"balancemth",#N/A,TRUE,"forecast00";"cashmth",#N/A,TRUE,"forecast00";"covenantmth",#N/A,TRUE,"forecast00"}</definedName>
    <definedName name="gk" localSheetId="20">{"incomemth",#N/A,TRUE,"forecast00";"incomepercentmth",#N/A,TRUE,"forecast00";"balancemth",#N/A,TRUE,"forecast00";"cashmth",#N/A,TRUE,"forecast00";"covenantmth",#N/A,TRUE,"forecast00"}</definedName>
    <definedName name="gk">{"incomemth",#N/A,TRUE,"forecast00";"incomepercentmth",#N/A,TRUE,"forecast00";"balancemth",#N/A,TRUE,"forecast00";"cashmth",#N/A,TRUE,"forecast00";"covenantmth",#N/A,TRUE,"forecast00"}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ooch" localSheetId="25">{#N/A,#N/A,FALSE,"Projections";#N/A,#N/A,FALSE,"Multiples Valuation";#N/A,#N/A,FALSE,"LBO";#N/A,#N/A,FALSE,"Multiples_Sensitivity";#N/A,#N/A,FALSE,"Summary"}</definedName>
    <definedName name="gooch" localSheetId="20">{#N/A,#N/A,FALSE,"Projections";#N/A,#N/A,FALSE,"Multiples Valuation";#N/A,#N/A,FALSE,"LBO";#N/A,#N/A,FALSE,"Multiples_Sensitivity";#N/A,#N/A,FALSE,"Summary"}</definedName>
    <definedName name="gooch">{#N/A,#N/A,FALSE,"Projections";#N/A,#N/A,FALSE,"Multiples Valuation";#N/A,#N/A,FALSE,"LBO";#N/A,#N/A,FALSE,"Multiples_Sensitivity";#N/A,#N/A,FALSE,"Summary"}</definedName>
    <definedName name="gors" localSheetId="25">{"var_page",#N/A,FALSE,"template"}</definedName>
    <definedName name="gors" localSheetId="20">{"var_page",#N/A,FALSE,"template"}</definedName>
    <definedName name="gors">{"var_page",#N/A,FALSE,"template"}</definedName>
    <definedName name="gotfff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aph">#REF!</definedName>
    <definedName name="h" localSheetId="25">{"summary1",#N/A,FALSE,"Summary of Values";"summary2",#N/A,FALSE,"Summary of Values";"weighted average returns",#N/A,FALSE,"WACC and WARA";"fixed asset detail",#N/A,FALSE,"Fixed Asset Detail"}</definedName>
    <definedName name="h" localSheetId="20">{"summary1",#N/A,FALSE,"Summary of Values";"summary2",#N/A,FALSE,"Summary of Values";"weighted average returns",#N/A,FALSE,"WACC and WARA";"fixed asset detail",#N/A,FALSE,"Fixed Asset Detail"}</definedName>
    <definedName name="h">{"summary1",#N/A,FALSE,"Summary of Values";"summary2",#N/A,FALSE,"Summary of Values";"weighted average returns",#N/A,FALSE,"WACC and WARA";"fixed asset detail",#N/A,FALSE,"Fixed Asset Detail"}</definedName>
    <definedName name="ｈ" localSheetId="25">{"'下期集計（10.27迄・速報値）'!$Q$16"}</definedName>
    <definedName name="ｈ" localSheetId="20">{"'下期集計（10.27迄・速報値）'!$Q$16"}</definedName>
    <definedName name="ｈ">{"'下期集計（10.27迄・速報値）'!$Q$16"}</definedName>
    <definedName name="H16･1速報" localSheetId="25">{"'コメント'!$A$1:$C$37"}</definedName>
    <definedName name="H16･1速報" localSheetId="20">{"'コメント'!$A$1:$C$37"}</definedName>
    <definedName name="H16･1速報">{"'コメント'!$A$1:$C$37"}</definedName>
    <definedName name="Hello" localSheetId="25">{"rtn",#N/A,FALSE,"RTN";"tables",#N/A,FALSE,"RTN";"cf",#N/A,FALSE,"CF";"stats",#N/A,FALSE,"Stats";"prop",#N/A,FALSE,"Prop"}</definedName>
    <definedName name="Hello" localSheetId="20">{"rtn",#N/A,FALSE,"RTN";"tables",#N/A,FALSE,"RTN";"cf",#N/A,FALSE,"CF";"stats",#N/A,FALSE,"Stats";"prop",#N/A,FALSE,"Prop"}</definedName>
    <definedName name="Hello">{"rtn",#N/A,FALSE,"RTN";"tables",#N/A,FALSE,"RTN";"cf",#N/A,FALSE,"CF";"stats",#N/A,FALSE,"Stats";"prop",#N/A,FALSE,"Prop"}</definedName>
    <definedName name="help1" localSheetId="25">{#N/A,#N/A,FALSE,"CONSOLIDATED";#N/A,#N/A,FALSE,"LANCE CO";#N/A,#N/A,FALSE,"VISTA"}</definedName>
    <definedName name="help1" localSheetId="20">{#N/A,#N/A,FALSE,"CONSOLIDATED";#N/A,#N/A,FALSE,"LANCE CO";#N/A,#N/A,FALSE,"VISTA"}</definedName>
    <definedName name="help1">{#N/A,#N/A,FALSE,"CONSOLIDATED";#N/A,#N/A,FALSE,"LANCE CO";#N/A,#N/A,FALSE,"VISTA"}</definedName>
    <definedName name="HELP3" localSheetId="25">{#N/A,#N/A,FALSE,"CONSOLIDATED";#N/A,#N/A,FALSE,"LANCE CO";#N/A,#N/A,FALSE,"VISTA"}</definedName>
    <definedName name="HELP3" localSheetId="20">{#N/A,#N/A,FALSE,"CONSOLIDATED";#N/A,#N/A,FALSE,"LANCE CO";#N/A,#N/A,FALSE,"VISTA"}</definedName>
    <definedName name="HELP3">{#N/A,#N/A,FALSE,"CONSOLIDATED";#N/A,#N/A,FALSE,"LANCE CO";#N/A,#N/A,FALSE,"VISTA"}</definedName>
    <definedName name="HELP4" localSheetId="25">{#N/A,#N/A,FALSE,"CONSOLIDATED";#N/A,#N/A,FALSE,"LANCE CO";#N/A,#N/A,FALSE,"VISTA"}</definedName>
    <definedName name="HELP4" localSheetId="20">{#N/A,#N/A,FALSE,"CONSOLIDATED";#N/A,#N/A,FALSE,"LANCE CO";#N/A,#N/A,FALSE,"VISTA"}</definedName>
    <definedName name="HELP4">{#N/A,#N/A,FALSE,"CONSOLIDATED";#N/A,#N/A,FALSE,"LANCE CO";#N/A,#N/A,FALSE,"VISTA"}</definedName>
    <definedName name="HELP5" localSheetId="25">{#N/A,#N/A,FALSE,"CONSOLIDATED";#N/A,#N/A,FALSE,"LANCE CO";#N/A,#N/A,FALSE,"VISTA"}</definedName>
    <definedName name="HELP5" localSheetId="20">{#N/A,#N/A,FALSE,"CONSOLIDATED";#N/A,#N/A,FALSE,"LANCE CO";#N/A,#N/A,FALSE,"VISTA"}</definedName>
    <definedName name="HELP5">{#N/A,#N/A,FALSE,"CONSOLIDATED";#N/A,#N/A,FALSE,"LANCE CO";#N/A,#N/A,FALSE,"VISTA"}</definedName>
    <definedName name="HELP6" localSheetId="25">{#N/A,#N/A,FALSE,"CONSOLIDATED";#N/A,#N/A,FALSE,"LANCE CO";#N/A,#N/A,FALSE,"VISTA"}</definedName>
    <definedName name="HELP6" localSheetId="20">{#N/A,#N/A,FALSE,"CONSOLIDATED";#N/A,#N/A,FALSE,"LANCE CO";#N/A,#N/A,FALSE,"VISTA"}</definedName>
    <definedName name="HELP6">{#N/A,#N/A,FALSE,"CONSOLIDATED";#N/A,#N/A,FALSE,"LANCE CO";#N/A,#N/A,FALSE,"VISTA"}</definedName>
    <definedName name="HELP7" localSheetId="25">{#N/A,#N/A,FALSE,"CONSOLIDATED";#N/A,#N/A,FALSE,"LANCE CO";#N/A,#N/A,FALSE,"VISTA"}</definedName>
    <definedName name="HELP7" localSheetId="20">{#N/A,#N/A,FALSE,"CONSOLIDATED";#N/A,#N/A,FALSE,"LANCE CO";#N/A,#N/A,FALSE,"VISTA"}</definedName>
    <definedName name="HELP7">{#N/A,#N/A,FALSE,"CONSOLIDATED";#N/A,#N/A,FALSE,"LANCE CO";#N/A,#N/A,FALSE,"VISTA"}</definedName>
    <definedName name="HELP8" localSheetId="25">{#N/A,#N/A,FALSE,"CONSOLIDATED";#N/A,#N/A,FALSE,"LANCE CO";#N/A,#N/A,FALSE,"VISTA"}</definedName>
    <definedName name="HELP8" localSheetId="20">{#N/A,#N/A,FALSE,"CONSOLIDATED";#N/A,#N/A,FALSE,"LANCE CO";#N/A,#N/A,FALSE,"VISTA"}</definedName>
    <definedName name="HELP8">{#N/A,#N/A,FALSE,"CONSOLIDATED";#N/A,#N/A,FALSE,"LANCE CO";#N/A,#N/A,FALSE,"VISTA"}</definedName>
    <definedName name="hg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j" localSheetId="25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" localSheetId="20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h" localSheetId="25">{#N/A,#N/A,FALSE,"Summary"}</definedName>
    <definedName name="hh" localSheetId="20">{#N/A,#N/A,FALSE,"Summary"}</definedName>
    <definedName name="hh">{#N/A,#N/A,FALSE,"Summary"}</definedName>
    <definedName name="HHH" localSheetId="25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" localSheetId="20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hhhh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hgh" localSheetId="25">{"Total Admin",#N/A,FALSE,"Admin";"Executive",#N/A,FALSE,"Admin";"Finance",#N/A,FALSE,"Admin";"Marketing",#N/A,FALSE,"Admin";"NonDepartmental",#N/A,FALSE,"Admin"}</definedName>
    <definedName name="hhhhhgh" localSheetId="20">{"Total Admin",#N/A,FALSE,"Admin";"Executive",#N/A,FALSE,"Admin";"Finance",#N/A,FALSE,"Admin";"Marketing",#N/A,FALSE,"Admin";"NonDepartmental",#N/A,FALSE,"Admin"}</definedName>
    <definedName name="hhhhhgh">{"Total Admin",#N/A,FALSE,"Admin";"Executive",#N/A,FALSE,"Admin";"Finance",#N/A,FALSE,"Admin";"Marketing",#N/A,FALSE,"Admin";"NonDepartmental",#N/A,FALSE,"Admin"}</definedName>
    <definedName name="HiddenRows">#REF!</definedName>
    <definedName name="HistogramV02" localSheetId="25">{#N/A,#N/A,FALSE,"Sheet1"}</definedName>
    <definedName name="HistogramV02" localSheetId="20">{#N/A,#N/A,FALSE,"Sheet1"}</definedName>
    <definedName name="HistogramV02">{#N/A,#N/A,FALSE,"Sheet1"}</definedName>
    <definedName name="historical" localSheetId="25">{"GTI monthly IS",#N/A,FALSE,"gti";#N/A,#N/A,FALSE,"gti"}</definedName>
    <definedName name="historical" localSheetId="20">{"GTI monthly IS",#N/A,FALSE,"gti";#N/A,#N/A,FALSE,"gti"}</definedName>
    <definedName name="historical">{"GTI monthly IS",#N/A,FALSE,"gti";#N/A,#N/A,FALSE,"gti"}</definedName>
    <definedName name="hjhjkhas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jkhas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yny" localSheetId="25">{#N/A,#N/A,FALSE,"TSUM";#N/A,#N/A,FALSE,"shares";#N/A,#N/A,FALSE,"earnout";#N/A,#N/A,FALSE,"Heaty";#N/A,#N/A,FALSE,"self-tend";#N/A,#N/A,FALSE,"self-sum"}</definedName>
    <definedName name="hjyny" localSheetId="20">{#N/A,#N/A,FALSE,"TSUM";#N/A,#N/A,FALSE,"shares";#N/A,#N/A,FALSE,"earnout";#N/A,#N/A,FALSE,"Heaty";#N/A,#N/A,FALSE,"self-tend";#N/A,#N/A,FALSE,"self-sum"}</definedName>
    <definedName name="hjyny">{#N/A,#N/A,FALSE,"TSUM";#N/A,#N/A,FALSE,"shares";#N/A,#N/A,FALSE,"earnout";#N/A,#N/A,FALSE,"Heaty";#N/A,#N/A,FALSE,"self-tend";#N/A,#N/A,FALSE,"self-sum"}</definedName>
    <definedName name="hls" localSheetId="25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s" localSheetId="20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s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n.ExtDb">FALSE</definedName>
    <definedName name="hn.ModelType">"DEAL"</definedName>
    <definedName name="hn.ModelVersion">1</definedName>
    <definedName name="hn.NoUpload">0</definedName>
    <definedName name="hn.RolledForward">FALSE</definedName>
    <definedName name="hn.YearLabel">#REF!</definedName>
    <definedName name="hnu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d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FE" localSheetId="25">{#N/A,#N/A,FALSE,"Assessment";#N/A,#N/A,FALSE,"Staffing";#N/A,#N/A,FALSE,"Hires";#N/A,#N/A,FALSE,"Assumptions"}</definedName>
    <definedName name="HOMFE" localSheetId="20">{#N/A,#N/A,FALSE,"Assessment";#N/A,#N/A,FALSE,"Staffing";#N/A,#N/A,FALSE,"Hires";#N/A,#N/A,FALSE,"Assumptions"}</definedName>
    <definedName name="HOMFE">{#N/A,#N/A,FALSE,"Assessment";#N/A,#N/A,FALSE,"Staffing";#N/A,#N/A,FALSE,"Hires";#N/A,#N/A,FALSE,"Assumptions"}</definedName>
    <definedName name="houy" localSheetId="25">{#N/A,#N/A,FALSE,"AD_Purchase";#N/A,#N/A,FALSE,"Credit";#N/A,#N/A,FALSE,"PF Acquisition";#N/A,#N/A,FALSE,"PF Offering"}</definedName>
    <definedName name="houy" localSheetId="20">{#N/A,#N/A,FALSE,"AD_Purchase";#N/A,#N/A,FALSE,"Credit";#N/A,#N/A,FALSE,"PF Acquisition";#N/A,#N/A,FALSE,"PF Offering"}</definedName>
    <definedName name="houy">{#N/A,#N/A,FALSE,"AD_Purchase";#N/A,#N/A,FALSE,"Credit";#N/A,#N/A,FALSE,"PF Acquisition";#N/A,#N/A,FALSE,"PF Offering"}</definedName>
    <definedName name="houy2" localSheetId="25">{#N/A,#N/A,FALSE,"AD_Purchase";#N/A,#N/A,FALSE,"Credit";#N/A,#N/A,FALSE,"PF Acquisition";#N/A,#N/A,FALSE,"PF Offering"}</definedName>
    <definedName name="houy2" localSheetId="20">{#N/A,#N/A,FALSE,"AD_Purchase";#N/A,#N/A,FALSE,"Credit";#N/A,#N/A,FALSE,"PF Acquisition";#N/A,#N/A,FALSE,"PF Offering"}</definedName>
    <definedName name="houy2">{#N/A,#N/A,FALSE,"AD_Purchase";#N/A,#N/A,FALSE,"Credit";#N/A,#N/A,FALSE,"PF Acquisition";#N/A,#N/A,FALSE,"PF Offering"}</definedName>
    <definedName name="HTM_Control" localSheetId="25">{"'下期集計（10.27迄・速報値）'!$Q$16"}</definedName>
    <definedName name="HTM_Control" localSheetId="20">{"'下期集計（10.27迄・速報値）'!$Q$16"}</definedName>
    <definedName name="HTM_Control">{"'下期集計（10.27迄・速報値）'!$Q$16"}</definedName>
    <definedName name="ＨＴＭＬ" localSheetId="25">{"'コメント'!$A$1:$C$37"}</definedName>
    <definedName name="ＨＴＭＬ" localSheetId="20">{"'コメント'!$A$1:$C$37"}</definedName>
    <definedName name="ＨＴＭＬ">{"'コメント'!$A$1:$C$37"}</definedName>
    <definedName name="HTML_CodePage">1252</definedName>
    <definedName name="HTML_Control" localSheetId="25">{"'Sheet1'!$A$1:$O$40"}</definedName>
    <definedName name="HTML_Control" localSheetId="20">{"'Sheet1'!$A$1:$O$40"}</definedName>
    <definedName name="HTML_Control">{"'Sheet1'!$A$1:$O$40"}</definedName>
    <definedName name="HTML_Control2" localSheetId="25">{"'NWC03'!$C$81"}</definedName>
    <definedName name="HTML_Control2" localSheetId="20">{"'NWC03'!$C$81"}</definedName>
    <definedName name="HTML_Control2">{"'NWC03'!$C$81"}</definedName>
    <definedName name="HTML_Description">""</definedName>
    <definedName name="HTML_Email">""</definedName>
    <definedName name="HTML_Header">"Sheet1"</definedName>
    <definedName name="HTML_LastUpdate">"2/5/99"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">"E:\statements-2.0\from_excel.htm"</definedName>
    <definedName name="HTML_PathFileMac">"Macintosh HD:HomePageStuff:pc:datasets:implprem.html"</definedName>
    <definedName name="HTML_Title">"S&amp;P Implied Equity Premiums"</definedName>
    <definedName name="HTML1_1">"[FCFF3]Sheet1!$A$1:$L$34"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2_1">"[poolprices.xls]Sheet1!$A$3:$F$16"</definedName>
    <definedName name="HTML2_10">"robert.schulten@corporate.ge.com"</definedName>
    <definedName name="HTML2_11">1</definedName>
    <definedName name="HTML2_12">"C:\webpage\poolpri2.htm"</definedName>
    <definedName name="HTML2_2">1</definedName>
    <definedName name="HTML2_3">"Consigned Metals Prices"</definedName>
    <definedName name="HTML2_4">"Consigned Metals Prices"</definedName>
    <definedName name="HTML2_5">"(Cents/Lb.)"</definedName>
    <definedName name="HTML2_6">1</definedName>
    <definedName name="HTML2_7">1</definedName>
    <definedName name="HTML2_8">"3/11/97"</definedName>
    <definedName name="HTML2_9">"Robert M. Schulten"</definedName>
    <definedName name="HTML3_1">"[poolprices.xls]Sheet1!$A$3:$F$17"</definedName>
    <definedName name="HTML3_10">"robert.schulten@corporate.ge.com"</definedName>
    <definedName name="HTML3_11">1</definedName>
    <definedName name="HTML3_12">"C:\webpage\MyHTML.htm"</definedName>
    <definedName name="HTML3_2">1</definedName>
    <definedName name="HTML3_3">"Consigned Metals Prices"</definedName>
    <definedName name="HTML3_4">"Consigned Metals Prices"</definedName>
    <definedName name="HTML3_5">"(Cents/lb)"</definedName>
    <definedName name="HTML3_6">-4146</definedName>
    <definedName name="HTML3_7">-4146</definedName>
    <definedName name="HTML3_8">"3/11/97"</definedName>
    <definedName name="HTML3_9">"Robert M. Schulten"</definedName>
    <definedName name="HTMLCount">1</definedName>
    <definedName name="hui" localSheetId="25">{#N/A,#N/A,FALSE,"Assump2";#N/A,#N/A,FALSE,"Income2";#N/A,#N/A,FALSE,"Balance2";#N/A,#N/A,FALSE,"DCF Filter";#N/A,#N/A,FALSE,"Trans Assump2";#N/A,#N/A,FALSE,"Combined Income2";#N/A,#N/A,FALSE,"Combined Balance2"}</definedName>
    <definedName name="hui" localSheetId="20">{#N/A,#N/A,FALSE,"Assump2";#N/A,#N/A,FALSE,"Income2";#N/A,#N/A,FALSE,"Balance2";#N/A,#N/A,FALSE,"DCF Filter";#N/A,#N/A,FALSE,"Trans Assump2";#N/A,#N/A,FALSE,"Combined Income2";#N/A,#N/A,FALSE,"Combined Balance2"}</definedName>
    <definedName name="hui">{#N/A,#N/A,FALSE,"Assump2";#N/A,#N/A,FALSE,"Income2";#N/A,#N/A,FALSE,"Balance2";#N/A,#N/A,FALSE,"DCF Filter";#N/A,#N/A,FALSE,"Trans Assump2";#N/A,#N/A,FALSE,"Combined Income2";#N/A,#N/A,FALSE,"Combined Balance2"}</definedName>
    <definedName name="hyt" localSheetId="25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 localSheetId="20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iffx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I" localSheetId="25">{"Total Wholesale",#N/A,FALSE,"Wholesale";"Whsle_Admin",#N/A,FALSE,"Wholesale";"Whsle_Lombard",#N/A,FALSE,"Wholesale";"Whsle_Marlton",#N/A,FALSE,"Wholesale";"Whsle_Pleasanton",#N/A,FALSE,"Wholesale"}</definedName>
    <definedName name="III" localSheetId="20">{"Total Wholesale",#N/A,FALSE,"Wholesale";"Whsle_Admin",#N/A,FALSE,"Wholesale";"Whsle_Lombard",#N/A,FALSE,"Wholesale";"Whsle_Marlton",#N/A,FALSE,"Wholesale";"Whsle_Pleasanton",#N/A,FALSE,"Wholesale"}</definedName>
    <definedName name="III">{"Total Wholesale",#N/A,FALSE,"Wholesale";"Whsle_Admin",#N/A,FALSE,"Wholesale";"Whsle_Lombard",#N/A,FALSE,"Wholesale";"Whsle_Marlton",#N/A,FALSE,"Wholesale";"Whsle_Pleasanton",#N/A,FALSE,"Wholesale"}</definedName>
    <definedName name="iioo" localSheetId="25">{#N/A,#N/A,FALSE,"TSUM";#N/A,#N/A,FALSE,"shares";#N/A,#N/A,FALSE,"earnout";#N/A,#N/A,FALSE,"Heaty";#N/A,#N/A,FALSE,"self-tend";#N/A,#N/A,FALSE,"self-sum"}</definedName>
    <definedName name="iioo" localSheetId="20">{#N/A,#N/A,FALSE,"TSUM";#N/A,#N/A,FALSE,"shares";#N/A,#N/A,FALSE,"earnout";#N/A,#N/A,FALSE,"Heaty";#N/A,#N/A,FALSE,"self-tend";#N/A,#N/A,FALSE,"self-sum"}</definedName>
    <definedName name="iioo">{#N/A,#N/A,FALSE,"TSUM";#N/A,#N/A,FALSE,"shares";#N/A,#N/A,FALSE,"earnout";#N/A,#N/A,FALSE,"Heaty";#N/A,#N/A,FALSE,"self-tend";#N/A,#N/A,FALSE,"self-sum"}</definedName>
    <definedName name="ijn" localSheetId="25">{#N/A,#N/A,FALSE,"AD_Purchase";#N/A,#N/A,FALSE,"Credit";#N/A,#N/A,FALSE,"PF Acquisition";#N/A,#N/A,FALSE,"PF Offering"}</definedName>
    <definedName name="ijn" localSheetId="20">{#N/A,#N/A,FALSE,"AD_Purchase";#N/A,#N/A,FALSE,"Credit";#N/A,#N/A,FALSE,"PF Acquisition";#N/A,#N/A,FALSE,"PF Offering"}</definedName>
    <definedName name="ijn">{#N/A,#N/A,FALSE,"AD_Purchase";#N/A,#N/A,FALSE,"Credit";#N/A,#N/A,FALSE,"PF Acquisition";#N/A,#N/A,FALSE,"PF Offering"}</definedName>
    <definedName name="incentive" localSheetId="25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 localSheetId="20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flList">"00000000000000000000000000000000000000000000000000000000000000000000000000000000000000000000000000000000000000000000000000000000000000000000000000000000000000000000000000000000000000000000000000000000"</definedName>
    <definedName name="INFO_BI_EXE_NAME">"BICORE.EXE"</definedName>
    <definedName name="INFO_INSTANCE_ID">"0"</definedName>
    <definedName name="INFO_INSTANCE_NAME">"Sales - Analytics_20140210_12_40_15_4040.xls"</definedName>
    <definedName name="INFO_REPORT_CODE">""</definedName>
    <definedName name="INFO_REPORT_ID">"66"</definedName>
    <definedName name="INFO_REPORT_NAME">"Sales - Analytics"</definedName>
    <definedName name="INFO_RUN_USER">""</definedName>
    <definedName name="INFO_RUN_WORKSTATION">"BELMONTLPT3-HP"</definedName>
    <definedName name="Interco2" localSheetId="25">{#N/A,#N/A,FALSE,"Job Sched"}</definedName>
    <definedName name="Interco2" localSheetId="20">{#N/A,#N/A,FALSE,"Job Sched"}</definedName>
    <definedName name="Interco2">{#N/A,#N/A,FALSE,"Job Sched"}</definedName>
    <definedName name="IntroPrintArea">#REF!</definedName>
    <definedName name="io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PRD_mites" localSheetId="25">{"bs",#N/A,FALSE,"SCF"}</definedName>
    <definedName name="IPRD_mites" localSheetId="20">{"bs",#N/A,FALSE,"SCF"}</definedName>
    <definedName name="IPRD_mites">{"bs",#N/A,FALSE,"SCF"}</definedName>
    <definedName name="IPRD_Pollen" localSheetId="25">{"bs",#N/A,FALSE,"SCF"}</definedName>
    <definedName name="IPRD_Pollen" localSheetId="20">{"bs",#N/A,FALSE,"SCF"}</definedName>
    <definedName name="IPRD_Pollen">{"bs",#N/A,FALSE,"SCF"}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ING_STANDARD">"c4539"</definedName>
    <definedName name="IQ_ACCOUNTING_STANDARD_CIQ">"c5092"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DIVIDEND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K_DATE_RT">"ASKDATE"</definedName>
    <definedName name="IQ_ASK_NUM_ORDERS_RT">"ASKNUMBERORDERS"</definedName>
    <definedName name="IQ_ASK_PRICE_RT">"ASK"</definedName>
    <definedName name="IQ_ASK_TIME_RT">"ASKTIME"</definedName>
    <definedName name="IQ_ASK_VOLUME_RT">"ASKVOLUME"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NO_THOM">"c5094"</definedName>
    <definedName name="IQ_AVG_BROKER_REC_REUT">"c3630"</definedName>
    <definedName name="IQ_AVG_BROKER_REC_THOM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NO">"c4454"</definedName>
    <definedName name="IQ_AVG_INDUSTRY_REC_NO_CIQ">"c4983"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_UNUSED_UNUSED">"c8135"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EST_CIQ">"c4541"</definedName>
    <definedName name="IQ_BASIC_OUTSTANDING_CURRENT_HIGH_EST">"c4129"</definedName>
    <definedName name="IQ_BASIC_OUTSTANDING_CURRENT_HIGH_EST_CIQ">"c4542"</definedName>
    <definedName name="IQ_BASIC_OUTSTANDING_CURRENT_LOW_EST">"c4130"</definedName>
    <definedName name="IQ_BASIC_OUTSTANDING_CURRENT_LOW_EST_CIQ">"c4543"</definedName>
    <definedName name="IQ_BASIC_OUTSTANDING_CURRENT_MEDIAN_EST">"c4131"</definedName>
    <definedName name="IQ_BASIC_OUTSTANDING_CURRENT_MEDIAN_EST_CIQ">"c4544"</definedName>
    <definedName name="IQ_BASIC_OUTSTANDING_CURRENT_NUM_EST">"c4132"</definedName>
    <definedName name="IQ_BASIC_OUTSTANDING_CURRENT_NUM_EST_CIQ">"c4545"</definedName>
    <definedName name="IQ_BASIC_OUTSTANDING_CURRENT_STDDEV_EST">"c4133"</definedName>
    <definedName name="IQ_BASIC_OUTSTANDING_CURRENT_STDDEV_EST_CIQ">"c4546"</definedName>
    <definedName name="IQ_BASIC_OUTSTANDING_EST">"c4134"</definedName>
    <definedName name="IQ_BASIC_OUTSTANDING_EST_CIQ">"c4547"</definedName>
    <definedName name="IQ_BASIC_OUTSTANDING_HIGH_EST">"c4135"</definedName>
    <definedName name="IQ_BASIC_OUTSTANDING_HIGH_EST_CIQ">"c4548"</definedName>
    <definedName name="IQ_BASIC_OUTSTANDING_LOW_EST">"c4136"</definedName>
    <definedName name="IQ_BASIC_OUTSTANDING_LOW_EST_CIQ">"c4549"</definedName>
    <definedName name="IQ_BASIC_OUTSTANDING_MEDIAN_EST">"c4137"</definedName>
    <definedName name="IQ_BASIC_OUTSTANDING_MEDIAN_EST_CIQ">"c4550"</definedName>
    <definedName name="IQ_BASIC_OUTSTANDING_NUM_EST">"c4138"</definedName>
    <definedName name="IQ_BASIC_OUTSTANDING_NUM_EST_CIQ">"c4551"</definedName>
    <definedName name="IQ_BASIC_OUTSTANDING_STDDEV_EST">"c4139"</definedName>
    <definedName name="IQ_BASIC_OUTSTANDING_STDDEV_EST_CIQ">"c4552"</definedName>
    <definedName name="IQ_BASIC_WEIGHT">"c87"</definedName>
    <definedName name="IQ_BASIC_WEIGHT_EST">"c4140"</definedName>
    <definedName name="IQ_BASIC_WEIGHT_EST_CIQ">"c4553"</definedName>
    <definedName name="IQ_BASIC_WEIGHT_GUIDANCE">"c4141"</definedName>
    <definedName name="IQ_BASIC_WEIGHT_HIGH_EST">"c4142"</definedName>
    <definedName name="IQ_BASIC_WEIGHT_HIGH_EST_CIQ">"c4554"</definedName>
    <definedName name="IQ_BASIC_WEIGHT_LOW_EST">"c4143"</definedName>
    <definedName name="IQ_BASIC_WEIGHT_LOW_EST_CIQ">"c4555"</definedName>
    <definedName name="IQ_BASIC_WEIGHT_MEDIAN_EST">"c4144"</definedName>
    <definedName name="IQ_BASIC_WEIGHT_MEDIAN_EST_CIQ">"c4556"</definedName>
    <definedName name="IQ_BASIC_WEIGHT_NUM_EST">"c4145"</definedName>
    <definedName name="IQ_BASIC_WEIGHT_NUM_EST_CIQ">"c4557"</definedName>
    <definedName name="IQ_BASIC_WEIGHT_STDDEV_EST">"c4146"</definedName>
    <definedName name="IQ_BASIC_WEIGHT_STDDEV_EST_CIQ">"c4558"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D_DATE_RT">"BIDDATE"</definedName>
    <definedName name="IQ_BID_NUM_ORDERS_RT">"BIDNUMBERORDERS"</definedName>
    <definedName name="IQ_BID_PRICE_RT">"BID"</definedName>
    <definedName name="IQ_BID_TIME_RT">"BIDTIME"</definedName>
    <definedName name="IQ_BID_VOLUME_RT">"BIDVOLUME"</definedName>
    <definedName name="IQ_BIG_INT_BEAR_CD">"c11749"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BACKGROUND">"c2101"</definedName>
    <definedName name="IQ_BOARD_MEMBER_FAX">"c2100"</definedName>
    <definedName name="IQ_BOARD_MEMBER_OFFICE">"c2098"</definedName>
    <definedName name="IQ_BOARD_MEMBER_PHONE">"c2099"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"IQ_BONDRATING_FITCH"</definedName>
    <definedName name="IQ_BONDRATING_FITCH_DATE">"c241"</definedName>
    <definedName name="IQ_BONDRATING_MOODYS">"IQ_BONDRATING_MOODYS"</definedName>
    <definedName name="IQ_BONDRATING_SP">"IQ_BONDRATING_SP"</definedName>
    <definedName name="IQ_BONDRATING_SP_DATE">"c242"</definedName>
    <definedName name="IQ_BOOK_VALUE">"IQ_BOOK_VALUE"</definedName>
    <definedName name="IQ_BROK_COMISSION">"c98"</definedName>
    <definedName name="IQ_BROK_COMMISSION">"c3514"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ACT_OR_EST_REUT">"c5471"</definedName>
    <definedName name="IQ_BV_ACT_OR_EST_THOM">"c5308"</definedName>
    <definedName name="IQ_BV_EST">"c5624"</definedName>
    <definedName name="IQ_BV_EST_CIQ">"c4737"</definedName>
    <definedName name="IQ_BV_EST_REUT">"c5403"</definedName>
    <definedName name="IQ_BV_EST_THOM">"c5147"</definedName>
    <definedName name="IQ_BV_HIGH_EST">"c5626"</definedName>
    <definedName name="IQ_BV_HIGH_EST_CIQ">"c4739"</definedName>
    <definedName name="IQ_BV_HIGH_EST_REUT">"c5405"</definedName>
    <definedName name="IQ_BV_HIGH_EST_THOM">"c5149"</definedName>
    <definedName name="IQ_BV_LOW_EST">"c5627"</definedName>
    <definedName name="IQ_BV_LOW_EST_CIQ">"c4740"</definedName>
    <definedName name="IQ_BV_LOW_EST_REUT">"c5406"</definedName>
    <definedName name="IQ_BV_LOW_EST_THOM">"c5150"</definedName>
    <definedName name="IQ_BV_MEDIAN_EST">"c5625"</definedName>
    <definedName name="IQ_BV_MEDIAN_EST_CIQ">"c4738"</definedName>
    <definedName name="IQ_BV_MEDIAN_EST_REUT">"c5404"</definedName>
    <definedName name="IQ_BV_MEDIAN_EST_THOM">"c5148"</definedName>
    <definedName name="IQ_BV_NUM_EST">"c5628"</definedName>
    <definedName name="IQ_BV_NUM_EST_CIQ">"c4741"</definedName>
    <definedName name="IQ_BV_NUM_EST_REUT">"c5407"</definedName>
    <definedName name="IQ_BV_NUM_EST_THOM">"c5151"</definedName>
    <definedName name="IQ_BV_OVER_SHARES">"c1349"</definedName>
    <definedName name="IQ_BV_SHARE">"c100"</definedName>
    <definedName name="IQ_BV_SHARE_ACT_OR_EST">"c3587"</definedName>
    <definedName name="IQ_BV_SHARE_ACT_OR_EST_CIQ">"c5072"</definedName>
    <definedName name="IQ_BV_SHARE_ACT_OR_EST_REUT">"c5477"</definedName>
    <definedName name="IQ_BV_SHARE_ACT_OR_EST_THOM">"c5312"</definedName>
    <definedName name="IQ_BV_SHARE_EST">"c3541"</definedName>
    <definedName name="IQ_BV_SHARE_EST_CIQ">"c3800"</definedName>
    <definedName name="IQ_BV_SHARE_EST_REUT">"c5439"</definedName>
    <definedName name="IQ_BV_SHARE_EST_THOM">"c4020"</definedName>
    <definedName name="IQ_BV_SHARE_HIGH_EST">"c3542"</definedName>
    <definedName name="IQ_BV_SHARE_HIGH_EST_CIQ">"c3802"</definedName>
    <definedName name="IQ_BV_SHARE_HIGH_EST_REUT">"c5441"</definedName>
    <definedName name="IQ_BV_SHARE_HIGH_EST_THOM">"c4022"</definedName>
    <definedName name="IQ_BV_SHARE_LOW_EST">"c3543"</definedName>
    <definedName name="IQ_BV_SHARE_LOW_EST_CIQ">"c3803"</definedName>
    <definedName name="IQ_BV_SHARE_LOW_EST_REUT">"c5442"</definedName>
    <definedName name="IQ_BV_SHARE_LOW_EST_THOM">"c4023"</definedName>
    <definedName name="IQ_BV_SHARE_MEDIAN_EST">"c3544"</definedName>
    <definedName name="IQ_BV_SHARE_MEDIAN_EST_CIQ">"c3801"</definedName>
    <definedName name="IQ_BV_SHARE_MEDIAN_EST_REUT">"c5440"</definedName>
    <definedName name="IQ_BV_SHARE_MEDIAN_EST_THOM">"c4021"</definedName>
    <definedName name="IQ_BV_SHARE_NUM_EST">"c3539"</definedName>
    <definedName name="IQ_BV_SHARE_NUM_EST_CIQ">"c3804"</definedName>
    <definedName name="IQ_BV_SHARE_NUM_EST_REUT">"c5443"</definedName>
    <definedName name="IQ_BV_SHARE_NUM_EST_THOM">"c4024"</definedName>
    <definedName name="IQ_BV_SHARE_STDDEV_EST">"c3540"</definedName>
    <definedName name="IQ_BV_SHARE_STDDEV_EST_CIQ">"c3805"</definedName>
    <definedName name="IQ_BV_SHARE_STDDEV_EST_REUT">"c5444"</definedName>
    <definedName name="IQ_BV_SHARE_STDDEV_EST_THOM">"c4025"</definedName>
    <definedName name="IQ_BV_STDDEV_EST">"c5629"</definedName>
    <definedName name="IQ_BV_STDDEV_EST_CIQ">"c4742"</definedName>
    <definedName name="IQ_BV_STDDEV_EST_REUT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REUT">"c6800"</definedName>
    <definedName name="IQ_CAL_Y">"c102"</definedName>
    <definedName name="IQ_CAL_Y_EST">"c6797"</definedName>
    <definedName name="IQ_CAL_Y_EST_CIQ">"c6809"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CIQ">"c5071"</definedName>
    <definedName name="IQ_CAPEX_ACT_OR_EST_REUT">"c5474"</definedName>
    <definedName name="IQ_CAPEX_ACT_OR_EST_THOM">"c5546"</definedName>
    <definedName name="IQ_CAPEX_BNK">"c110"</definedName>
    <definedName name="IQ_CAPEX_BR">"c111"</definedName>
    <definedName name="IQ_CAPEX_EST">"c3523"</definedName>
    <definedName name="IQ_CAPEX_EST_CIQ">"c3807"</definedName>
    <definedName name="IQ_CAPEX_EST_REUT">"c3969"</definedName>
    <definedName name="IQ_CAPEX_EST_THOM">"c5502"</definedName>
    <definedName name="IQ_CAPEX_FIN">"c112"</definedName>
    <definedName name="IQ_CAPEX_GUIDANCE">"c4150"</definedName>
    <definedName name="IQ_CAPEX_GUIDANCE_CIQ">"c4562"</definedName>
    <definedName name="IQ_CAPEX_HIGH_EST">"c3524"</definedName>
    <definedName name="IQ_CAPEX_HIGH_EST_CIQ">"c3809"</definedName>
    <definedName name="IQ_CAPEX_HIGH_EST_REUT">"c3971"</definedName>
    <definedName name="IQ_CAPEX_HIGH_EST_THOM">"c5504"</definedName>
    <definedName name="IQ_CAPEX_HIGH_GUIDANCE">"c4180"</definedName>
    <definedName name="IQ_CAPEX_HIGH_GUIDANCE_CIQ">"c4592"</definedName>
    <definedName name="IQ_CAPEX_INS">"c113"</definedName>
    <definedName name="IQ_CAPEX_LOW_EST">"c3525"</definedName>
    <definedName name="IQ_CAPEX_LOW_EST_CIQ">"c3810"</definedName>
    <definedName name="IQ_CAPEX_LOW_EST_REUT">"c3972"</definedName>
    <definedName name="IQ_CAPEX_LOW_EST_THOM">"c5505"</definedName>
    <definedName name="IQ_CAPEX_LOW_GUIDANCE">"c4220"</definedName>
    <definedName name="IQ_CAPEX_LOW_GUIDANCE_CIQ">"c4632"</definedName>
    <definedName name="IQ_CAPEX_MEDIAN_EST">"c3526"</definedName>
    <definedName name="IQ_CAPEX_MEDIAN_EST_CIQ">"c3808"</definedName>
    <definedName name="IQ_CAPEX_MEDIAN_EST_REUT">"c3970"</definedName>
    <definedName name="IQ_CAPEX_MEDIAN_EST_THOM">"c5503"</definedName>
    <definedName name="IQ_CAPEX_NUM_EST">"c3521"</definedName>
    <definedName name="IQ_CAPEX_NUM_EST_CIQ">"c3811"</definedName>
    <definedName name="IQ_CAPEX_NUM_EST_REUT">"c3973"</definedName>
    <definedName name="IQ_CAPEX_NUM_EST_THOM">"c5506"</definedName>
    <definedName name="IQ_CAPEX_STDDEV_EST">"c3522"</definedName>
    <definedName name="IQ_CAPEX_STDDEV_EST_CIQ">"c3812"</definedName>
    <definedName name="IQ_CAPEX_STDDEV_EST_REUT">"c3974"</definedName>
    <definedName name="IQ_CAPEX_STDDEV_EST_THOM">"c5507"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">"c5638"</definedName>
    <definedName name="IQ_CASH_EPS_ACT_OR_EST_THOM">"c5646"</definedName>
    <definedName name="IQ_CASH_EPS_EST">"c5631"</definedName>
    <definedName name="IQ_CASH_EPS_EST_THOM">"c5639"</definedName>
    <definedName name="IQ_CASH_EPS_HIGH_EST">"c5633"</definedName>
    <definedName name="IQ_CASH_EPS_HIGH_EST_THOM">"c5641"</definedName>
    <definedName name="IQ_CASH_EPS_LOW_EST">"c5634"</definedName>
    <definedName name="IQ_CASH_EPS_LOW_EST_THOM">"c5642"</definedName>
    <definedName name="IQ_CASH_EPS_MEDIAN_EST">"c5632"</definedName>
    <definedName name="IQ_CASH_EPS_MEDIAN_EST_THOM">"c5640"</definedName>
    <definedName name="IQ_CASH_EPS_NUM_EST">"c5635"</definedName>
    <definedName name="IQ_CASH_EPS_NUM_EST_THOM">"c5643"</definedName>
    <definedName name="IQ_CASH_EPS_STDDEV_EST">"c5636"</definedName>
    <definedName name="IQ_CASH_EPS_STDDEV_EST_THOM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EST">"c4153"</definedName>
    <definedName name="IQ_CASH_FLOW_EST_CIQ">"c4565"</definedName>
    <definedName name="IQ_CASH_FLOW_GUIDANCE">"c4155"</definedName>
    <definedName name="IQ_CASH_FLOW_GUIDANCE_CIQ">"c4567"</definedName>
    <definedName name="IQ_CASH_FLOW_HIGH_EST">"c4156"</definedName>
    <definedName name="IQ_CASH_FLOW_HIGH_EST_CIQ">"c4568"</definedName>
    <definedName name="IQ_CASH_FLOW_HIGH_GUIDANCE">"c4201"</definedName>
    <definedName name="IQ_CASH_FLOW_HIGH_GUIDANCE_CIQ">"c4613"</definedName>
    <definedName name="IQ_CASH_FLOW_LOW_EST">"c4157"</definedName>
    <definedName name="IQ_CASH_FLOW_LOW_EST_CIQ">"c4569"</definedName>
    <definedName name="IQ_CASH_FLOW_LOW_GUIDANCE">"c4241"</definedName>
    <definedName name="IQ_CASH_FLOW_LOW_GUIDANCE_CIQ">"c4653"</definedName>
    <definedName name="IQ_CASH_FLOW_MEDIAN_EST">"c4158"</definedName>
    <definedName name="IQ_CASH_FLOW_MEDIAN_EST_CIQ">"c4570"</definedName>
    <definedName name="IQ_CASH_FLOW_NUM_EST">"c4159"</definedName>
    <definedName name="IQ_CASH_FLOW_NUM_EST_CIQ">"c4571"</definedName>
    <definedName name="IQ_CASH_FLOW_STDDEV_EST">"c4160"</definedName>
    <definedName name="IQ_CASH_FLOW_STDDEV_EST_CIQ">"c4572"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OPER">"c6293"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EST_CIQ">"c4575"</definedName>
    <definedName name="IQ_CASH_OPER_GUIDANCE">"c4165"</definedName>
    <definedName name="IQ_CASH_OPER_GUIDANCE_CIQ">"c4577"</definedName>
    <definedName name="IQ_CASH_OPER_HIGH_EST">"c4166"</definedName>
    <definedName name="IQ_CASH_OPER_HIGH_EST_CIQ">"c4578"</definedName>
    <definedName name="IQ_CASH_OPER_HIGH_GUIDANCE">"c4185"</definedName>
    <definedName name="IQ_CASH_OPER_HIGH_GUIDANCE_CIQ">"c4597"</definedName>
    <definedName name="IQ_CASH_OPER_LOW_EST">"c4244"</definedName>
    <definedName name="IQ_CASH_OPER_LOW_EST_CIQ">"c4768"</definedName>
    <definedName name="IQ_CASH_OPER_LOW_GUIDANCE">"c4225"</definedName>
    <definedName name="IQ_CASH_OPER_LOW_GUIDANCE_CIQ">"c4637"</definedName>
    <definedName name="IQ_CASH_OPER_MEDIAN_EST">"c4245"</definedName>
    <definedName name="IQ_CASH_OPER_MEDIAN_EST_CIQ">"c4771"</definedName>
    <definedName name="IQ_CASH_OPER_NAME_AP">"c8926"</definedName>
    <definedName name="IQ_CASH_OPER_NAME_AP_ABS">"c8945"</definedName>
    <definedName name="IQ_CASH_OPER_NUM_EST">"c4246"</definedName>
    <definedName name="IQ_CASH_OPER_NUM_EST_CIQ">"c4772"</definedName>
    <definedName name="IQ_CASH_OPER_STDDEV_EST">"c4247"</definedName>
    <definedName name="IQ_CASH_OPER_STDDEV_EST_CIQ">"c4773"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EST_CIQ">"c4775"</definedName>
    <definedName name="IQ_CASH_ST_INVEST_GUIDANCE">"c4250"</definedName>
    <definedName name="IQ_CASH_ST_INVEST_GUIDANCE_CIQ">"c4776"</definedName>
    <definedName name="IQ_CASH_ST_INVEST_HIGH_EST">"c4251"</definedName>
    <definedName name="IQ_CASH_ST_INVEST_HIGH_EST_CIQ">"c4777"</definedName>
    <definedName name="IQ_CASH_ST_INVEST_HIGH_GUIDANCE">"c4195"</definedName>
    <definedName name="IQ_CASH_ST_INVEST_HIGH_GUIDANCE_CIQ">"c4607"</definedName>
    <definedName name="IQ_CASH_ST_INVEST_LOW_EST">"c4252"</definedName>
    <definedName name="IQ_CASH_ST_INVEST_LOW_EST_CIQ">"c4778"</definedName>
    <definedName name="IQ_CASH_ST_INVEST_LOW_GUIDANCE">"c4235"</definedName>
    <definedName name="IQ_CASH_ST_INVEST_LOW_GUIDANCE_CIQ">"c4647"</definedName>
    <definedName name="IQ_CASH_ST_INVEST_MEDIAN_EST">"c4253"</definedName>
    <definedName name="IQ_CASH_ST_INVEST_MEDIAN_EST_CIQ">"c4779"</definedName>
    <definedName name="IQ_CASH_ST_INVEST_NUM_EST">"c4254"</definedName>
    <definedName name="IQ_CASH_ST_INVEST_NUM_EST_CIQ">"c4780"</definedName>
    <definedName name="IQ_CASH_ST_INVEST_STDDEV_EST">"c4255"</definedName>
    <definedName name="IQ_CASH_ST_INVEST_STDDEV_EST_CIQ">"c4781"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CIQ">"c5061"</definedName>
    <definedName name="IQ_CFPS_ACT_OR_EST_REUT">"c5463"</definedName>
    <definedName name="IQ_CFPS_ACT_OR_EST_THOM">"c5301"</definedName>
    <definedName name="IQ_CFPS_EST">"c1667"</definedName>
    <definedName name="IQ_CFPS_EST_CIQ">"c3675"</definedName>
    <definedName name="IQ_CFPS_EST_REUT">"c3844"</definedName>
    <definedName name="IQ_CFPS_EST_THOM">"c4006"</definedName>
    <definedName name="IQ_CFPS_GUIDANCE">"c4256"</definedName>
    <definedName name="IQ_CFPS_GUIDANCE_CIQ">"c4782"</definedName>
    <definedName name="IQ_CFPS_HIGH_EST">"c1669"</definedName>
    <definedName name="IQ_CFPS_HIGH_EST_CIQ">"c3677"</definedName>
    <definedName name="IQ_CFPS_HIGH_EST_REUT">"c3846"</definedName>
    <definedName name="IQ_CFPS_HIGH_EST_THOM">"c4008"</definedName>
    <definedName name="IQ_CFPS_HIGH_GUIDANCE">"c4167"</definedName>
    <definedName name="IQ_CFPS_HIGH_GUIDANCE_CIQ">"c4579"</definedName>
    <definedName name="IQ_CFPS_LOW_EST">"c1670"</definedName>
    <definedName name="IQ_CFPS_LOW_EST_CIQ">"c3678"</definedName>
    <definedName name="IQ_CFPS_LOW_EST_REUT">"c3847"</definedName>
    <definedName name="IQ_CFPS_LOW_EST_THOM">"c4009"</definedName>
    <definedName name="IQ_CFPS_LOW_GUIDANCE">"c4207"</definedName>
    <definedName name="IQ_CFPS_LOW_GUIDANCE_CIQ">"c4619"</definedName>
    <definedName name="IQ_CFPS_MEDIAN_EST">"c1668"</definedName>
    <definedName name="IQ_CFPS_MEDIAN_EST_CIQ">"c3676"</definedName>
    <definedName name="IQ_CFPS_MEDIAN_EST_REUT">"c3845"</definedName>
    <definedName name="IQ_CFPS_MEDIAN_EST_THOM">"c4007"</definedName>
    <definedName name="IQ_CFPS_NUM_EST">"c1671"</definedName>
    <definedName name="IQ_CFPS_NUM_EST_CIQ">"c3679"</definedName>
    <definedName name="IQ_CFPS_NUM_EST_REUT">"c3848"</definedName>
    <definedName name="IQ_CFPS_NUM_EST_THOM">"c4010"</definedName>
    <definedName name="IQ_CFPS_STDDEV_EST">"c1672"</definedName>
    <definedName name="IQ_CFPS_STDDEV_EST_CIQ">"c3680"</definedName>
    <definedName name="IQ_CFPS_STDDEV_EST_REUT">"c3849"</definedName>
    <definedName name="IQ_CFPS_STDDEV_EST_THOM">"c4011"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_UNUSED_UNUSED">"c8280"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>"c6406"</definedName>
    <definedName name="IQ_CODE_QUALITY_PRICE_BID_ASK_RT">"BIDASKQUALITY"</definedName>
    <definedName name="IQ_CODE_QUALITY_PRICE_RT">"PRICEQUALITY"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TRIBUTOR_CODE_RT">"CONTRIBUTOR"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DEBT">"c224"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_UNUSED_UNUSED">"c7947"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_UNUSED_UNUSED">"c8167"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CY_RT">"ISOCURRENCY"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EST_CIQ">"c4783"</definedName>
    <definedName name="IQ_DEBT_EQUITY_HIGH_EST">"c4258"</definedName>
    <definedName name="IQ_DEBT_EQUITY_HIGH_EST_CIQ">"c4784"</definedName>
    <definedName name="IQ_DEBT_EQUITY_LOW_EST">"c4259"</definedName>
    <definedName name="IQ_DEBT_EQUITY_LOW_EST_CIQ">"c4785"</definedName>
    <definedName name="IQ_DEBT_EQUITY_MEDIAN_EST">"c4260"</definedName>
    <definedName name="IQ_DEBT_EQUITY_MEDIAN_EST_CIQ">"c4786"</definedName>
    <definedName name="IQ_DEBT_EQUITY_NUM_EST">"c4261"</definedName>
    <definedName name="IQ_DEBT_EQUITY_NUM_EST_CIQ">"c4787"</definedName>
    <definedName name="IQ_DEBT_EQUITY_STDDEV_EST">"c4262"</definedName>
    <definedName name="IQ_DEBT_EQUITY_STDDEV_EST_CIQ">"c4788"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>"c5278"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EST_CIQ">"c4789"</definedName>
    <definedName name="IQ_DILUT_OUTSTANDING_CURRENT_HIGH_EST">"c4264"</definedName>
    <definedName name="IQ_DILUT_OUTSTANDING_CURRENT_HIGH_EST_CIQ">"c4790"</definedName>
    <definedName name="IQ_DILUT_OUTSTANDING_CURRENT_LOW_EST">"c4265"</definedName>
    <definedName name="IQ_DILUT_OUTSTANDING_CURRENT_LOW_EST_CIQ">"c4791"</definedName>
    <definedName name="IQ_DILUT_OUTSTANDING_CURRENT_MEDIAN_EST">"c4266"</definedName>
    <definedName name="IQ_DILUT_OUTSTANDING_CURRENT_MEDIAN_EST_CIQ">"c4792"</definedName>
    <definedName name="IQ_DILUT_OUTSTANDING_CURRENT_NUM_EST">"c4267"</definedName>
    <definedName name="IQ_DILUT_OUTSTANDING_CURRENT_NUM_EST_CIQ">"c4793"</definedName>
    <definedName name="IQ_DILUT_OUTSTANDING_CURRENT_STDDEV_EST">"c4268"</definedName>
    <definedName name="IQ_DILUT_OUTSTANDING_CURRENT_STDDEV_EST_CIQ">"c4794"</definedName>
    <definedName name="IQ_DILUT_WEIGHT">"c326"</definedName>
    <definedName name="IQ_DILUT_WEIGHT_EST">"c4269"</definedName>
    <definedName name="IQ_DILUT_WEIGHT_EST_CIQ">"c4795"</definedName>
    <definedName name="IQ_DILUT_WEIGHT_GUIDANCE">"c4270"</definedName>
    <definedName name="IQ_DILUT_WEIGHT_HIGH_EST">"c4271"</definedName>
    <definedName name="IQ_DILUT_WEIGHT_HIGH_EST_CIQ">"c4796"</definedName>
    <definedName name="IQ_DILUT_WEIGHT_LOW_EST">"c4272"</definedName>
    <definedName name="IQ_DILUT_WEIGHT_LOW_EST_CIQ">"c4797"</definedName>
    <definedName name="IQ_DILUT_WEIGHT_MEDIAN_EST">"c4273"</definedName>
    <definedName name="IQ_DILUT_WEIGHT_MEDIAN_EST_CIQ">"c4798"</definedName>
    <definedName name="IQ_DILUT_WEIGHT_NUM_EST">"c4274"</definedName>
    <definedName name="IQ_DILUT_WEIGHT_NUM_EST_CIQ">"c4799"</definedName>
    <definedName name="IQ_DILUT_WEIGHT_STDDEV_EST">"c4275"</definedName>
    <definedName name="IQ_DILUT_WEIGHT_STDDEV_EST_CIQ">"c4800"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">"c4277"</definedName>
    <definedName name="IQ_DISTRIBUTABLE_CASH_EST_CIQ">"c4802"</definedName>
    <definedName name="IQ_DISTRIBUTABLE_CASH_GUIDANCE">"c4279"</definedName>
    <definedName name="IQ_DISTRIBUTABLE_CASH_GUIDANCE_CIQ">"c4804"</definedName>
    <definedName name="IQ_DISTRIBUTABLE_CASH_HIGH_EST">"c4280"</definedName>
    <definedName name="IQ_DISTRIBUTABLE_CASH_HIGH_EST_CIQ">"c4805"</definedName>
    <definedName name="IQ_DISTRIBUTABLE_CASH_HIGH_GUIDANCE">"c4198"</definedName>
    <definedName name="IQ_DISTRIBUTABLE_CASH_HIGH_GUIDANCE_CIQ">"c4610"</definedName>
    <definedName name="IQ_DISTRIBUTABLE_CASH_LOW_EST">"c4281"</definedName>
    <definedName name="IQ_DISTRIBUTABLE_CASH_LOW_EST_CIQ">"c4806"</definedName>
    <definedName name="IQ_DISTRIBUTABLE_CASH_LOW_GUIDANCE">"c4238"</definedName>
    <definedName name="IQ_DISTRIBUTABLE_CASH_LOW_GUIDANCE_CIQ">"c4650"</definedName>
    <definedName name="IQ_DISTRIBUTABLE_CASH_MEDIAN_EST">"c4282"</definedName>
    <definedName name="IQ_DISTRIBUTABLE_CASH_MEDIAN_EST_CIQ">"c4807"</definedName>
    <definedName name="IQ_DISTRIBUTABLE_CASH_NUM_EST">"c4283"</definedName>
    <definedName name="IQ_DISTRIBUTABLE_CASH_NUM_EST_CIQ">"c4808"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">"c4285"</definedName>
    <definedName name="IQ_DISTRIBUTABLE_CASH_SHARE_EST_CIQ">"c4810"</definedName>
    <definedName name="IQ_DISTRIBUTABLE_CASH_SHARE_GUIDANCE">"c4287"</definedName>
    <definedName name="IQ_DISTRIBUTABLE_CASH_SHARE_GUIDANCE_CIQ">"c4812"</definedName>
    <definedName name="IQ_DISTRIBUTABLE_CASH_SHARE_HIGH_EST">"c4288"</definedName>
    <definedName name="IQ_DISTRIBUTABLE_CASH_SHARE_HIGH_EST_CIQ">"c4813"</definedName>
    <definedName name="IQ_DISTRIBUTABLE_CASH_SHARE_HIGH_GUIDANCE">"c4199"</definedName>
    <definedName name="IQ_DISTRIBUTABLE_CASH_SHARE_HIGH_GUIDANCE_CIQ">"c4611"</definedName>
    <definedName name="IQ_DISTRIBUTABLE_CASH_SHARE_LOW_EST">"c4289"</definedName>
    <definedName name="IQ_DISTRIBUTABLE_CASH_SHARE_LOW_EST_CIQ">"c4814"</definedName>
    <definedName name="IQ_DISTRIBUTABLE_CASH_SHARE_LOW_GUIDANCE">"c4239"</definedName>
    <definedName name="IQ_DISTRIBUTABLE_CASH_SHARE_LOW_GUIDANCE_CIQ">"c4651"</definedName>
    <definedName name="IQ_DISTRIBUTABLE_CASH_SHARE_MEDIAN_EST">"c4290"</definedName>
    <definedName name="IQ_DISTRIBUTABLE_CASH_SHARE_MEDIAN_EST_CIQ">"c4815"</definedName>
    <definedName name="IQ_DISTRIBUTABLE_CASH_SHARE_NUM_EST">"c4291"</definedName>
    <definedName name="IQ_DISTRIBUTABLE_CASH_SHARE_NUM_EST_CIQ">"c4816"</definedName>
    <definedName name="IQ_DISTRIBUTABLE_CASH_SHARE_STDDEV_EST">"c4292"</definedName>
    <definedName name="IQ_DISTRIBUTABLE_CASH_SHARE_STDDEV_EST_CIQ">"c4817"</definedName>
    <definedName name="IQ_DISTRIBUTABLE_CASH_STDDEV_EST">"c4294"</definedName>
    <definedName name="IQ_DISTRIBUTABLE_CASH_STDDEV_EST_CIQ">"c4819"</definedName>
    <definedName name="IQ_DIV_AMOUNT">"c3041"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EST_CIQ">"c4821"</definedName>
    <definedName name="IQ_DIVIDEND_HIGH_EST">"c4297"</definedName>
    <definedName name="IQ_DIVIDEND_HIGH_EST_CIQ">"c4822"</definedName>
    <definedName name="IQ_DIVIDEND_LOW_EST">"c4298"</definedName>
    <definedName name="IQ_DIVIDEND_LOW_EST_CIQ">"c4823"</definedName>
    <definedName name="IQ_DIVIDEND_MEDIAN_EST">"c4299"</definedName>
    <definedName name="IQ_DIVIDEND_MEDIAN_EST_CIQ">"c4824"</definedName>
    <definedName name="IQ_DIVIDEND_NUM_EST">"c4300"</definedName>
    <definedName name="IQ_DIVIDEND_NUM_EST_CIQ">"c4825"</definedName>
    <definedName name="IQ_DIVIDEND_STDDEV_EST">"c4301"</definedName>
    <definedName name="IQ_DIVIDEND_STDDEV_EST_CIQ">"c4826"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CIQ">"c5062"</definedName>
    <definedName name="IQ_DPS_ACT_OR_EST_REUT">"c5464"</definedName>
    <definedName name="IQ_DPS_ACT_OR_EST_THOM">"c5302"</definedName>
    <definedName name="IQ_DPS_EST">"c1674"</definedName>
    <definedName name="IQ_DPS_EST_BOTTOM_UP">"c5493"</definedName>
    <definedName name="IQ_DPS_EST_BOTTOM_UP_REUT">"c5501"</definedName>
    <definedName name="IQ_DPS_EST_CIQ">"c3682"</definedName>
    <definedName name="IQ_DPS_EST_REUT">"c3851"</definedName>
    <definedName name="IQ_DPS_EST_THOM">"c4013"</definedName>
    <definedName name="IQ_DPS_GUIDANCE">"c4302"</definedName>
    <definedName name="IQ_DPS_GUIDANCE_CIQ">"c4827"</definedName>
    <definedName name="IQ_DPS_HIGH_EST">"c1676"</definedName>
    <definedName name="IQ_DPS_HIGH_EST_CIQ">"c3684"</definedName>
    <definedName name="IQ_DPS_HIGH_EST_REUT">"c3853"</definedName>
    <definedName name="IQ_DPS_HIGH_EST_THOM">"c4015"</definedName>
    <definedName name="IQ_DPS_HIGH_GUIDANCE">"c4168"</definedName>
    <definedName name="IQ_DPS_HIGH_GUIDANCE_CIQ">"c4580"</definedName>
    <definedName name="IQ_DPS_LOW_EST">"c1677"</definedName>
    <definedName name="IQ_DPS_LOW_EST_CIQ">"c3685"</definedName>
    <definedName name="IQ_DPS_LOW_EST_REUT">"c3854"</definedName>
    <definedName name="IQ_DPS_LOW_EST_THOM">"c4016"</definedName>
    <definedName name="IQ_DPS_LOW_GUIDANCE">"c4208"</definedName>
    <definedName name="IQ_DPS_LOW_GUIDANCE_CIQ">"c4620"</definedName>
    <definedName name="IQ_DPS_MEDIAN_EST">"c1675"</definedName>
    <definedName name="IQ_DPS_MEDIAN_EST_CIQ">"c3683"</definedName>
    <definedName name="IQ_DPS_MEDIAN_EST_REUT">"c3852"</definedName>
    <definedName name="IQ_DPS_MEDIAN_EST_THOM">"c4014"</definedName>
    <definedName name="IQ_DPS_NUM_EST">"c1678"</definedName>
    <definedName name="IQ_DPS_NUM_EST_CIQ">"c3686"</definedName>
    <definedName name="IQ_DPS_NUM_EST_REUT">"c3855"</definedName>
    <definedName name="IQ_DPS_NUM_EST_THOM">"c4017"</definedName>
    <definedName name="IQ_DPS_STDDEV_EST">"c1679"</definedName>
    <definedName name="IQ_DPS_STDDEV_EST_CIQ">"c3687"</definedName>
    <definedName name="IQ_DPS_STDDEV_EST_REUT">"c3856"</definedName>
    <definedName name="IQ_DPS_STDDEV_EST_THOM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ANNOUNCE_DATE_THOM">"c5093"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CIQ">"c5063"</definedName>
    <definedName name="IQ_EBIT_ACT_OR_EST_REUT">"c5465"</definedName>
    <definedName name="IQ_EBIT_ACT_OR_EST_THOM">"c5303"</definedName>
    <definedName name="IQ_EBIT_EQ_INC">"c3498"</definedName>
    <definedName name="IQ_EBIT_EQ_INC_EXCL_SBC">"c3502"</definedName>
    <definedName name="IQ_EBIT_EST">"c1681"</definedName>
    <definedName name="IQ_EBIT_EST_CIQ">"c4674"</definedName>
    <definedName name="IQ_EBIT_EST_REUT">"c5333"</definedName>
    <definedName name="IQ_EBIT_EST_THOM">"c5105"</definedName>
    <definedName name="IQ_EBIT_EXCL_SBC">"c3082"</definedName>
    <definedName name="IQ_EBIT_GROWTH_1">"IQ_EBIT_GROWTH_1"</definedName>
    <definedName name="IQ_EBIT_GROWTH_2">"IQ_EBIT_GROWTH_2"</definedName>
    <definedName name="IQ_EBIT_GUIDANCE">"c4303"</definedName>
    <definedName name="IQ_EBIT_GUIDANCE_CIQ">"c4828"</definedName>
    <definedName name="IQ_EBIT_GW_ACT_OR_EST">"c4306"</definedName>
    <definedName name="IQ_EBIT_GW_ACT_OR_EST_CIQ">"c4831"</definedName>
    <definedName name="IQ_EBIT_GW_EST">"c4305"</definedName>
    <definedName name="IQ_EBIT_GW_EST_CIQ">"c4830"</definedName>
    <definedName name="IQ_EBIT_GW_GUIDANCE">"c4307"</definedName>
    <definedName name="IQ_EBIT_GW_GUIDANCE_CIQ">"c4832"</definedName>
    <definedName name="IQ_EBIT_GW_HIGH_EST">"c4308"</definedName>
    <definedName name="IQ_EBIT_GW_HIGH_EST_CIQ">"c4833"</definedName>
    <definedName name="IQ_EBIT_GW_HIGH_GUIDANCE">"c4171"</definedName>
    <definedName name="IQ_EBIT_GW_HIGH_GUIDANCE_CIQ">"c4583"</definedName>
    <definedName name="IQ_EBIT_GW_LOW_EST">"c4309"</definedName>
    <definedName name="IQ_EBIT_GW_LOW_EST_CIQ">"c4834"</definedName>
    <definedName name="IQ_EBIT_GW_LOW_GUIDANCE">"c4211"</definedName>
    <definedName name="IQ_EBIT_GW_LOW_GUIDANCE_CIQ">"c4623"</definedName>
    <definedName name="IQ_EBIT_GW_MEDIAN_EST">"c4310"</definedName>
    <definedName name="IQ_EBIT_GW_MEDIAN_EST_CIQ">"c4835"</definedName>
    <definedName name="IQ_EBIT_GW_NUM_EST">"c4311"</definedName>
    <definedName name="IQ_EBIT_GW_NUM_EST_CIQ">"c4836"</definedName>
    <definedName name="IQ_EBIT_GW_STDDEV_EST">"c4312"</definedName>
    <definedName name="IQ_EBIT_GW_STDDEV_EST_CIQ">"c4837"</definedName>
    <definedName name="IQ_EBIT_HIGH_EST">"c1683"</definedName>
    <definedName name="IQ_EBIT_HIGH_EST_CIQ">"c4676"</definedName>
    <definedName name="IQ_EBIT_HIGH_EST_REUT">"c5335"</definedName>
    <definedName name="IQ_EBIT_HIGH_EST_THOM">"c5107"</definedName>
    <definedName name="IQ_EBIT_HIGH_GUIDANCE">"c4172"</definedName>
    <definedName name="IQ_EBIT_HIGH_GUIDANCE_CIQ">"c4584"</definedName>
    <definedName name="IQ_EBIT_INT">"c360"</definedName>
    <definedName name="IQ_EBIT_LOW_EST">"c1684"</definedName>
    <definedName name="IQ_EBIT_LOW_EST_CIQ">"c4677"</definedName>
    <definedName name="IQ_EBIT_LOW_EST_REUT">"c5336"</definedName>
    <definedName name="IQ_EBIT_LOW_EST_THOM">"c5108"</definedName>
    <definedName name="IQ_EBIT_LOW_GUIDANCE">"c4212"</definedName>
    <definedName name="IQ_EBIT_LOW_GUIDANCE_CIQ">"c4624"</definedName>
    <definedName name="IQ_EBIT_MARGIN">"c359"</definedName>
    <definedName name="IQ_EBIT_MEDIAN_EST">"c1682"</definedName>
    <definedName name="IQ_EBIT_MEDIAN_EST_CIQ">"c4675"</definedName>
    <definedName name="IQ_EBIT_MEDIAN_EST_REUT">"c5334"</definedName>
    <definedName name="IQ_EBIT_MEDIAN_EST_THOM">"c5106"</definedName>
    <definedName name="IQ_EBIT_NET_INT">"c360"</definedName>
    <definedName name="IQ_EBIT_NUM_EST">"c1685"</definedName>
    <definedName name="IQ_EBIT_NUM_EST_CIQ">"c4678"</definedName>
    <definedName name="IQ_EBIT_NUM_EST_REUT">"c5337"</definedName>
    <definedName name="IQ_EBIT_NUM_EST_THOM">"c5109"</definedName>
    <definedName name="IQ_EBIT_OVER_IE">"c1369"</definedName>
    <definedName name="IQ_EBIT_SBC_ACT_OR_EST">"c4316"</definedName>
    <definedName name="IQ_EBIT_SBC_ACT_OR_EST_CIQ">"c4841"</definedName>
    <definedName name="IQ_EBIT_SBC_EST">"c4315"</definedName>
    <definedName name="IQ_EBIT_SBC_EST_CIQ">"c4840"</definedName>
    <definedName name="IQ_EBIT_SBC_GUIDANCE">"c4317"</definedName>
    <definedName name="IQ_EBIT_SBC_GUIDANCE_CIQ">"c4842"</definedName>
    <definedName name="IQ_EBIT_SBC_GW_ACT_OR_EST">"c4320"</definedName>
    <definedName name="IQ_EBIT_SBC_GW_ACT_OR_EST_CIQ">"c4845"</definedName>
    <definedName name="IQ_EBIT_SBC_GW_EST">"c4319"</definedName>
    <definedName name="IQ_EBIT_SBC_GW_EST_CIQ">"c4844"</definedName>
    <definedName name="IQ_EBIT_SBC_GW_GUIDANCE">"c4321"</definedName>
    <definedName name="IQ_EBIT_SBC_GW_GUIDANCE_CIQ">"c4846"</definedName>
    <definedName name="IQ_EBIT_SBC_GW_HIGH_EST">"c4322"</definedName>
    <definedName name="IQ_EBIT_SBC_GW_HIGH_EST_CIQ">"c4847"</definedName>
    <definedName name="IQ_EBIT_SBC_GW_HIGH_GUIDANCE">"c4193"</definedName>
    <definedName name="IQ_EBIT_SBC_GW_HIGH_GUIDANCE_CIQ">"c4605"</definedName>
    <definedName name="IQ_EBIT_SBC_GW_LOW_EST">"c4323"</definedName>
    <definedName name="IQ_EBIT_SBC_GW_LOW_EST_CIQ">"c4848"</definedName>
    <definedName name="IQ_EBIT_SBC_GW_LOW_GUIDANCE">"c4233"</definedName>
    <definedName name="IQ_EBIT_SBC_GW_LOW_GUIDANCE_CIQ">"c4645"</definedName>
    <definedName name="IQ_EBIT_SBC_GW_MEDIAN_EST">"c4324"</definedName>
    <definedName name="IQ_EBIT_SBC_GW_MEDIAN_EST_CIQ">"c4849"</definedName>
    <definedName name="IQ_EBIT_SBC_GW_NUM_EST">"c4325"</definedName>
    <definedName name="IQ_EBIT_SBC_GW_NUM_EST_CIQ">"c4850"</definedName>
    <definedName name="IQ_EBIT_SBC_GW_STDDEV_EST">"c4326"</definedName>
    <definedName name="IQ_EBIT_SBC_GW_STDDEV_EST_CIQ">"c4851"</definedName>
    <definedName name="IQ_EBIT_SBC_HIGH_EST">"c4328"</definedName>
    <definedName name="IQ_EBIT_SBC_HIGH_EST_CIQ">"c4853"</definedName>
    <definedName name="IQ_EBIT_SBC_HIGH_GUIDANCE">"c4192"</definedName>
    <definedName name="IQ_EBIT_SBC_HIGH_GUIDANCE_CIQ">"c4604"</definedName>
    <definedName name="IQ_EBIT_SBC_LOW_EST">"c4329"</definedName>
    <definedName name="IQ_EBIT_SBC_LOW_EST_CIQ">"c4854"</definedName>
    <definedName name="IQ_EBIT_SBC_LOW_GUIDANCE">"c4232"</definedName>
    <definedName name="IQ_EBIT_SBC_LOW_GUIDANCE_CIQ">"c4644"</definedName>
    <definedName name="IQ_EBIT_SBC_MEDIAN_EST">"c4330"</definedName>
    <definedName name="IQ_EBIT_SBC_MEDIAN_EST_CIQ">"c4855"</definedName>
    <definedName name="IQ_EBIT_SBC_NUM_EST">"c4331"</definedName>
    <definedName name="IQ_EBIT_SBC_NUM_EST_CIQ">"c4856"</definedName>
    <definedName name="IQ_EBIT_SBC_STDDEV_EST">"c4332"</definedName>
    <definedName name="IQ_EBIT_SBC_STDDEV_EST_CIQ">"c4857"</definedName>
    <definedName name="IQ_EBIT_STDDEV_EST">"c1686"</definedName>
    <definedName name="IQ_EBIT_STDDEV_EST_CIQ">"c4679"</definedName>
    <definedName name="IQ_EBIT_STDDEV_EST_REUT">"c5338"</definedName>
    <definedName name="IQ_EBIT_STDDEV_EST_THOM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>"c5300"</definedName>
    <definedName name="IQ_EBITDA_CAPEX_INT">"c368"</definedName>
    <definedName name="IQ_EBITDA_CAPEX_NET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>"c3640"</definedName>
    <definedName name="IQ_EBITDA_EST_THOM">"c3658"</definedName>
    <definedName name="IQ_EBITDA_EXCL_SBC">"c3081"</definedName>
    <definedName name="IQ_EBITDA_GROWTH_1">"IQ_EBITDA_GROWTH_1"</definedName>
    <definedName name="IQ_EBITDA_GROWTH_2">"IQ_EBITDA_GROWTH_2"</definedName>
    <definedName name="IQ_EBITDA_GUIDANCE">"c4334"</definedName>
    <definedName name="IQ_EBITDA_GUIDANCE_CIQ">"c4859"</definedName>
    <definedName name="IQ_EBITDA_HIGH_EST">"c370"</definedName>
    <definedName name="IQ_EBITDA_HIGH_EST_CIQ">"c3624"</definedName>
    <definedName name="IQ_EBITDA_HIGH_EST_REUT">"c3642"</definedName>
    <definedName name="IQ_EBITDA_HIGH_EST_THOM">"c3660"</definedName>
    <definedName name="IQ_EBITDA_HIGH_GUIDANCE">"c4170"</definedName>
    <definedName name="IQ_EBITDA_HIGH_GUIDANCE_CIQ">"c4582"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EST_THOM">"c3661"</definedName>
    <definedName name="IQ_EBITDA_LOW_GUIDANCE">"c4210"</definedName>
    <definedName name="IQ_EBITDA_LOW_GUIDANCE_CIQ">"c4622"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MEDIAN_EST_THOM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>"c3644"</definedName>
    <definedName name="IQ_EBITDA_NUM_EST_THOM">"c3662"</definedName>
    <definedName name="IQ_EBITDA_OVER_TOTAL_IE">"c1371"</definedName>
    <definedName name="IQ_EBITDA_SBC_ACT_OR_EST">"c4337"</definedName>
    <definedName name="IQ_EBITDA_SBC_ACT_OR_EST_CIQ">"c4862"</definedName>
    <definedName name="IQ_EBITDA_SBC_EST">"c4336"</definedName>
    <definedName name="IQ_EBITDA_SBC_EST_CIQ">"c4861"</definedName>
    <definedName name="IQ_EBITDA_SBC_GUIDANCE">"c4338"</definedName>
    <definedName name="IQ_EBITDA_SBC_GUIDANCE_CIQ">"c4863"</definedName>
    <definedName name="IQ_EBITDA_SBC_HIGH_EST">"c4339"</definedName>
    <definedName name="IQ_EBITDA_SBC_HIGH_EST_CIQ">"c4864"</definedName>
    <definedName name="IQ_EBITDA_SBC_HIGH_GUIDANCE">"c4194"</definedName>
    <definedName name="IQ_EBITDA_SBC_HIGH_GUIDANCE_CIQ">"c4606"</definedName>
    <definedName name="IQ_EBITDA_SBC_LOW_EST">"c4340"</definedName>
    <definedName name="IQ_EBITDA_SBC_LOW_EST_CIQ">"c4865"</definedName>
    <definedName name="IQ_EBITDA_SBC_LOW_GUIDANCE">"c4234"</definedName>
    <definedName name="IQ_EBITDA_SBC_LOW_GUIDANCE_CIQ">"c4646"</definedName>
    <definedName name="IQ_EBITDA_SBC_MEDIAN_EST">"c4341"</definedName>
    <definedName name="IQ_EBITDA_SBC_MEDIAN_EST_CIQ">"c4866"</definedName>
    <definedName name="IQ_EBITDA_SBC_NUM_EST">"c4342"</definedName>
    <definedName name="IQ_EBITDA_SBC_NUM_EST_CIQ">"c4867"</definedName>
    <definedName name="IQ_EBITDA_SBC_STDDEV_EST">"c4343"</definedName>
    <definedName name="IQ_EBITDA_SBC_STDDEV_EST_CIQ">"c4868"</definedName>
    <definedName name="IQ_EBITDA_STDDEV_EST">"c375"</definedName>
    <definedName name="IQ_EBITDA_STDDEV_EST_CIQ">"c3627"</definedName>
    <definedName name="IQ_EBITDA_STDDEV_EST_REUT">"c3645"</definedName>
    <definedName name="IQ_EBITDA_STDDEV_EST_THOM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GUIDANCE_CIQ">"c4870"</definedName>
    <definedName name="IQ_EBT_GAAP_HIGH_GUIDANCE">"c4174"</definedName>
    <definedName name="IQ_EBT_GAAP_HIGH_GUIDANCE_CIQ">"c4586"</definedName>
    <definedName name="IQ_EBT_GAAP_LOW_GUIDANCE">"c4214"</definedName>
    <definedName name="IQ_EBT_GAAP_LOW_GUIDANCE_CIQ">"c4626"</definedName>
    <definedName name="IQ_EBT_GUIDANCE">"c4346"</definedName>
    <definedName name="IQ_EBT_GUIDANCE_CIQ">"c4871"</definedName>
    <definedName name="IQ_EBT_GW_GUIDANCE">"c4347"</definedName>
    <definedName name="IQ_EBT_GW_GUIDANCE_CIQ">"c4872"</definedName>
    <definedName name="IQ_EBT_GW_HIGH_GUIDANCE">"c4175"</definedName>
    <definedName name="IQ_EBT_GW_HIGH_GUIDANCE_CIQ">"c4587"</definedName>
    <definedName name="IQ_EBT_GW_LOW_GUIDANCE">"c4215"</definedName>
    <definedName name="IQ_EBT_GW_LOW_GUIDANCE_CIQ">"c4627"</definedName>
    <definedName name="IQ_EBT_HIGH_GUIDANCE">"c4173"</definedName>
    <definedName name="IQ_EBT_HIGH_GUIDANCE_CIQ">"c4585"</definedName>
    <definedName name="IQ_EBT_INCL_MARGIN">"c387"</definedName>
    <definedName name="IQ_EBT_INS">"c388"</definedName>
    <definedName name="IQ_EBT_LOW_GUIDANCE">"c4213"</definedName>
    <definedName name="IQ_EBT_LOW_GUIDANCE_CIQ">"c4625"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EST">"c4349"</definedName>
    <definedName name="IQ_EBT_SBC_EST_CIQ">"c4874"</definedName>
    <definedName name="IQ_EBT_SBC_GUIDANCE">"c4351"</definedName>
    <definedName name="IQ_EBT_SBC_GUIDANCE_CIQ">"c4876"</definedName>
    <definedName name="IQ_EBT_SBC_GW_ACT_OR_EST">"c4354"</definedName>
    <definedName name="IQ_EBT_SBC_GW_ACT_OR_EST_CIQ">"c4879"</definedName>
    <definedName name="IQ_EBT_SBC_GW_EST">"c4353"</definedName>
    <definedName name="IQ_EBT_SBC_GW_EST_CIQ">"c4878"</definedName>
    <definedName name="IQ_EBT_SBC_GW_GUIDANCE">"c4355"</definedName>
    <definedName name="IQ_EBT_SBC_GW_GUIDANCE_CIQ">"c4880"</definedName>
    <definedName name="IQ_EBT_SBC_GW_HIGH_EST">"c4356"</definedName>
    <definedName name="IQ_EBT_SBC_GW_HIGH_EST_CIQ">"c4881"</definedName>
    <definedName name="IQ_EBT_SBC_GW_HIGH_GUIDANCE">"c4191"</definedName>
    <definedName name="IQ_EBT_SBC_GW_HIGH_GUIDANCE_CIQ">"c4603"</definedName>
    <definedName name="IQ_EBT_SBC_GW_LOW_EST">"c4357"</definedName>
    <definedName name="IQ_EBT_SBC_GW_LOW_EST_CIQ">"c4882"</definedName>
    <definedName name="IQ_EBT_SBC_GW_LOW_GUIDANCE">"c4231"</definedName>
    <definedName name="IQ_EBT_SBC_GW_LOW_GUIDANCE_CIQ">"c4643"</definedName>
    <definedName name="IQ_EBT_SBC_GW_MEDIAN_EST">"c4358"</definedName>
    <definedName name="IQ_EBT_SBC_GW_MEDIAN_EST_CIQ">"c4883"</definedName>
    <definedName name="IQ_EBT_SBC_GW_NUM_EST">"c4359"</definedName>
    <definedName name="IQ_EBT_SBC_GW_NUM_EST_CIQ">"c4884"</definedName>
    <definedName name="IQ_EBT_SBC_GW_STDDEV_EST">"c4360"</definedName>
    <definedName name="IQ_EBT_SBC_GW_STDDEV_EST_CIQ">"c4885"</definedName>
    <definedName name="IQ_EBT_SBC_HIGH_EST">"c4362"</definedName>
    <definedName name="IQ_EBT_SBC_HIGH_EST_CIQ">"c4887"</definedName>
    <definedName name="IQ_EBT_SBC_HIGH_GUIDANCE">"c4190"</definedName>
    <definedName name="IQ_EBT_SBC_HIGH_GUIDANCE_CIQ">"c4602"</definedName>
    <definedName name="IQ_EBT_SBC_LOW_EST">"c4363"</definedName>
    <definedName name="IQ_EBT_SBC_LOW_EST_CIQ">"c4888"</definedName>
    <definedName name="IQ_EBT_SBC_LOW_GUIDANCE">"c4230"</definedName>
    <definedName name="IQ_EBT_SBC_LOW_GUIDANCE_CIQ">"c4642"</definedName>
    <definedName name="IQ_EBT_SBC_MEDIAN_EST">"c4364"</definedName>
    <definedName name="IQ_EBT_SBC_MEDIAN_EST_CIQ">"c4889"</definedName>
    <definedName name="IQ_EBT_SBC_NUM_EST">"c4365"</definedName>
    <definedName name="IQ_EBT_SBC_NUM_EST_CIQ">"c4890"</definedName>
    <definedName name="IQ_EBT_SBC_STDDEV_EST">"c4366"</definedName>
    <definedName name="IQ_EBT_SBC_STDDEV_EST_CIQ">"c4891"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_UNUSED_UNUSED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_UNUSED_UNUSED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_UNUSED_UNUSED">"c6896"</definedName>
    <definedName name="IQ_ECO_METRIC_6897">"c6897"</definedName>
    <definedName name="IQ_ECO_METRIC_6897_UNUSED_UNUSED_UNUSED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_UNUSED_UNUSED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_UNUSED_UNUSED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_UNUSED_UNUSED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_UNUSED_UNUSED">"c7116"</definedName>
    <definedName name="IQ_ECO_METRIC_7117">"c7117"</definedName>
    <definedName name="IQ_ECO_METRIC_7117_UNUSED_UNUSED_UNUSED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_UNUSED_UNUSED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_UNUSED_UNUSED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_UNUSED_UNUSED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_UNUSED_UNUSED">"c7336"</definedName>
    <definedName name="IQ_ECO_METRIC_7337">"c7337"</definedName>
    <definedName name="IQ_ECO_METRIC_7337_UNUSED_UNUSED_UNUSED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_UNUSED_UNUSED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_UNUSED_UNUSED">"c7556"</definedName>
    <definedName name="IQ_ECO_METRIC_7557">"c7557"</definedName>
    <definedName name="IQ_ECO_METRIC_7557_UNUSED_UNUSED_UNUSED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_UNUSED_UNUSED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_UNUSED_UNUSED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_UNUSED_UNUSED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_UNUSED_UNUSED">"c7776"</definedName>
    <definedName name="IQ_ECO_METRIC_7777">"c7777"</definedName>
    <definedName name="IQ_ECO_METRIC_7777_UNUSED_UNUSED_UNUSED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_UNUSED_UNUSED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_UNUSED_UNUSED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_UNUSED_UNUSED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_UNUSED_UNUSED">"c7996"</definedName>
    <definedName name="IQ_ECO_METRIC_7997">"c7997"</definedName>
    <definedName name="IQ_ECO_METRIC_7997_UNUSED_UNUSED_UNUSED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_UNUSED_UNUSED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_UNUSED_UNUSED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_UNUSED_UNUSED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_UNUSED_UNUSED">"c8216"</definedName>
    <definedName name="IQ_ECO_METRIC_8217">"c8217"</definedName>
    <definedName name="IQ_ECO_METRIC_8217_UNUSED_UNUSED_UNUSED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_UNUSED_UNUSED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_UNUSED_UNUSED">"c8436"</definedName>
    <definedName name="IQ_ECO_METRIC_8437">"c8437"</definedName>
    <definedName name="IQ_ECO_METRIC_8437_UNUSED_UNUSED_UNUSED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_UNUSED_UNUSED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>"c5298"</definedName>
    <definedName name="IQ_EPS_AP">"c8880"</definedName>
    <definedName name="IQ_EPS_AP_ABS">"c8899"</definedName>
    <definedName name="IQ_EPS_EST">"c399"</definedName>
    <definedName name="IQ_EPS_EST_1">"IQ_EPS_EST_1"</definedName>
    <definedName name="IQ_EPS_EST_BOTTOM_UP">"c5489"</definedName>
    <definedName name="IQ_EPS_EST_BOTTOM_UP_REUT">"c5497"</definedName>
    <definedName name="IQ_EPS_EST_BOTTOM_UP_THOM">"c5647"</definedName>
    <definedName name="IQ_EPS_EST_CIQ">"c4994"</definedName>
    <definedName name="IQ_EPS_EST_REUT">"c5453"</definedName>
    <definedName name="IQ_EPS_EST_THOM">"c5290"</definedName>
    <definedName name="IQ_EPS_EXCL_GUIDANCE">"c4368"</definedName>
    <definedName name="IQ_EPS_EXCL_GUIDANCE_CIQ">"c4893"</definedName>
    <definedName name="IQ_EPS_EXCL_HIGH_GUIDANCE">"c4369"</definedName>
    <definedName name="IQ_EPS_EXCL_HIGH_GUIDANCE_CIQ">"c4894"</definedName>
    <definedName name="IQ_EPS_EXCL_LOW_GUIDANCE">"c4204"</definedName>
    <definedName name="IQ_EPS_EXCL_LOW_GUIDANCE_CIQ">"c4616"</definedName>
    <definedName name="IQ_EPS_GAAP_GUIDANCE">"c4370"</definedName>
    <definedName name="IQ_EPS_GAAP_GUIDANCE_CIQ">"c4895"</definedName>
    <definedName name="IQ_EPS_GAAP_HIGH_GUIDANCE">"c4371"</definedName>
    <definedName name="IQ_EPS_GAAP_HIGH_GUIDANCE_CIQ">"c4896"</definedName>
    <definedName name="IQ_EPS_GAAP_LOW_GUIDANCE">"c4205"</definedName>
    <definedName name="IQ_EPS_GAAP_LOW_GUIDANCE_CIQ">"c4617"</definedName>
    <definedName name="IQ_EPS_GW_ACT_OR_EST">"c2223"</definedName>
    <definedName name="IQ_EPS_GW_ACT_OR_EST_CIQ">"c5066"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CIQ">"c4723"</definedName>
    <definedName name="IQ_EPS_GW_EST_REUT">"c5389"</definedName>
    <definedName name="IQ_EPS_GW_EST_THOM">"c5133"</definedName>
    <definedName name="IQ_EPS_GW_GUIDANCE">"c4372"</definedName>
    <definedName name="IQ_EPS_GW_GUIDANCE_CIQ">"c4897"</definedName>
    <definedName name="IQ_EPS_GW_HIGH_EST">"c1739"</definedName>
    <definedName name="IQ_EPS_GW_HIGH_EST_CIQ">"c4725"</definedName>
    <definedName name="IQ_EPS_GW_HIGH_EST_REUT">"c5391"</definedName>
    <definedName name="IQ_EPS_GW_HIGH_EST_THOM">"c5135"</definedName>
    <definedName name="IQ_EPS_GW_HIGH_GUIDANCE">"c4373"</definedName>
    <definedName name="IQ_EPS_GW_HIGH_GUIDANCE_CIQ">"c4898"</definedName>
    <definedName name="IQ_EPS_GW_LOW_EST">"c1740"</definedName>
    <definedName name="IQ_EPS_GW_LOW_EST_CIQ">"c4726"</definedName>
    <definedName name="IQ_EPS_GW_LOW_EST_REUT">"c5392"</definedName>
    <definedName name="IQ_EPS_GW_LOW_EST_THOM">"c5136"</definedName>
    <definedName name="IQ_EPS_GW_LOW_GUIDANCE">"c4206"</definedName>
    <definedName name="IQ_EPS_GW_LOW_GUIDANCE_CIQ">"c4618"</definedName>
    <definedName name="IQ_EPS_GW_MEDIAN_EST">"c1738"</definedName>
    <definedName name="IQ_EPS_GW_MEDIAN_EST_CIQ">"c4724"</definedName>
    <definedName name="IQ_EPS_GW_MEDIAN_EST_REUT">"c5390"</definedName>
    <definedName name="IQ_EPS_GW_MEDIAN_EST_THOM">"c5134"</definedName>
    <definedName name="IQ_EPS_GW_NUM_EST">"c1741"</definedName>
    <definedName name="IQ_EPS_GW_NUM_EST_CIQ">"c4727"</definedName>
    <definedName name="IQ_EPS_GW_NUM_EST_REUT">"c5393"</definedName>
    <definedName name="IQ_EPS_GW_NUM_EST_THOM">"c5137"</definedName>
    <definedName name="IQ_EPS_GW_STDDEV_EST">"c1742"</definedName>
    <definedName name="IQ_EPS_GW_STDDEV_EST_CIQ">"c4728"</definedName>
    <definedName name="IQ_EPS_GW_STDDEV_EST_REUT">"c5394"</definedName>
    <definedName name="IQ_EPS_GW_STDDEV_EST_THOM">"c5138"</definedName>
    <definedName name="IQ_EPS_HIGH_EST">"c400"</definedName>
    <definedName name="IQ_EPS_HIGH_EST_CIQ">"c4995"</definedName>
    <definedName name="IQ_EPS_HIGH_EST_REUT">"c5454"</definedName>
    <definedName name="IQ_EPS_HIGH_EST_THOM">"c5291"</definedName>
    <definedName name="IQ_EPS_LOW_EST">"c401"</definedName>
    <definedName name="IQ_EPS_LOW_EST_CIQ">"c4996"</definedName>
    <definedName name="IQ_EPS_LOW_EST_REUT">"c5455"</definedName>
    <definedName name="IQ_EPS_LOW_EST_THOM">"c5292"</definedName>
    <definedName name="IQ_EPS_MEDIAN_EST">"c1661"</definedName>
    <definedName name="IQ_EPS_MEDIAN_EST_CIQ">"c4997"</definedName>
    <definedName name="IQ_EPS_MEDIAN_EST_REUT">"c5456"</definedName>
    <definedName name="IQ_EPS_MEDIAN_EST_THOM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CIQ">"c4667"</definedName>
    <definedName name="IQ_EPS_NORM_EST_REUT">"c5326"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NUM_EST_THOM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>"c5307"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CIQ">"c4730"</definedName>
    <definedName name="IQ_EPS_REPORTED_EST_REUT">"c5396"</definedName>
    <definedName name="IQ_EPS_REPORTED_EST_THOM">"c5140"</definedName>
    <definedName name="IQ_EPS_REPORTED_HIGH_EST">"c1746"</definedName>
    <definedName name="IQ_EPS_REPORTED_HIGH_EST_CIQ">"c4732"</definedName>
    <definedName name="IQ_EPS_REPORTED_HIGH_EST_REUT">"c5398"</definedName>
    <definedName name="IQ_EPS_REPORTED_HIGH_EST_THOM">"c5142"</definedName>
    <definedName name="IQ_EPS_REPORTED_LOW_EST">"c1747"</definedName>
    <definedName name="IQ_EPS_REPORTED_LOW_EST_CIQ">"c4733"</definedName>
    <definedName name="IQ_EPS_REPORTED_LOW_EST_REUT">"c5399"</definedName>
    <definedName name="IQ_EPS_REPORTED_LOW_EST_THOM">"c5143"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MEDIAN_EST_THOM">"c5141"</definedName>
    <definedName name="IQ_EPS_REPORTED_NUM_EST">"c1748"</definedName>
    <definedName name="IQ_EPS_REPORTED_NUM_EST_CIQ">"c4734"</definedName>
    <definedName name="IQ_EPS_REPORTED_NUM_EST_REUT">"c5400"</definedName>
    <definedName name="IQ_EPS_REPORTED_NUM_EST_THOM">"c5144"</definedName>
    <definedName name="IQ_EPS_REPORTED_STDDEV_EST">"c1749"</definedName>
    <definedName name="IQ_EPS_REPORTED_STDDEV_EST_CIQ">"c4735"</definedName>
    <definedName name="IQ_EPS_REPORTED_STDDEV_EST_REUT">"c5401"</definedName>
    <definedName name="IQ_EPS_REPORTED_STDDEV_EST_THOM">"c5145"</definedName>
    <definedName name="IQ_EPS_SBC_ACT_OR_EST">"c4376"</definedName>
    <definedName name="IQ_EPS_SBC_ACT_OR_EST_CIQ">"c4901"</definedName>
    <definedName name="IQ_EPS_SBC_EST">"c4375"</definedName>
    <definedName name="IQ_EPS_SBC_EST_CIQ">"c4900"</definedName>
    <definedName name="IQ_EPS_SBC_GUIDANCE">"c4377"</definedName>
    <definedName name="IQ_EPS_SBC_GUIDANCE_CIQ">"c4902"</definedName>
    <definedName name="IQ_EPS_SBC_GW_ACT_OR_EST">"c4380"</definedName>
    <definedName name="IQ_EPS_SBC_GW_ACT_OR_EST_CIQ">"c4905"</definedName>
    <definedName name="IQ_EPS_SBC_GW_EST">"c4379"</definedName>
    <definedName name="IQ_EPS_SBC_GW_EST_CIQ">"c4904"</definedName>
    <definedName name="IQ_EPS_SBC_GW_GUIDANCE">"c4381"</definedName>
    <definedName name="IQ_EPS_SBC_GW_GUIDANCE_CIQ">"c4906"</definedName>
    <definedName name="IQ_EPS_SBC_GW_HIGH_EST">"c4382"</definedName>
    <definedName name="IQ_EPS_SBC_GW_HIGH_EST_CIQ">"c4907"</definedName>
    <definedName name="IQ_EPS_SBC_GW_HIGH_GUIDANCE">"c4189"</definedName>
    <definedName name="IQ_EPS_SBC_GW_HIGH_GUIDANCE_CIQ">"c4601"</definedName>
    <definedName name="IQ_EPS_SBC_GW_LOW_EST">"c4383"</definedName>
    <definedName name="IQ_EPS_SBC_GW_LOW_EST_CIQ">"c4908"</definedName>
    <definedName name="IQ_EPS_SBC_GW_LOW_GUIDANCE">"c4229"</definedName>
    <definedName name="IQ_EPS_SBC_GW_LOW_GUIDANCE_CIQ">"c4641"</definedName>
    <definedName name="IQ_EPS_SBC_GW_MEDIAN_EST">"c4384"</definedName>
    <definedName name="IQ_EPS_SBC_GW_MEDIAN_EST_CIQ">"c4909"</definedName>
    <definedName name="IQ_EPS_SBC_GW_NUM_EST">"c4385"</definedName>
    <definedName name="IQ_EPS_SBC_GW_NUM_EST_CIQ">"c4910"</definedName>
    <definedName name="IQ_EPS_SBC_GW_STDDEV_EST">"c4386"</definedName>
    <definedName name="IQ_EPS_SBC_GW_STDDEV_EST_CIQ">"c4911"</definedName>
    <definedName name="IQ_EPS_SBC_HIGH_EST">"c4388"</definedName>
    <definedName name="IQ_EPS_SBC_HIGH_EST_CIQ">"c4913"</definedName>
    <definedName name="IQ_EPS_SBC_HIGH_GUIDANCE">"c4188"</definedName>
    <definedName name="IQ_EPS_SBC_HIGH_GUIDANCE_CIQ">"c4600"</definedName>
    <definedName name="IQ_EPS_SBC_LOW_EST">"c4389"</definedName>
    <definedName name="IQ_EPS_SBC_LOW_EST_CIQ">"c4914"</definedName>
    <definedName name="IQ_EPS_SBC_LOW_GUIDANCE">"c4228"</definedName>
    <definedName name="IQ_EPS_SBC_LOW_GUIDANCE_CIQ">"c4640"</definedName>
    <definedName name="IQ_EPS_SBC_MEDIAN_EST">"c4390"</definedName>
    <definedName name="IQ_EPS_SBC_MEDIAN_EST_CIQ">"c4915"</definedName>
    <definedName name="IQ_EPS_SBC_NUM_EST">"c4391"</definedName>
    <definedName name="IQ_EPS_SBC_NUM_EST_CIQ">"c4916"</definedName>
    <definedName name="IQ_EPS_SBC_STDDEV_EST">"c4392"</definedName>
    <definedName name="IQ_EPS_SBC_STDDEV_EST_CIQ">"c4917"</definedName>
    <definedName name="IQ_EPS_STDDEV_EST">"c403"</definedName>
    <definedName name="IQ_EPS_STDDEV_EST_CIQ">"c4993"</definedName>
    <definedName name="IQ_EPS_STDDEV_EST_REUT">"c5452"</definedName>
    <definedName name="IQ_EPS_STDDEV_EST_THOM">"c5289"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">"c5630"</definedName>
    <definedName name="IQ_EST_ACT_BV_CIQ">"c4743"</definedName>
    <definedName name="IQ_EST_ACT_BV_REUT">"c5409"</definedName>
    <definedName name="IQ_EST_ACT_BV_SHARE">"c3549"</definedName>
    <definedName name="IQ_EST_ACT_BV_SHARE_CIQ">"c3806"</definedName>
    <definedName name="IQ_EST_ACT_BV_SHARE_REUT">"c5445"</definedName>
    <definedName name="IQ_EST_ACT_BV_SHARE_THOM">"c4026"</definedName>
    <definedName name="IQ_EST_ACT_BV_THOM">"c5153"</definedName>
    <definedName name="IQ_EST_ACT_CAPEX">"c3546"</definedName>
    <definedName name="IQ_EST_ACT_CAPEX_CIQ">"c3813"</definedName>
    <definedName name="IQ_EST_ACT_CAPEX_REUT">"c3975"</definedName>
    <definedName name="IQ_EST_ACT_CAPEX_THOM">"c5508"</definedName>
    <definedName name="IQ_EST_ACT_CASH_EPS">"c5637"</definedName>
    <definedName name="IQ_EST_ACT_CASH_EPS_THOM">"c5645"</definedName>
    <definedName name="IQ_EST_ACT_CASH_FLOW">"c4394"</definedName>
    <definedName name="IQ_EST_ACT_CASH_FLOW_CIQ">"c4919"</definedName>
    <definedName name="IQ_EST_ACT_CASH_OPER">"c4395"</definedName>
    <definedName name="IQ_EST_ACT_CASH_OPER_CIQ">"c4920"</definedName>
    <definedName name="IQ_EST_ACT_CFPS">"c1673"</definedName>
    <definedName name="IQ_EST_ACT_CFPS_CIQ">"c3681"</definedName>
    <definedName name="IQ_EST_ACT_CFPS_REUT">"c3850"</definedName>
    <definedName name="IQ_EST_ACT_CFPS_THOM">"c4012"</definedName>
    <definedName name="IQ_EST_ACT_DISTRIBUTABLE_CASH">"c4396"</definedName>
    <definedName name="IQ_EST_ACT_DISTRIBUTABLE_CASH_CIQ">"c4921"</definedName>
    <definedName name="IQ_EST_ACT_DISTRIBUTABLE_CASH_SHARE">"c4397"</definedName>
    <definedName name="IQ_EST_ACT_DISTRIBUTABLE_CASH_SHARE_CIQ">"c4922"</definedName>
    <definedName name="IQ_EST_ACT_DPS">"c1680"</definedName>
    <definedName name="IQ_EST_ACT_DPS_CIQ">"c3688"</definedName>
    <definedName name="IQ_EST_ACT_DPS_REUT">"c3857"</definedName>
    <definedName name="IQ_EST_ACT_DPS_THOM">"c4019"</definedName>
    <definedName name="IQ_EST_ACT_EBIT">"c1687"</definedName>
    <definedName name="IQ_EST_ACT_EBIT_CIQ">"c4680"</definedName>
    <definedName name="IQ_EST_ACT_EBIT_GW">"c4398"</definedName>
    <definedName name="IQ_EST_ACT_EBIT_GW_CIQ">"c4923"</definedName>
    <definedName name="IQ_EST_ACT_EBIT_REUT">"c5339"</definedName>
    <definedName name="IQ_EST_ACT_EBIT_SBC">"c4399"</definedName>
    <definedName name="IQ_EST_ACT_EBIT_SBC_CIQ">"c4924"</definedName>
    <definedName name="IQ_EST_ACT_EBIT_SBC_GW">"c4400"</definedName>
    <definedName name="IQ_EST_ACT_EBIT_SBC_GW_CIQ">"c4925"</definedName>
    <definedName name="IQ_EST_ACT_EBIT_THOM">"c5111"</definedName>
    <definedName name="IQ_EST_ACT_EBITDA">"c1664"</definedName>
    <definedName name="IQ_EST_ACT_EBITDA_CIQ">"c3667"</definedName>
    <definedName name="IQ_EST_ACT_EBITDA_REUT">"c3836"</definedName>
    <definedName name="IQ_EST_ACT_EBITDA_SBC">"c4401"</definedName>
    <definedName name="IQ_EST_ACT_EBITDA_SBC_CIQ">"c4926"</definedName>
    <definedName name="IQ_EST_ACT_EBITDA_THOM">"c3998"</definedName>
    <definedName name="IQ_EST_ACT_EBT_SBC">"c4402"</definedName>
    <definedName name="IQ_EST_ACT_EBT_SBC_CIQ">"c4927"</definedName>
    <definedName name="IQ_EST_ACT_EBT_SBC_GW">"c4403"</definedName>
    <definedName name="IQ_EST_ACT_EBT_SBC_GW_CIQ">"c4928"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>"c5395"</definedName>
    <definedName name="IQ_EST_ACT_EPS_GW_THOM">"c5139"</definedName>
    <definedName name="IQ_EST_ACT_EPS_NORM">"c2232"</definedName>
    <definedName name="IQ_EST_ACT_EPS_NORM_CIQ">"c4673"</definedName>
    <definedName name="IQ_EST_ACT_EPS_NORM_REUT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>"c5402"</definedName>
    <definedName name="IQ_EST_ACT_EPS_REPORTED_THOM">"c5146"</definedName>
    <definedName name="IQ_EST_ACT_EPS_REUT">"c5457"</definedName>
    <definedName name="IQ_EST_ACT_EPS_SBC">"c4404"</definedName>
    <definedName name="IQ_EST_ACT_EPS_SBC_CIQ">"c4929"</definedName>
    <definedName name="IQ_EST_ACT_EPS_SBC_GW">"c4405"</definedName>
    <definedName name="IQ_EST_ACT_EPS_SBC_GW_CIQ">"c4930"</definedName>
    <definedName name="IQ_EST_ACT_EPS_THOM">"c5294"</definedName>
    <definedName name="IQ_EST_ACT_FFO">"c1666"</definedName>
    <definedName name="IQ_EST_ACT_FFO_ADJ">"c4406"</definedName>
    <definedName name="IQ_EST_ACT_FFO_ADJ_CIQ">"c4931"</definedName>
    <definedName name="IQ_EST_ACT_FFO_CIQ">"c3674"</definedName>
    <definedName name="IQ_EST_ACT_FFO_REUT">"c3843"</definedName>
    <definedName name="IQ_EST_ACT_FFO_SHARE">"c4407"</definedName>
    <definedName name="IQ_EST_ACT_FFO_SHARE_CIQ">"c4932"</definedName>
    <definedName name="IQ_EST_ACT_FFO_SHARE_SHARE_REUT">"c3843"</definedName>
    <definedName name="IQ_EST_ACT_FFO_THOM">"c4005"</definedName>
    <definedName name="IQ_EST_ACT_GROSS_MARGIN">"c5553"</definedName>
    <definedName name="IQ_EST_ACT_GROSS_MARGIN_THOM">"c5561"</definedName>
    <definedName name="IQ_EST_ACT_MAINT_CAPEX">"c4408"</definedName>
    <definedName name="IQ_EST_ACT_MAINT_CAPEX_CIQ">"c4933"</definedName>
    <definedName name="IQ_EST_ACT_NAV">"c1757"</definedName>
    <definedName name="IQ_EST_ACT_NAV_SHARE">"c5608"</definedName>
    <definedName name="IQ_EST_ACT_NAV_SHARE_REUT">"c5616"</definedName>
    <definedName name="IQ_EST_ACT_NAV_THOM">"c5600"</definedName>
    <definedName name="IQ_EST_ACT_NET_DEBT">"c3545"</definedName>
    <definedName name="IQ_EST_ACT_NET_DEBT_CIQ">"c3820"</definedName>
    <definedName name="IQ_EST_ACT_NET_DEBT_REUT">"c5446"</definedName>
    <definedName name="IQ_EST_ACT_NET_DEBT_THOM">"c4033"</definedName>
    <definedName name="IQ_EST_ACT_NI">"c1722"</definedName>
    <definedName name="IQ_EST_ACT_NI_CIQ">"c4708"</definedName>
    <definedName name="IQ_EST_ACT_NI_GW">"c1729"</definedName>
    <definedName name="IQ_EST_ACT_NI_GW_CIQ">"c4715"</definedName>
    <definedName name="IQ_EST_ACT_NI_GW_REUT">"c5381"</definedName>
    <definedName name="IQ_EST_ACT_NI_GW_THOM">"c5139"</definedName>
    <definedName name="IQ_EST_ACT_NI_REPORTED">"c1736"</definedName>
    <definedName name="IQ_EST_ACT_NI_REPORTED_CIQ">"c4722"</definedName>
    <definedName name="IQ_EST_ACT_NI_REPORTED_REUT">"c5388"</definedName>
    <definedName name="IQ_EST_ACT_NI_REUT">"c5374"</definedName>
    <definedName name="IQ_EST_ACT_NI_SBC">"c4409"</definedName>
    <definedName name="IQ_EST_ACT_NI_SBC_CIQ">"c4934"</definedName>
    <definedName name="IQ_EST_ACT_NI_SBC_GW">"c4410"</definedName>
    <definedName name="IQ_EST_ACT_NI_SBC_GW_CIQ">"c4935"</definedName>
    <definedName name="IQ_EST_ACT_NI_THOM">"c5132"</definedName>
    <definedName name="IQ_EST_ACT_OPER_INC">"c1694"</definedName>
    <definedName name="IQ_EST_ACT_OPER_INC_REUT">"c5346"</definedName>
    <definedName name="IQ_EST_ACT_OPER_INC_THOM">"c5118"</definedName>
    <definedName name="IQ_EST_ACT_PRETAX_GW_INC">"c1708"</definedName>
    <definedName name="IQ_EST_ACT_PRETAX_GW_INC_CIQ">"c4694"</definedName>
    <definedName name="IQ_EST_ACT_PRETAX_GW_INC_REUT">"c5360"</definedName>
    <definedName name="IQ_EST_ACT_PRETAX_INC">"c1701"</definedName>
    <definedName name="IQ_EST_ACT_PRETAX_INC_CIQ">"c4687"</definedName>
    <definedName name="IQ_EST_ACT_PRETAX_INC_REUT">"c5353"</definedName>
    <definedName name="IQ_EST_ACT_PRETAX_INC_THOM">"c5125"</definedName>
    <definedName name="IQ_EST_ACT_PRETAX_REPORT_INC">"c1715"</definedName>
    <definedName name="IQ_EST_ACT_PRETAX_REPORT_INC_CIQ">"c4701"</definedName>
    <definedName name="IQ_EST_ACT_PRETAX_REPORT_INC_REUT">"c5367"</definedName>
    <definedName name="IQ_EST_ACT_RECURRING_PROFIT">"c4411"</definedName>
    <definedName name="IQ_EST_ACT_RECURRING_PROFIT_CIQ">"c4936"</definedName>
    <definedName name="IQ_EST_ACT_RECURRING_PROFIT_SHARE">"c4412"</definedName>
    <definedName name="IQ_EST_ACT_RECURRING_PROFIT_SHARE_CIQ">"c4937"</definedName>
    <definedName name="IQ_EST_ACT_RETURN_ASSETS">"c3547"</definedName>
    <definedName name="IQ_EST_ACT_RETURN_ASSETS_REUT">"c3996"</definedName>
    <definedName name="IQ_EST_ACT_RETURN_ASSETS_THOM">"c4040"</definedName>
    <definedName name="IQ_EST_ACT_RETURN_EQUITY">"c3548"</definedName>
    <definedName name="IQ_EST_ACT_RETURN_EQUITY_REUT">"c3989"</definedName>
    <definedName name="IQ_EST_ACT_RETURN_EQUITY_THOM">"c5287"</definedName>
    <definedName name="IQ_EST_ACT_REV">"c2113"</definedName>
    <definedName name="IQ_EST_ACT_REV_CIQ">"c3666"</definedName>
    <definedName name="IQ_EST_ACT_REV_REUT">"c3835"</definedName>
    <definedName name="IQ_EST_ACT_REV_THOM">"c3997"</definedName>
    <definedName name="IQ_EST_BV_DIFF_CIQ">"c4765"</definedName>
    <definedName name="IQ_EST_BV_DIFF_REUT">"c5433"</definedName>
    <definedName name="IQ_EST_BV_DIFF_THOM">"c5204"</definedName>
    <definedName name="IQ_EST_BV_SHARE_DIFF">"c4147"</definedName>
    <definedName name="IQ_EST_BV_SHARE_DIFF_CIQ">"c4559"</definedName>
    <definedName name="IQ_EST_BV_SHARE_SURPRISE_PERCENT">"c4148"</definedName>
    <definedName name="IQ_EST_BV_SHARE_SURPRISE_PERCENT_CIQ">"c4560"</definedName>
    <definedName name="IQ_EST_BV_SURPRISE_PERCENT_CIQ">"c4766"</definedName>
    <definedName name="IQ_EST_BV_SURPRISE_PERCENT_REUT">"c5434"</definedName>
    <definedName name="IQ_EST_BV_SURPRISE_PERCENT_THOM">"c5205"</definedName>
    <definedName name="IQ_EST_CAPEX_DIFF">"c4149"</definedName>
    <definedName name="IQ_EST_CAPEX_DIFF_CIQ">"c4561"</definedName>
    <definedName name="IQ_EST_CAPEX_GROWTH_1YR">"c3588"</definedName>
    <definedName name="IQ_EST_CAPEX_GROWTH_1YR_CIQ">"c4972"</definedName>
    <definedName name="IQ_EST_CAPEX_GROWTH_1YR_REUT">"c5447"</definedName>
    <definedName name="IQ_EST_CAPEX_GROWTH_1YR_THOM">"c5542"</definedName>
    <definedName name="IQ_EST_CAPEX_GROWTH_2YR">"c3589"</definedName>
    <definedName name="IQ_EST_CAPEX_GROWTH_2YR_CIQ">"c4973"</definedName>
    <definedName name="IQ_EST_CAPEX_GROWTH_2YR_REUT">"c5448"</definedName>
    <definedName name="IQ_EST_CAPEX_GROWTH_2YR_THOM">"c5543"</definedName>
    <definedName name="IQ_EST_CAPEX_GROWTH_Q_1YR">"c3590"</definedName>
    <definedName name="IQ_EST_CAPEX_GROWTH_Q_1YR_CIQ">"c4974"</definedName>
    <definedName name="IQ_EST_CAPEX_GROWTH_Q_1YR_REUT">"c5449"</definedName>
    <definedName name="IQ_EST_CAPEX_GROWTH_Q_1YR_THOM">"c5544"</definedName>
    <definedName name="IQ_EST_CAPEX_SEQ_GROWTH_Q">"c3591"</definedName>
    <definedName name="IQ_EST_CAPEX_SEQ_GROWTH_Q_CIQ">"c4975"</definedName>
    <definedName name="IQ_EST_CAPEX_SEQ_GROWTH_Q_REUT">"c5450"</definedName>
    <definedName name="IQ_EST_CAPEX_SEQ_GROWTH_Q_THOM">"c5545"</definedName>
    <definedName name="IQ_EST_CAPEX_SURPRISE_PERCENT">"c4151"</definedName>
    <definedName name="IQ_EST_CAPEX_SURPRISE_PERCENT_CIQ">"c4563"</definedName>
    <definedName name="IQ_EST_CASH_FLOW_DIFF">"c4152"</definedName>
    <definedName name="IQ_EST_CASH_FLOW_DIFF_CIQ">"c4564"</definedName>
    <definedName name="IQ_EST_CASH_FLOW_SURPRISE_PERCENT">"c4161"</definedName>
    <definedName name="IQ_EST_CASH_FLOW_SURPRISE_PERCENT_CIQ">"c4573"</definedName>
    <definedName name="IQ_EST_CASH_OPER_DIFF">"c4162"</definedName>
    <definedName name="IQ_EST_CASH_OPER_DIFF_CIQ">"c4574"</definedName>
    <definedName name="IQ_EST_CASH_OPER_SURPRISE_PERCENT">"c4248"</definedName>
    <definedName name="IQ_EST_CASH_OPER_SURPRISE_PERCENT_CIQ">"c4774"</definedName>
    <definedName name="IQ_EST_CFPS_DIFF">"c1871"</definedName>
    <definedName name="IQ_EST_CFPS_DIFF_CIQ">"c3723"</definedName>
    <definedName name="IQ_EST_CFPS_DIFF_REUT">"c3892"</definedName>
    <definedName name="IQ_EST_CFPS_DIFF_THOM">"c5188"</definedName>
    <definedName name="IQ_EST_CFPS_GROWTH_1YR">"c1774"</definedName>
    <definedName name="IQ_EST_CFPS_GROWTH_1YR_CIQ">"c3709"</definedName>
    <definedName name="IQ_EST_CFPS_GROWTH_1YR_REUT">"c3878"</definedName>
    <definedName name="IQ_EST_CFPS_GROWTH_1YR_THOM">"c5174"</definedName>
    <definedName name="IQ_EST_CFPS_GROWTH_2YR">"c1775"</definedName>
    <definedName name="IQ_EST_CFPS_GROWTH_2YR_CIQ">"c3710"</definedName>
    <definedName name="IQ_EST_CFPS_GROWTH_2YR_REUT">"c3879"</definedName>
    <definedName name="IQ_EST_CFPS_GROWTH_2YR_THOM">"c5175"</definedName>
    <definedName name="IQ_EST_CFPS_GROWTH_Q_1YR">"c1776"</definedName>
    <definedName name="IQ_EST_CFPS_GROWTH_Q_1YR_CIQ">"c3711"</definedName>
    <definedName name="IQ_EST_CFPS_GROWTH_Q_1YR_REUT">"c3880"</definedName>
    <definedName name="IQ_EST_CFPS_GROWTH_Q_1YR_THOM">"c5176"</definedName>
    <definedName name="IQ_EST_CFPS_SEQ_GROWTH_Q">"c1777"</definedName>
    <definedName name="IQ_EST_CFPS_SEQ_GROWTH_Q_CIQ">"c3712"</definedName>
    <definedName name="IQ_EST_CFPS_SEQ_GROWTH_Q_REUT">"c3881"</definedName>
    <definedName name="IQ_EST_CFPS_SEQ_GROWTH_Q_THOM">"c5177"</definedName>
    <definedName name="IQ_EST_CFPS_SURPRISE_PERCENT">"c1872"</definedName>
    <definedName name="IQ_EST_CFPS_SURPRISE_PERCENT_CIQ">"c3724"</definedName>
    <definedName name="IQ_EST_CFPS_SURPRISE_PERCENT_REUT">"c3893"</definedName>
    <definedName name="IQ_EST_CFPS_SURPRISE_PERCENT_THOM">"c5189"</definedName>
    <definedName name="IQ_EST_CURRENCY">"c2140"</definedName>
    <definedName name="IQ_EST_CURRENCY_CIQ">"c4769"</definedName>
    <definedName name="IQ_EST_CURRENCY_REUT">"c5437"</definedName>
    <definedName name="IQ_EST_CURRENCY_THOM">"c5280"</definedName>
    <definedName name="IQ_EST_DATE">"c1634"</definedName>
    <definedName name="IQ_EST_DATE_CIQ">"c4770"</definedName>
    <definedName name="IQ_EST_DATE_REUT">"c5438"</definedName>
    <definedName name="IQ_EST_DATE_THOM">"c5281"</definedName>
    <definedName name="IQ_EST_DISTRIBUTABLE_CASH_DIFF">"c4276"</definedName>
    <definedName name="IQ_EST_DISTRIBUTABLE_CASH_DIFF_CIQ">"c4801"</definedName>
    <definedName name="IQ_EST_DISTRIBUTABLE_CASH_GROWTH_1YR">"c4413"</definedName>
    <definedName name="IQ_EST_DISTRIBUTABLE_CASH_GROWTH_1YR_CIQ">"c4938"</definedName>
    <definedName name="IQ_EST_DISTRIBUTABLE_CASH_GROWTH_2YR">"c4414"</definedName>
    <definedName name="IQ_EST_DISTRIBUTABLE_CASH_GROWTH_2YR_CIQ">"c4939"</definedName>
    <definedName name="IQ_EST_DISTRIBUTABLE_CASH_GROWTH_Q_1YR">"c4415"</definedName>
    <definedName name="IQ_EST_DISTRIBUTABLE_CASH_GROWTH_Q_1YR_CIQ">"c4940"</definedName>
    <definedName name="IQ_EST_DISTRIBUTABLE_CASH_SEQ_GROWTH_Q">"c4416"</definedName>
    <definedName name="IQ_EST_DISTRIBUTABLE_CASH_SEQ_GROWTH_Q_CIQ">"c4941"</definedName>
    <definedName name="IQ_EST_DISTRIBUTABLE_CASH_SHARE_DIFF">"c4284"</definedName>
    <definedName name="IQ_EST_DISTRIBUTABLE_CASH_SHARE_DIFF_CIQ">"c4809"</definedName>
    <definedName name="IQ_EST_DISTRIBUTABLE_CASH_SHARE_GROWTH_1YR">"c4417"</definedName>
    <definedName name="IQ_EST_DISTRIBUTABLE_CASH_SHARE_GROWTH_1YR_CIQ">"c4942"</definedName>
    <definedName name="IQ_EST_DISTRIBUTABLE_CASH_SHARE_GROWTH_2YR">"c4418"</definedName>
    <definedName name="IQ_EST_DISTRIBUTABLE_CASH_SHARE_GROWTH_2YR_CIQ">"c4943"</definedName>
    <definedName name="IQ_EST_DISTRIBUTABLE_CASH_SHARE_GROWTH_Q_1YR">"c4419"</definedName>
    <definedName name="IQ_EST_DISTRIBUTABLE_CASH_SHARE_GROWTH_Q_1YR_CIQ">"c4944"</definedName>
    <definedName name="IQ_EST_DISTRIBUTABLE_CASH_SHARE_SEQ_GROWTH_Q">"c4420"</definedName>
    <definedName name="IQ_EST_DISTRIBUTABLE_CASH_SHARE_SEQ_GROWTH_Q_CIQ">"c4945"</definedName>
    <definedName name="IQ_EST_DISTRIBUTABLE_CASH_SHARE_SURPRISE_PERCENT">"c4293"</definedName>
    <definedName name="IQ_EST_DISTRIBUTABLE_CASH_SHARE_SURPRISE_PERCENT_CIQ">"c4818"</definedName>
    <definedName name="IQ_EST_DISTRIBUTABLE_CASH_SURPRISE_PERCENT">"c4295"</definedName>
    <definedName name="IQ_EST_DISTRIBUTABLE_CASH_SURPRISE_PERCENT_CIQ">"c4820"</definedName>
    <definedName name="IQ_EST_DPS_DIFF">"c1873"</definedName>
    <definedName name="IQ_EST_DPS_DIFF_CIQ">"c3725"</definedName>
    <definedName name="IQ_EST_DPS_DIFF_REUT">"c3894"</definedName>
    <definedName name="IQ_EST_DPS_DIFF_THOM">"c5190"</definedName>
    <definedName name="IQ_EST_DPS_GROWTH_1YR">"c1778"</definedName>
    <definedName name="IQ_EST_DPS_GROWTH_1YR_CIQ">"c3713"</definedName>
    <definedName name="IQ_EST_DPS_GROWTH_1YR_REUT">"c3882"</definedName>
    <definedName name="IQ_EST_DPS_GROWTH_1YR_THOM">"c5178"</definedName>
    <definedName name="IQ_EST_DPS_GROWTH_2YR">"c1779"</definedName>
    <definedName name="IQ_EST_DPS_GROWTH_2YR_CIQ">"c3714"</definedName>
    <definedName name="IQ_EST_DPS_GROWTH_2YR_REUT">"c3883"</definedName>
    <definedName name="IQ_EST_DPS_GROWTH_2YR_THOM">"c5179"</definedName>
    <definedName name="IQ_EST_DPS_GROWTH_Q_1YR">"c1780"</definedName>
    <definedName name="IQ_EST_DPS_GROWTH_Q_1YR_CIQ">"c3715"</definedName>
    <definedName name="IQ_EST_DPS_GROWTH_Q_1YR_REUT">"c3884"</definedName>
    <definedName name="IQ_EST_DPS_GROWTH_Q_1YR_THOM">"c5180"</definedName>
    <definedName name="IQ_EST_DPS_SEQ_GROWTH_Q">"c1781"</definedName>
    <definedName name="IQ_EST_DPS_SEQ_GROWTH_Q_CIQ">"c3716"</definedName>
    <definedName name="IQ_EST_DPS_SEQ_GROWTH_Q_REUT">"c3885"</definedName>
    <definedName name="IQ_EST_DPS_SEQ_GROWTH_Q_THOM">"c5181"</definedName>
    <definedName name="IQ_EST_DPS_SURPRISE_PERCENT">"c1874"</definedName>
    <definedName name="IQ_EST_DPS_SURPRISE_PERCENT_CIQ">"c3726"</definedName>
    <definedName name="IQ_EST_DPS_SURPRISE_PERCENT_REUT">"c3895"</definedName>
    <definedName name="IQ_EST_DPS_SURPRISE_PERCENT_THOM">"c5191"</definedName>
    <definedName name="IQ_EST_EBIT_DIFF">"c1875"</definedName>
    <definedName name="IQ_EST_EBIT_DIFF_CIQ">"c4747"</definedName>
    <definedName name="IQ_EST_EBIT_DIFF_REUT">"c5413"</definedName>
    <definedName name="IQ_EST_EBIT_DIFF_THOM">"c5192"</definedName>
    <definedName name="IQ_EST_EBIT_GW_DIFF">"c4304"</definedName>
    <definedName name="IQ_EST_EBIT_GW_DIFF_CIQ">"c4829"</definedName>
    <definedName name="IQ_EST_EBIT_GW_SURPRISE_PERCENT">"c4313"</definedName>
    <definedName name="IQ_EST_EBIT_GW_SURPRISE_PERCENT_CIQ">"c4838"</definedName>
    <definedName name="IQ_EST_EBIT_SBC_DIFF">"c4314"</definedName>
    <definedName name="IQ_EST_EBIT_SBC_DIFF_CIQ">"c4839"</definedName>
    <definedName name="IQ_EST_EBIT_SBC_GW_DIFF">"c4318"</definedName>
    <definedName name="IQ_EST_EBIT_SBC_GW_DIFF_CIQ">"c4843"</definedName>
    <definedName name="IQ_EST_EBIT_SBC_GW_SURPRISE_PERCENT">"c4327"</definedName>
    <definedName name="IQ_EST_EBIT_SBC_GW_SURPRISE_PERCENT_CIQ">"c4852"</definedName>
    <definedName name="IQ_EST_EBIT_SBC_SURPRISE_PERCENT">"c4333"</definedName>
    <definedName name="IQ_EST_EBIT_SBC_SURPRISE_PERCENT_CIQ">"c4858"</definedName>
    <definedName name="IQ_EST_EBIT_SURPRISE_PERCENT">"c1876"</definedName>
    <definedName name="IQ_EST_EBIT_SURPRISE_PERCENT_CIQ">"c4748"</definedName>
    <definedName name="IQ_EST_EBIT_SURPRISE_PERCENT_REUT">"c5414"</definedName>
    <definedName name="IQ_EST_EBIT_SURPRISE_PERCENT_THOM">"c5193"</definedName>
    <definedName name="IQ_EST_EBITDA_DIFF">"c1867"</definedName>
    <definedName name="IQ_EST_EBITDA_DIFF_CIQ">"c3719"</definedName>
    <definedName name="IQ_EST_EBITDA_DIFF_REUT">"c3888"</definedName>
    <definedName name="IQ_EST_EBITDA_DIFF_THOM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>"c5163"</definedName>
    <definedName name="IQ_EST_EBITDA_SBC_DIFF">"c4335"</definedName>
    <definedName name="IQ_EST_EBITDA_SBC_DIFF_CIQ">"c4860"</definedName>
    <definedName name="IQ_EST_EBITDA_SBC_SURPRISE_PERCENT">"c4344"</definedName>
    <definedName name="IQ_EST_EBITDA_SBC_SURPRISE_PERCENT_CIQ">"c4869"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>"c5185"</definedName>
    <definedName name="IQ_EST_EBT_SBC_DIFF">"c4348"</definedName>
    <definedName name="IQ_EST_EBT_SBC_DIFF_CIQ">"c4873"</definedName>
    <definedName name="IQ_EST_EBT_SBC_GW_DIFF">"c4352"</definedName>
    <definedName name="IQ_EST_EBT_SBC_GW_DIFF_CIQ">"c4877"</definedName>
    <definedName name="IQ_EST_EBT_SBC_GW_SURPRISE_PERCENT">"c4361"</definedName>
    <definedName name="IQ_EST_EBT_SBC_GW_SURPRISE_PERCENT_CIQ">"c4886"</definedName>
    <definedName name="IQ_EST_EBT_SBC_SURPRISE_PERCENT">"c4367"</definedName>
    <definedName name="IQ_EST_EBT_SBC_SURPRISE_PERCENT_CIQ">"c4892"</definedName>
    <definedName name="IQ_EST_EPS_DIFF">"c1864"</definedName>
    <definedName name="IQ_EST_EPS_DIFF_CIQ">"c4999"</definedName>
    <definedName name="IQ_EST_EPS_DIFF_REUT">"c5458"</definedName>
    <definedName name="IQ_EST_EPS_DIFF_THOM">"c5295"</definedName>
    <definedName name="IQ_EST_EPS_GROWTH_1YR">"c1636"</definedName>
    <definedName name="IQ_EST_EPS_GROWTH_1YR_CIQ">"c3628"</definedName>
    <definedName name="IQ_EST_EPS_GROWTH_1YR_REUT">"c3646"</definedName>
    <definedName name="IQ_EST_EPS_GROWTH_1YR_THOM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>"c5154"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>"c5103"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>"c5104"</definedName>
    <definedName name="IQ_EST_EPS_GROWTH_5YR_THOM">"c3651"</definedName>
    <definedName name="IQ_EST_EPS_GROWTH_Q_1YR">"c1641"</definedName>
    <definedName name="IQ_EST_EPS_GROWTH_Q_1YR_CIQ">"c4744"</definedName>
    <definedName name="IQ_EST_EPS_GROWTH_Q_1YR_REUT">"c5410"</definedName>
    <definedName name="IQ_EST_EPS_GROWTH_Q_1YR_THOM">"c5155"</definedName>
    <definedName name="IQ_EST_EPS_GW_DIFF">"c1891"</definedName>
    <definedName name="IQ_EST_EPS_GW_DIFF_CIQ">"c4761"</definedName>
    <definedName name="IQ_EST_EPS_GW_DIFF_REUT">"c5429"</definedName>
    <definedName name="IQ_EST_EPS_GW_DIFF_THOM">"c5200"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GW_SURPRISE_PERCENT_THOM">"c5201"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DIFF_THOM">"c5202"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REPORT_SURPRISE_PERCENT_THOM">"c5203"</definedName>
    <definedName name="IQ_EST_EPS_SBC_DIFF">"c4374"</definedName>
    <definedName name="IQ_EST_EPS_SBC_DIFF_CIQ">"c4899"</definedName>
    <definedName name="IQ_EST_EPS_SBC_GW_DIFF">"c4378"</definedName>
    <definedName name="IQ_EST_EPS_SBC_GW_DIFF_CIQ">"c4903"</definedName>
    <definedName name="IQ_EST_EPS_SBC_GW_SURPRISE_PERCENT">"c4387"</definedName>
    <definedName name="IQ_EST_EPS_SBC_GW_SURPRISE_PERCENT_CIQ">"c4912"</definedName>
    <definedName name="IQ_EST_EPS_SBC_SURPRISE_PERCENT">"c4393"</definedName>
    <definedName name="IQ_EST_EPS_SBC_SURPRISE_PERCENT_CIQ">"c4918"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>"c5156"</definedName>
    <definedName name="IQ_EST_EPS_SURPRISE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>"c5296"</definedName>
    <definedName name="IQ_EST_FFO_ADJ_DIFF">"c4433"</definedName>
    <definedName name="IQ_EST_FFO_ADJ_DIFF_CIQ">"c4958"</definedName>
    <definedName name="IQ_EST_FFO_ADJ_GROWTH_1YR">"c4421"</definedName>
    <definedName name="IQ_EST_FFO_ADJ_GROWTH_1YR_CIQ">"c4946"</definedName>
    <definedName name="IQ_EST_FFO_ADJ_GROWTH_2YR">"c4422"</definedName>
    <definedName name="IQ_EST_FFO_ADJ_GROWTH_2YR_CIQ">"c4947"</definedName>
    <definedName name="IQ_EST_FFO_ADJ_GROWTH_Q_1YR">"c4423"</definedName>
    <definedName name="IQ_EST_FFO_ADJ_GROWTH_Q_1YR_CIQ">"c4948"</definedName>
    <definedName name="IQ_EST_FFO_ADJ_SEQ_GROWTH_Q">"c4424"</definedName>
    <definedName name="IQ_EST_FFO_ADJ_SEQ_GROWTH_Q_CIQ">"c4949"</definedName>
    <definedName name="IQ_EST_FFO_ADJ_SURPRISE_PERCENT">"c4442"</definedName>
    <definedName name="IQ_EST_FFO_ADJ_SURPRISE_PERCENT_CIQ">"c4967"</definedName>
    <definedName name="IQ_EST_FFO_DIFF">"c1869"</definedName>
    <definedName name="IQ_EST_FFO_DIFF_CIQ">"c3721"</definedName>
    <definedName name="IQ_EST_FFO_DIFF_REUT">"c3890"</definedName>
    <definedName name="IQ_EST_FFO_DIFF_THOM">"c5186"</definedName>
    <definedName name="IQ_EST_FFO_GROWTH_1YR">"c1770"</definedName>
    <definedName name="IQ_EST_FFO_GROWTH_1YR_CIQ">"c3705"</definedName>
    <definedName name="IQ_EST_FFO_GROWTH_1YR_REUT">"c3874"</definedName>
    <definedName name="IQ_EST_FFO_GROWTH_1YR_THOM">"c5170"</definedName>
    <definedName name="IQ_EST_FFO_GROWTH_2YR">"c1771"</definedName>
    <definedName name="IQ_EST_FFO_GROWTH_2YR_CIQ">"c3706"</definedName>
    <definedName name="IQ_EST_FFO_GROWTH_2YR_REUT">"c3875"</definedName>
    <definedName name="IQ_EST_FFO_GROWTH_2YR_THOM">"c5171"</definedName>
    <definedName name="IQ_EST_FFO_GROWTH_Q_1YR">"c1772"</definedName>
    <definedName name="IQ_EST_FFO_GROWTH_Q_1YR_CIQ">"c3707"</definedName>
    <definedName name="IQ_EST_FFO_GROWTH_Q_1YR_REUT">"c3876"</definedName>
    <definedName name="IQ_EST_FFO_GROWTH_Q_1YR_THOM">"c5172"</definedName>
    <definedName name="IQ_EST_FFO_SEQ_GROWTH_Q">"c1773"</definedName>
    <definedName name="IQ_EST_FFO_SEQ_GROWTH_Q_CIQ">"c3708"</definedName>
    <definedName name="IQ_EST_FFO_SEQ_GROWTH_Q_REUT">"c3877"</definedName>
    <definedName name="IQ_EST_FFO_SEQ_GROWTH_Q_THOM">"c5173"</definedName>
    <definedName name="IQ_EST_FFO_SHARE_DIFF">"c4444"</definedName>
    <definedName name="IQ_EST_FFO_SHARE_DIFF_CIQ">"c4969"</definedName>
    <definedName name="IQ_EST_FFO_SHARE_GROWTH_1YR">"c4425"</definedName>
    <definedName name="IQ_EST_FFO_SHARE_GROWTH_1YR_CIQ">"c4950"</definedName>
    <definedName name="IQ_EST_FFO_SHARE_GROWTH_2YR">"c4426"</definedName>
    <definedName name="IQ_EST_FFO_SHARE_GROWTH_2YR_CIQ">"c4951"</definedName>
    <definedName name="IQ_EST_FFO_SHARE_GROWTH_Q_1YR">"c4427"</definedName>
    <definedName name="IQ_EST_FFO_SHARE_GROWTH_Q_1YR_CIQ">"c4952"</definedName>
    <definedName name="IQ_EST_FFO_SHARE_SEQ_GROWTH_Q">"c4428"</definedName>
    <definedName name="IQ_EST_FFO_SHARE_SEQ_GROWTH_Q_CIQ">"c4953"</definedName>
    <definedName name="IQ_EST_FFO_SHARE_SHARE_DIFF_REUT">"c3890"</definedName>
    <definedName name="IQ_EST_FFO_SHARE_SHARE_SURPRISE_PERCENT_REUT">"c3891"</definedName>
    <definedName name="IQ_EST_FFO_SHARE_SURPRISE_PERCENT">"c4453"</definedName>
    <definedName name="IQ_EST_FFO_SHARE_SURPRISE_PERCENT_CIQ">"c4982"</definedName>
    <definedName name="IQ_EST_FFO_SURPRISE_PERCENT">"c1870"</definedName>
    <definedName name="IQ_EST_FFO_SURPRISE_PERCENT_CIQ">"c3722"</definedName>
    <definedName name="IQ_EST_FFO_SURPRISE_PERCENT_REUT">"c3891"</definedName>
    <definedName name="IQ_EST_FFO_SURPRISE_PERCENT_THOM">"c5187"</definedName>
    <definedName name="IQ_EST_FOOTNOTE">"c4540"</definedName>
    <definedName name="IQ_EST_FOOTNOTE_REUT">"c5478"</definedName>
    <definedName name="IQ_EST_FOOTNOTE_THOM">"c5313"</definedName>
    <definedName name="IQ_EST_MAINT_CAPEX_DIFF">"c4456"</definedName>
    <definedName name="IQ_EST_MAINT_CAPEX_DIFF_CIQ">"c4985"</definedName>
    <definedName name="IQ_EST_MAINT_CAPEX_GROWTH_1YR">"c4429"</definedName>
    <definedName name="IQ_EST_MAINT_CAPEX_GROWTH_1YR_CIQ">"c4954"</definedName>
    <definedName name="IQ_EST_MAINT_CAPEX_GROWTH_2YR">"c4430"</definedName>
    <definedName name="IQ_EST_MAINT_CAPEX_GROWTH_2YR_CIQ">"c4955"</definedName>
    <definedName name="IQ_EST_MAINT_CAPEX_GROWTH_Q_1YR">"c4431"</definedName>
    <definedName name="IQ_EST_MAINT_CAPEX_GROWTH_Q_1YR_CIQ">"c4956"</definedName>
    <definedName name="IQ_EST_MAINT_CAPEX_SEQ_GROWTH_Q">"c4432"</definedName>
    <definedName name="IQ_EST_MAINT_CAPEX_SEQ_GROWTH_Q_CIQ">"c4957"</definedName>
    <definedName name="IQ_EST_MAINT_CAPEX_SURPRISE_PERCENT">"c4465"</definedName>
    <definedName name="IQ_EST_MAINT_CAPEX_SURPRISE_PERCENT_CIQ">"c5003"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DIFF_CIQ">"c5004"</definedName>
    <definedName name="IQ_EST_NET_DEBT_SURPRISE_PERCENT">"c4468"</definedName>
    <definedName name="IQ_EST_NET_DEBT_SURPRISE_PERCENT_CIQ">"c5006"</definedName>
    <definedName name="IQ_EST_NI_DIFF">"c1885"</definedName>
    <definedName name="IQ_EST_NI_DIFF_CIQ">"c4755"</definedName>
    <definedName name="IQ_EST_NI_DIFF_REUT">"c5423"</definedName>
    <definedName name="IQ_EST_NI_DIFF_THOM">"c5198"</definedName>
    <definedName name="IQ_EST_NI_GW_DIFF">"c1887"</definedName>
    <definedName name="IQ_EST_NI_GW_DIFF_CIQ">"c4757"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CIQ">"c4758"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CIQ">"c4759"</definedName>
    <definedName name="IQ_EST_NI_REPORT_DIFF_REUT">"c5427"</definedName>
    <definedName name="IQ_EST_NI_REPORT_SURPRISE_PERCENT">"c1890"</definedName>
    <definedName name="IQ_EST_NI_REPORT_SURPRISE_PERCENT_CIQ">"c4760"</definedName>
    <definedName name="IQ_EST_NI_REPORT_SURPRISE_PERCENT_REUT">"c5428"</definedName>
    <definedName name="IQ_EST_NI_SBC_DIFF">"c4472"</definedName>
    <definedName name="IQ_EST_NI_SBC_DIFF_CIQ">"c5010"</definedName>
    <definedName name="IQ_EST_NI_SBC_GW_DIFF">"c4476"</definedName>
    <definedName name="IQ_EST_NI_SBC_GW_DIFF_CIQ">"c5014"</definedName>
    <definedName name="IQ_EST_NI_SBC_GW_SURPRISE_PERCENT">"c4485"</definedName>
    <definedName name="IQ_EST_NI_SBC_GW_SURPRISE_PERCENT_CIQ">"c5023"</definedName>
    <definedName name="IQ_EST_NI_SBC_SURPRISE_PERCENT">"c4491"</definedName>
    <definedName name="IQ_EST_NI_SBC_SURPRISE_PERCENT_CIQ">"c5029"</definedName>
    <definedName name="IQ_EST_NI_SURPRISE_PERCENT">"c1886"</definedName>
    <definedName name="IQ_EST_NI_SURPRISE_PERCENT_CIQ">"c4756"</definedName>
    <definedName name="IQ_EST_NI_SURPRISE_PERCENT_REUT">"c5424"</definedName>
    <definedName name="IQ_EST_NI_SURPRISE_PERCENT_THOM">"c5199"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IGH_REC">"c5649"</definedName>
    <definedName name="IQ_EST_NUM_HIGH_REC_CIQ">"c3701"</definedName>
    <definedName name="IQ_EST_NUM_HIGH_REC_REUT">"c3870"</definedName>
    <definedName name="IQ_EST_NUM_HIGH_REC_THOM">"c5166"</definedName>
    <definedName name="IQ_EST_NUM_HIGHEST_REC">"c5648"</definedName>
    <definedName name="IQ_EST_NUM_HIGHEST_REC_CIQ">"c3700"</definedName>
    <definedName name="IQ_EST_NUM_HIGHEST_REC_REUT">"c3869"</definedName>
    <definedName name="IQ_EST_NUM_HIGHEST_REC_THOM">"c5165"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LOW_REC">"c5651"</definedName>
    <definedName name="IQ_EST_NUM_LOW_REC_CIQ">"c3703"</definedName>
    <definedName name="IQ_EST_NUM_LOW_REC_REUT">"c3872"</definedName>
    <definedName name="IQ_EST_NUM_LOW_REC_THOM">"c5168"</definedName>
    <definedName name="IQ_EST_NUM_LOWEST_REC">"c5652"</definedName>
    <definedName name="IQ_EST_NUM_LOWEST_REC_CIQ">"c3704"</definedName>
    <definedName name="IQ_EST_NUM_LOWEST_REC_REUT">"c3873"</definedName>
    <definedName name="IQ_EST_NUM_LOWEST_REC_THOM">"c5169"</definedName>
    <definedName name="IQ_EST_NUM_NEUTRAL_REC">"c5650"</definedName>
    <definedName name="IQ_EST_NUM_NEUTRAL_REC_CIQ">"c3702"</definedName>
    <definedName name="IQ_EST_NUM_NEUTRAL_REC_REUT">"c3871"</definedName>
    <definedName name="IQ_EST_NUM_NEUTRAL_REC_THOM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DIFF_THOM">"c5194"</definedName>
    <definedName name="IQ_EST_OPER_INC_SURPRISE_PERCENT">"c1878"</definedName>
    <definedName name="IQ_EST_OPER_INC_SURPRISE_PERCENT_REUT">"c5416"</definedName>
    <definedName name="IQ_EST_OPER_INC_SURPRISE_PERCENT_THOM">"c5195"</definedName>
    <definedName name="IQ_EST_PRE_TAX_DIFF">"c1879"</definedName>
    <definedName name="IQ_EST_PRE_TAX_DIFF_CIQ">"c4749"</definedName>
    <definedName name="IQ_EST_PRE_TAX_DIFF_REUT">"c5417"</definedName>
    <definedName name="IQ_EST_PRE_TAX_DIFF_THOM">"c5196"</definedName>
    <definedName name="IQ_EST_PRE_TAX_GW_DIFF">"c1881"</definedName>
    <definedName name="IQ_EST_PRE_TAX_GW_DIFF_CIQ">"c4751"</definedName>
    <definedName name="IQ_EST_PRE_TAX_GW_DIFF_REUT">"c5419"</definedName>
    <definedName name="IQ_EST_PRE_TAX_GW_SURPRISE_PERCENT">"c1882"</definedName>
    <definedName name="IQ_EST_PRE_TAX_GW_SURPRISE_PERCENT_CIQ">"c4752"</definedName>
    <definedName name="IQ_EST_PRE_TAX_GW_SURPRISE_PERCENT_REUT">"c5420"</definedName>
    <definedName name="IQ_EST_PRE_TAX_REPORT_DIFF">"c1883"</definedName>
    <definedName name="IQ_EST_PRE_TAX_REPORT_DIFF_CIQ">"c4753"</definedName>
    <definedName name="IQ_EST_PRE_TAX_REPORT_DIFF_REUT">"c5421"</definedName>
    <definedName name="IQ_EST_PRE_TAX_REPORT_SURPRISE_PERCENT">"c1884"</definedName>
    <definedName name="IQ_EST_PRE_TAX_REPORT_SURPRISE_PERCENT_CIQ">"c4754"</definedName>
    <definedName name="IQ_EST_PRE_TAX_REPORT_SURPRISE_PERCENT_REUT">"c5422"</definedName>
    <definedName name="IQ_EST_PRE_TAX_SURPRISE_PERCENT">"c1880"</definedName>
    <definedName name="IQ_EST_PRE_TAX_SURPRISE_PERCENT_CIQ">"c4750"</definedName>
    <definedName name="IQ_EST_PRE_TAX_SURPRISE_PERCENT_REUT">"c5418"</definedName>
    <definedName name="IQ_EST_PRE_TAX_SURPRISE_PERCENT_THOM">"c5197"</definedName>
    <definedName name="IQ_EST_RECURRING_PROFIT_SHARE_DIFF">"c4505"</definedName>
    <definedName name="IQ_EST_RECURRING_PROFIT_SHARE_DIFF_CIQ">"c5043"</definedName>
    <definedName name="IQ_EST_RECURRING_PROFIT_SHARE_SURPRISE_PERCENT">"c4515"</definedName>
    <definedName name="IQ_EST_RECURRING_PROFIT_SHARE_SURPRISE_PERCENT_CIQ">"c5053"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>"c5183"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"IQ_EV_OVER_REVENUE_EST"</definedName>
    <definedName name="IQ_EV_OVER_REVENUE_EST_1">"IQ_EV_OVER_REVENUE_EST_1"</definedName>
    <definedName name="IQ_EVAL_DATE">"c2180"</definedName>
    <definedName name="IQ_EXCHANGE">"c405"</definedName>
    <definedName name="IQ_EXCHANGE_CODE_RT">"EXCHANGE"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>5099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_UNUSED_UNUSED">"c8401"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">"c11931"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">"c11932"</definedName>
    <definedName name="IQ_EXPORTS_GOODS_REAL_SAAR_YOY_FC_UNUSED_UNUSED_UNUSED">"c8292"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_UNUSED_UNUSED">"c7961"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">"c11935"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">"c11936"</definedName>
    <definedName name="IQ_EXPORTS_SERVICES_REAL_SAAR_YOY_FC_UNUSED_UNUSED_UNUSED">"c8296"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_UNUSED_UNUSED">"c8181"</definedName>
    <definedName name="IQ_EXPORTS_YOY_UNUSED_UNUSED_UNUSED">"c7301"</definedName>
    <definedName name="IQ_EXTRA_ACC_ATEMS_BR">"c412"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">"c4434"</definedName>
    <definedName name="IQ_FFO_ADJ_EST_CIQ">"c4959"</definedName>
    <definedName name="IQ_FFO_ADJ_GUIDANCE">"c4436"</definedName>
    <definedName name="IQ_FFO_ADJ_GUIDANCE_CIQ">"c4961"</definedName>
    <definedName name="IQ_FFO_ADJ_HIGH_EST">"c4437"</definedName>
    <definedName name="IQ_FFO_ADJ_HIGH_EST_CIQ">"c4962"</definedName>
    <definedName name="IQ_FFO_ADJ_HIGH_GUIDANCE">"c4202"</definedName>
    <definedName name="IQ_FFO_ADJ_HIGH_GUIDANCE_CIQ">"c4614"</definedName>
    <definedName name="IQ_FFO_ADJ_LOW_EST">"c4438"</definedName>
    <definedName name="IQ_FFO_ADJ_LOW_EST_CIQ">"c4963"</definedName>
    <definedName name="IQ_FFO_ADJ_LOW_GUIDANCE">"c4242"</definedName>
    <definedName name="IQ_FFO_ADJ_LOW_GUIDANCE_CIQ">"c4654"</definedName>
    <definedName name="IQ_FFO_ADJ_MEDIAN_EST">"c4439"</definedName>
    <definedName name="IQ_FFO_ADJ_MEDIAN_EST_CIQ">"c4964"</definedName>
    <definedName name="IQ_FFO_ADJ_NUM_EST">"c4440"</definedName>
    <definedName name="IQ_FFO_ADJ_NUM_EST_CIQ">"c4965"</definedName>
    <definedName name="IQ_FFO_ADJ_STDDEV_EST">"c4441"</definedName>
    <definedName name="IQ_FFO_ADJ_STDDEV_EST_CIQ">"c4966"</definedName>
    <definedName name="IQ_FFO_EST">"c418"</definedName>
    <definedName name="IQ_FFO_EST_CIQ">"c3668"</definedName>
    <definedName name="IQ_FFO_EST_DET_EST">"c12059"</definedName>
    <definedName name="IQ_FFO_EST_DET_EST_CIQ">"c12121"</definedName>
    <definedName name="IQ_FFO_EST_DET_EST_CURRENCY">"c12466"</definedName>
    <definedName name="IQ_FFO_EST_DET_EST_CURRENCY_CIQ">"c12512"</definedName>
    <definedName name="IQ_FFO_EST_DET_EST_DATE">"c12212"</definedName>
    <definedName name="IQ_FFO_EST_DET_EST_DATE_CIQ">"c12267"</definedName>
    <definedName name="IQ_FFO_EST_DET_EST_INCL">"c12349"</definedName>
    <definedName name="IQ_FFO_EST_DET_EST_INCL_CIQ">"c12395"</definedName>
    <definedName name="IQ_FFO_EST_DET_EST_ORIGIN">"c12722"</definedName>
    <definedName name="IQ_FFO_EST_DET_EST_ORIGIN_CIQ">"c12720"</definedName>
    <definedName name="IQ_FFO_EST_REUT">"c3837"</definedName>
    <definedName name="IQ_FFO_EST_THOM">"c3999"</definedName>
    <definedName name="IQ_FFO_GUIDANCE">"c4443"</definedName>
    <definedName name="IQ_FFO_GUIDANCE_CIQ">"c4968"</definedName>
    <definedName name="IQ_FFO_HIGH_EST">"c419"</definedName>
    <definedName name="IQ_FFO_HIGH_EST_CIQ">"c3670"</definedName>
    <definedName name="IQ_FFO_HIGH_EST_REUT">"c3839"</definedName>
    <definedName name="IQ_FFO_HIGH_EST_THOM">"c4001"</definedName>
    <definedName name="IQ_FFO_HIGH_GUIDANCE">"c4184"</definedName>
    <definedName name="IQ_FFO_HIGH_GUIDANCE_CIQ">"c4596"</definedName>
    <definedName name="IQ_FFO_LOW_EST">"c420"</definedName>
    <definedName name="IQ_FFO_LOW_EST_CIQ">"c3671"</definedName>
    <definedName name="IQ_FFO_LOW_EST_REUT">"c3840"</definedName>
    <definedName name="IQ_FFO_LOW_EST_THOM">"c4002"</definedName>
    <definedName name="IQ_FFO_LOW_GUIDANCE">"c4224"</definedName>
    <definedName name="IQ_FFO_LOW_GUIDANCE_CIQ">"c4636"</definedName>
    <definedName name="IQ_FFO_MEDIAN_EST">"c1665"</definedName>
    <definedName name="IQ_FFO_MEDIAN_EST_CIQ">"c3669"</definedName>
    <definedName name="IQ_FFO_MEDIAN_EST_REUT">"c3838"</definedName>
    <definedName name="IQ_FFO_MEDIAN_EST_THOM">"c4000"</definedName>
    <definedName name="IQ_FFO_NO_EST">"c276"</definedName>
    <definedName name="IQ_FFO_NUM_EST">"c421"</definedName>
    <definedName name="IQ_FFO_NUM_EST_CIQ">"c3672"</definedName>
    <definedName name="IQ_FFO_NUM_EST_REUT">"c3841"</definedName>
    <definedName name="IQ_FFO_NUM_EST_THOM">"c4003"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EST">"c4445"</definedName>
    <definedName name="IQ_FFO_SHARE_EST_CIQ">"c4970"</definedName>
    <definedName name="IQ_FFO_SHARE_GUIDANCE">"c4447"</definedName>
    <definedName name="IQ_FFO_SHARE_GUIDANCE_CIQ">"c4976"</definedName>
    <definedName name="IQ_FFO_SHARE_HIGH_EST">"c4448"</definedName>
    <definedName name="IQ_FFO_SHARE_HIGH_EST_CIQ">"c4977"</definedName>
    <definedName name="IQ_FFO_SHARE_HIGH_GUIDANCE">"c4203"</definedName>
    <definedName name="IQ_FFO_SHARE_HIGH_GUIDANCE_CIQ">"c4615"</definedName>
    <definedName name="IQ_FFO_SHARE_LOW_EST">"c4449"</definedName>
    <definedName name="IQ_FFO_SHARE_LOW_EST_CIQ">"c4978"</definedName>
    <definedName name="IQ_FFO_SHARE_LOW_GUIDANCE">"c4243"</definedName>
    <definedName name="IQ_FFO_SHARE_LOW_GUIDANCE_CIQ">"c4655"</definedName>
    <definedName name="IQ_FFO_SHARE_MEDIAN_EST">"c4450"</definedName>
    <definedName name="IQ_FFO_SHARE_MEDIAN_EST_CIQ">"c4979"</definedName>
    <definedName name="IQ_FFO_SHARE_NUM_EST">"c4451"</definedName>
    <definedName name="IQ_FFO_SHARE_NUM_EST_CIQ">"c4980"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HARE_STDDEV_EST">"c4452"</definedName>
    <definedName name="IQ_FFO_SHARE_STDDEV_EST_CIQ">"c4981"</definedName>
    <definedName name="IQ_FFO_STDDEV_EST">"c422"</definedName>
    <definedName name="IQ_FFO_STDDEV_EST_CIQ">"c3673"</definedName>
    <definedName name="IQ_FFO_STDDEV_EST_REUT">"c3842"</definedName>
    <definedName name="IQ_FFO_STDDEV_EST_THOM">"c4004"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I_12M_RETURN">"c25807"</definedName>
    <definedName name="IQ_FII_3M_RETURN">"c25808"</definedName>
    <definedName name="IQ_FII_6M_RETURN">"c25809"</definedName>
    <definedName name="IQ_FII_AVGBIDSPREAD">"c25820"</definedName>
    <definedName name="IQ_FII_CONVEX">"c25799"</definedName>
    <definedName name="IQ_FII_COUPON">"c25800"</definedName>
    <definedName name="IQ_FII_DAILY_RETURN">"c25810"</definedName>
    <definedName name="IQ_FII_DURTW">"c25802"</definedName>
    <definedName name="IQ_FII_EXCESS_RETURN">"c25819"</definedName>
    <definedName name="IQ_FII_INDEXPRICE">"c25806"</definedName>
    <definedName name="IQ_FII_MATURITY">"c25804"</definedName>
    <definedName name="IQ_FII_MODDUR">"c25801"</definedName>
    <definedName name="IQ_FII_MTD_RETURN_COUPON">"c25813"</definedName>
    <definedName name="IQ_FII_MTD_RETURN_CURRENCY">"c25814"</definedName>
    <definedName name="IQ_FII_MTD_RETURN_PAYDOWN">"c25815"</definedName>
    <definedName name="IQ_FII_MTD_RETURN_PRICE">"c25816"</definedName>
    <definedName name="IQ_FII_MTD_RETURN_TOTAL">"c25812"</definedName>
    <definedName name="IQ_FII_MV">"c25803"</definedName>
    <definedName name="IQ_FII_NUMISSUE">"c25805"</definedName>
    <definedName name="IQ_FII_OAS">"c25798"</definedName>
    <definedName name="IQ_FII_RETURN_INCEPTION">"c25811"</definedName>
    <definedName name="IQ_FII_YTD_RETURN">"c25817"</definedName>
    <definedName name="IQ_FII_YTW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"c11753"</definedName>
    <definedName name="IQ_FINANCING_OBLIG_NON_CURRENT">"c11754"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>"c6798"</definedName>
    <definedName name="IQ_FISCAL_Y">"c441"</definedName>
    <definedName name="IQ_FISCAL_Y_EST">"c6795"</definedName>
    <definedName name="IQ_FISCAL_Y_EST_CIQ">"c6807"</definedName>
    <definedName name="IQ_FISCAL_Y_EST_REUT">"c6799"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_UNUSED_UNUSED">"c8298"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CP_CDS_MDS_DATE">"c27273"</definedName>
    <definedName name="IQ_GCP_CDS_MDS_SCORE">"c27272"</definedName>
    <definedName name="IQ_GCP_CDS_MDS_Z_SCORE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GW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ACT_OR_EST_THOM">"c5562"</definedName>
    <definedName name="IQ_GROSS_MARGIN_EST">"c5547"</definedName>
    <definedName name="IQ_GROSS_MARGIN_EST_THOM">"c5555"</definedName>
    <definedName name="IQ_GROSS_MARGIN_HIGH_EST">"c5549"</definedName>
    <definedName name="IQ_GROSS_MARGIN_HIGH_EST_THOM">"c5557"</definedName>
    <definedName name="IQ_GROSS_MARGIN_LOW_EST">"c5550"</definedName>
    <definedName name="IQ_GROSS_MARGIN_LOW_EST_THOM">"c5558"</definedName>
    <definedName name="IQ_GROSS_MARGIN_MEDIAN_EST">"c5548"</definedName>
    <definedName name="IQ_GROSS_MARGIN_MEDIAN_EST_THOM">"c5556"</definedName>
    <definedName name="IQ_GROSS_MARGIN_NUM_EST">"c5551"</definedName>
    <definedName name="IQ_GROSS_MARGIN_NUM_EST_THOM">"c5559"</definedName>
    <definedName name="IQ_GROSS_MARGIN_STDDEV_EST">"c5552"</definedName>
    <definedName name="IQ_GROSS_MARGIN_STDDEV_EST_THOM">"c5560"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">"c531"</definedName>
    <definedName name="IQ_GW_AMORT_BR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DATE_RT">"HIGHDATE"</definedName>
    <definedName name="IQ_HIGH_PRICE_RT">"HIGH"</definedName>
    <definedName name="IQ_HIGH_TARGET_PRICE">"c1651"</definedName>
    <definedName name="IQ_HIGH_TARGET_PRICE_CIQ">"c4659"</definedName>
    <definedName name="IQ_HIGH_TARGET_PRICE_REUT">"c5317"</definedName>
    <definedName name="IQ_HIGH_TARGET_PRICE_THOM">"c5096"</definedName>
    <definedName name="IQ_HIGH_TIME_RT">"HIGHTIME"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_UNUSED_UNUSED">"c8209"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>"c19252"</definedName>
    <definedName name="IQ_INDEXCONSTITUENT_CLOSEPRICE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"c1407"</definedName>
    <definedName name="IQ_INTEL_EPS_EST">"c24729"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LT_DEBT">"c2086"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"50"</definedName>
    <definedName name="IQ_LATESTQ">500</definedName>
    <definedName name="IQ_LATESTQFR">"100"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ISTING_CURRENCY">"c2127"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DATE_RT">"LOWDATE"</definedName>
    <definedName name="IQ_LOW_PRICE_RT">"LOW"</definedName>
    <definedName name="IQ_LOW_TARGET_PRICE">"c1652"</definedName>
    <definedName name="IQ_LOW_TARGET_PRICE_CIQ">"c4660"</definedName>
    <definedName name="IQ_LOW_TARGET_PRICE_REUT">"c5318"</definedName>
    <definedName name="IQ_LOW_TARGET_PRICE_THOM">"c5097"</definedName>
    <definedName name="IQ_LOW_TIME_RT">"LOWTIME"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>"c20808"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EST_CIQ">"c4986"</definedName>
    <definedName name="IQ_MAINT_CAPEX_GUIDANCE">"c4459"</definedName>
    <definedName name="IQ_MAINT_CAPEX_GUIDANCE_CIQ">"c4988"</definedName>
    <definedName name="IQ_MAINT_CAPEX_HIGH_EST">"c4460"</definedName>
    <definedName name="IQ_MAINT_CAPEX_HIGH_EST_CIQ">"c4989"</definedName>
    <definedName name="IQ_MAINT_CAPEX_HIGH_GUIDANCE">"c4197"</definedName>
    <definedName name="IQ_MAINT_CAPEX_HIGH_GUIDANCE_CIQ">"c4609"</definedName>
    <definedName name="IQ_MAINT_CAPEX_LOW_EST">"c4461"</definedName>
    <definedName name="IQ_MAINT_CAPEX_LOW_EST_CIQ">"c4990"</definedName>
    <definedName name="IQ_MAINT_CAPEX_LOW_GUIDANCE">"c4237"</definedName>
    <definedName name="IQ_MAINT_CAPEX_LOW_GUIDANCE_CIQ">"c4649"</definedName>
    <definedName name="IQ_MAINT_CAPEX_MEDIAN_EST">"c4462"</definedName>
    <definedName name="IQ_MAINT_CAPEX_MEDIAN_EST_CIQ">"c4991"</definedName>
    <definedName name="IQ_MAINT_CAPEX_NUM_EST">"c4463"</definedName>
    <definedName name="IQ_MAINT_CAPEX_NUM_EST_CIQ">"c5001"</definedName>
    <definedName name="IQ_MAINT_CAPEX_STDDEV_EST">"c4464"</definedName>
    <definedName name="IQ_MAINT_CAPEX_STDDEV_EST_CIQ">"c5002"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GA_MARGIN">"c9930"</definedName>
    <definedName name="IQ_MC_GA_OPERATING_REV">"c9929"</definedName>
    <definedName name="IQ_MC_MEDICAL_COSTS_PMPM">"c9925"</definedName>
    <definedName name="IQ_MC_MEDICAL_EXPENSE_RATIO">"c9927"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DIAN_TARGET_PRICE_THOM">"c5095"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KTCAP_TOTAL_REV_FWD_THOM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ODYS_ACTION_LT">"c5660"</definedName>
    <definedName name="IQ_MOODYS_ACTION_ST">"c5663"</definedName>
    <definedName name="IQ_MOODYS_BANK_FIN_STRENGTH_ACTION_LT">"c5669"</definedName>
    <definedName name="IQ_MOODYS_BANK_FIN_STRENGTH_DATE_LT">"c5668"</definedName>
    <definedName name="IQ_MOODYS_BANK_FIN_STRENGTH_LT">"c5670"</definedName>
    <definedName name="IQ_MOODYS_CORP_FAMILY_ACTION_LT">"c5666"</definedName>
    <definedName name="IQ_MOODYS_CORP_FAMILY_DATE_LT">"c5665"</definedName>
    <definedName name="IQ_MOODYS_CORP_FAMILY_LT">"c5667"</definedName>
    <definedName name="IQ_MOODYS_DATE_LT">"c5659"</definedName>
    <definedName name="IQ_MOODYS_DATE_ST">"c5662"</definedName>
    <definedName name="IQ_MOODYS_INS_FIN_STRENGTH_ACTION_LT">"c5672"</definedName>
    <definedName name="IQ_MOODYS_INS_FIN_STRENGTH_ACTION_ST">"c5675"</definedName>
    <definedName name="IQ_MOODYS_INS_FIN_STRENGTH_DATE_LT">"c5671"</definedName>
    <definedName name="IQ_MOODYS_INS_FIN_STRENGTH_DATE_ST">"c5674"</definedName>
    <definedName name="IQ_MOODYS_INS_FIN_STRENGTH_LT">"c5673"</definedName>
    <definedName name="IQ_MOODYS_INS_FIN_STRENGTH_ST">"c5676"</definedName>
    <definedName name="IQ_MOODYS_ISSUE_ACTION_LT">"c5683"</definedName>
    <definedName name="IQ_MOODYS_ISSUE_DATE_LT">"c5682"</definedName>
    <definedName name="IQ_MOODYS_ISSUE_LT">"c5684"</definedName>
    <definedName name="IQ_MOODYS_ISSUE_WATCHLIST_DATE">"c5685"</definedName>
    <definedName name="IQ_MOODYS_ISSUE_WATCHLIST_INDICATOR">"c5687"</definedName>
    <definedName name="IQ_MOODYS_ISSUE_WATCHLIST_REASON">"c5686"</definedName>
    <definedName name="IQ_MOODYS_LT">"c5661"</definedName>
    <definedName name="IQ_MOODYS_OUTLOOK">"c5678"</definedName>
    <definedName name="IQ_MOODYS_OUTLOOK_DATE">"c5677"</definedName>
    <definedName name="IQ_MOODYS_ST">"c5664"</definedName>
    <definedName name="IQ_MOODYS_WATCHLIST_DATE">"c5679"</definedName>
    <definedName name="IQ_MOODYS_WATCHLIST_INDICATOR">"c5681"</definedName>
    <definedName name="IQ_MOODYS_WATCHLIST_REASON">"c5680"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ERSION_DATE_QUARTERLY">40969.0452314815</definedName>
    <definedName name="IQ_NAMES_REVISION_DATE_">45155.1202199074</definedName>
    <definedName name="IQ_NAMES_REVISION_DATE__1">41085.4903819444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ACT_OR_EST_THOM">"c5607"</definedName>
    <definedName name="IQ_NAV_EST">"c1751"</definedName>
    <definedName name="IQ_NAV_EST_THOM">"c5601"</definedName>
    <definedName name="IQ_NAV_HIGH_EST">"c1753"</definedName>
    <definedName name="IQ_NAV_HIGH_EST_THOM">"c5604"</definedName>
    <definedName name="IQ_NAV_LOW_EST">"c1754"</definedName>
    <definedName name="IQ_NAV_LOW_EST_THOM">"c5605"</definedName>
    <definedName name="IQ_NAV_MEDIAN_EST">"c1752"</definedName>
    <definedName name="IQ_NAV_MEDIAN_EST_THOM">"c5602"</definedName>
    <definedName name="IQ_NAV_NUM_EST">"c1755"</definedName>
    <definedName name="IQ_NAV_NUM_EST_THOM">"c5606"</definedName>
    <definedName name="IQ_NAV_SHARE_ACT_OR_EST">"c2225"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AV_STDDEV_EST_THOM">"c5603"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CIQ">"c5070"</definedName>
    <definedName name="IQ_NET_DEBT_ACT_OR_EST_REUT">"c5473"</definedName>
    <definedName name="IQ_NET_DEBT_ACT_OR_EST_THOM">"c5309"</definedName>
    <definedName name="IQ_NET_DEBT_EBITDA">"c750"</definedName>
    <definedName name="IQ_NET_DEBT_EBITDA_CAPEX">"c2949"</definedName>
    <definedName name="IQ_NET_DEBT_EST">"c3517"</definedName>
    <definedName name="IQ_NET_DEBT_EST_CIQ">"c3814"</definedName>
    <definedName name="IQ_NET_DEBT_EST_REUT">"c3976"</definedName>
    <definedName name="IQ_NET_DEBT_EST_THOM">"c4027"</definedName>
    <definedName name="IQ_NET_DEBT_GUIDANCE">"c4467"</definedName>
    <definedName name="IQ_NET_DEBT_GUIDANCE_CIQ">"c5005"</definedName>
    <definedName name="IQ_NET_DEBT_HIGH_EST">"c3518"</definedName>
    <definedName name="IQ_NET_DEBT_HIGH_EST_CIQ">"c3816"</definedName>
    <definedName name="IQ_NET_DEBT_HIGH_EST_REUT">"c3978"</definedName>
    <definedName name="IQ_NET_DEBT_HIGH_EST_THOM">"c4029"</definedName>
    <definedName name="IQ_NET_DEBT_HIGH_GUIDANCE">"c4181"</definedName>
    <definedName name="IQ_NET_DEBT_HIGH_GUIDANCE_CIQ">"c4593"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CIQ">"c3817"</definedName>
    <definedName name="IQ_NET_DEBT_LOW_EST_REUT">"c3979"</definedName>
    <definedName name="IQ_NET_DEBT_LOW_EST_THOM">"c4030"</definedName>
    <definedName name="IQ_NET_DEBT_LOW_GUIDANCE">"c4221"</definedName>
    <definedName name="IQ_NET_DEBT_LOW_GUIDANCE_CIQ">"c4633"</definedName>
    <definedName name="IQ_NET_DEBT_MEDIAN_EST">"c3520"</definedName>
    <definedName name="IQ_NET_DEBT_MEDIAN_EST_CIQ">"c3815"</definedName>
    <definedName name="IQ_NET_DEBT_MEDIAN_EST_REUT">"c3977"</definedName>
    <definedName name="IQ_NET_DEBT_MEDIAN_EST_THOM">"c4028"</definedName>
    <definedName name="IQ_NET_DEBT_NUM_EST">"c3515"</definedName>
    <definedName name="IQ_NET_DEBT_NUM_EST_CIQ">"c3818"</definedName>
    <definedName name="IQ_NET_DEBT_NUM_EST_REUT">"c3980"</definedName>
    <definedName name="IQ_NET_DEBT_NUM_EST_THOM">"c4031"</definedName>
    <definedName name="IQ_NET_DEBT_STDDEV_EST">"c3516"</definedName>
    <definedName name="IQ_NET_DEBT_STDDEV_EST_CIQ">"c3819"</definedName>
    <definedName name="IQ_NET_DEBT_STDDEV_EST_REUT">"c3981"</definedName>
    <definedName name="IQ_NET_DEBT_STDDEV_EST_THOM">"c4032"</definedName>
    <definedName name="IQ_NET_EARNED">"c2734"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"IQ_NET_INC_GROWTH_1"</definedName>
    <definedName name="IQ_NET_INC_GROWTH_2">"IQ_NET_INC_GROWTH_2"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CIQ">"c5065"</definedName>
    <definedName name="IQ_NI_ACT_OR_EST_REUT">"c5468"</definedName>
    <definedName name="IQ_NI_ACT_OR_EST_THOM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CIQ">"c4702"</definedName>
    <definedName name="IQ_NI_EST_REUT">"c5368"</definedName>
    <definedName name="IQ_NI_EST_THOM">"c5126"</definedName>
    <definedName name="IQ_NI_GAAP_GUIDANCE">"c4470"</definedName>
    <definedName name="IQ_NI_GAAP_GUIDANCE_CIQ">"c5008"</definedName>
    <definedName name="IQ_NI_GAAP_HIGH_GUIDANCE">"c4177"</definedName>
    <definedName name="IQ_NI_GAAP_HIGH_GUIDANCE_CIQ">"c4589"</definedName>
    <definedName name="IQ_NI_GAAP_LOW_GUIDANCE">"c4217"</definedName>
    <definedName name="IQ_NI_GAAP_LOW_GUIDANCE_CIQ">"c4629"</definedName>
    <definedName name="IQ_NI_GUIDANCE">"c4469"</definedName>
    <definedName name="IQ_NI_GUIDANCE_CIQ">"c5007"</definedName>
    <definedName name="IQ_NI_GW_EST">"c1723"</definedName>
    <definedName name="IQ_NI_GW_EST_CIQ">"c4709"</definedName>
    <definedName name="IQ_NI_GW_EST_REUT">"c5375"</definedName>
    <definedName name="IQ_NI_GW_EST_THOM">"c5133"</definedName>
    <definedName name="IQ_NI_GW_GUIDANCE">"c4471"</definedName>
    <definedName name="IQ_NI_GW_GUIDANCE_CIQ">"c5009"</definedName>
    <definedName name="IQ_NI_GW_HIGH_EST">"c1725"</definedName>
    <definedName name="IQ_NI_GW_HIGH_EST_CIQ">"c4711"</definedName>
    <definedName name="IQ_NI_GW_HIGH_EST_REUT">"c5377"</definedName>
    <definedName name="IQ_NI_GW_HIGH_EST_THOM">"c5135"</definedName>
    <definedName name="IQ_NI_GW_HIGH_GUIDANCE">"c4178"</definedName>
    <definedName name="IQ_NI_GW_HIGH_GUIDANCE_CIQ">"c4590"</definedName>
    <definedName name="IQ_NI_GW_LOW_EST">"c1726"</definedName>
    <definedName name="IQ_NI_GW_LOW_EST_CIQ">"c4712"</definedName>
    <definedName name="IQ_NI_GW_LOW_EST_REUT">"c5378"</definedName>
    <definedName name="IQ_NI_GW_LOW_EST_THOM">"c5136"</definedName>
    <definedName name="IQ_NI_GW_LOW_GUIDANCE">"c4218"</definedName>
    <definedName name="IQ_NI_GW_LOW_GUIDANCE_CIQ">"c4630"</definedName>
    <definedName name="IQ_NI_GW_MEDIAN_EST">"c1724"</definedName>
    <definedName name="IQ_NI_GW_MEDIAN_EST_CIQ">"c4710"</definedName>
    <definedName name="IQ_NI_GW_MEDIAN_EST_REUT">"c5376"</definedName>
    <definedName name="IQ_NI_GW_MEDIAN_EST_THOM">"c5134"</definedName>
    <definedName name="IQ_NI_GW_NUM_EST">"c1727"</definedName>
    <definedName name="IQ_NI_GW_NUM_EST_CIQ">"c4713"</definedName>
    <definedName name="IQ_NI_GW_NUM_EST_REUT">"c5379"</definedName>
    <definedName name="IQ_NI_GW_NUM_EST_THOM">"c5137"</definedName>
    <definedName name="IQ_NI_GW_STDDEV_EST">"c1728"</definedName>
    <definedName name="IQ_NI_GW_STDDEV_EST_CIQ">"c4714"</definedName>
    <definedName name="IQ_NI_GW_STDDEV_EST_REUT">"c5380"</definedName>
    <definedName name="IQ_NI_GW_STDDEV_EST_THOM">"c5138"</definedName>
    <definedName name="IQ_NI_HIGH_EST">"c1718"</definedName>
    <definedName name="IQ_NI_HIGH_EST_CIQ">"c4704"</definedName>
    <definedName name="IQ_NI_HIGH_EST_REUT">"c5370"</definedName>
    <definedName name="IQ_NI_HIGH_EST_THOM">"c5128"</definedName>
    <definedName name="IQ_NI_HIGH_GUIDANCE">"c4176"</definedName>
    <definedName name="IQ_NI_HIGH_GUIDANCE_CIQ">"c4588"</definedName>
    <definedName name="IQ_NI_LOW_EST">"c1719"</definedName>
    <definedName name="IQ_NI_LOW_EST_CIQ">"c4705"</definedName>
    <definedName name="IQ_NI_LOW_EST_REUT">"c5371"</definedName>
    <definedName name="IQ_NI_LOW_EST_THOM">"c5129"</definedName>
    <definedName name="IQ_NI_LOW_GUIDANCE">"c4216"</definedName>
    <definedName name="IQ_NI_LOW_GUIDANCE_CIQ">"c4628"</definedName>
    <definedName name="IQ_NI_MARGIN">"c794"</definedName>
    <definedName name="IQ_NI_MEDIAN_EST">"c1717"</definedName>
    <definedName name="IQ_NI_MEDIAN_EST_CIQ">"c4703"</definedName>
    <definedName name="IQ_NI_MEDIAN_EST_REUT">"c5369"</definedName>
    <definedName name="IQ_NI_MEDIAN_EST_THOM">"c5127"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CIQ">"c4706"</definedName>
    <definedName name="IQ_NI_NUM_EST_REUT">"c5372"</definedName>
    <definedName name="IQ_NI_NUM_EST_THOM">"c5130"</definedName>
    <definedName name="IQ_NI_REPORTED_EST">"c1730"</definedName>
    <definedName name="IQ_NI_REPORTED_EST_CIQ">"c4716"</definedName>
    <definedName name="IQ_NI_REPORTED_EST_REUT">"c5382"</definedName>
    <definedName name="IQ_NI_REPORTED_HIGH_EST">"c1732"</definedName>
    <definedName name="IQ_NI_REPORTED_HIGH_EST_CIQ">"c4718"</definedName>
    <definedName name="IQ_NI_REPORTED_HIGH_EST_REUT">"c5384"</definedName>
    <definedName name="IQ_NI_REPORTED_LOW_EST">"c1733"</definedName>
    <definedName name="IQ_NI_REPORTED_LOW_EST_CIQ">"c4719"</definedName>
    <definedName name="IQ_NI_REPORTED_LOW_EST_REUT">"c5385"</definedName>
    <definedName name="IQ_NI_REPORTED_MEDIAN_EST">"c1731"</definedName>
    <definedName name="IQ_NI_REPORTED_MEDIAN_EST_CIQ">"c4717"</definedName>
    <definedName name="IQ_NI_REPORTED_MEDIAN_EST_REUT">"c5383"</definedName>
    <definedName name="IQ_NI_REPORTED_NUM_EST">"c1734"</definedName>
    <definedName name="IQ_NI_REPORTED_NUM_EST_CIQ">"c4720"</definedName>
    <definedName name="IQ_NI_REPORTED_NUM_EST_REUT">"c5386"</definedName>
    <definedName name="IQ_NI_REPORTED_STDDEV_EST">"c1735"</definedName>
    <definedName name="IQ_NI_REPORTED_STDDEV_EST_CIQ">"c4721"</definedName>
    <definedName name="IQ_NI_REPORTED_STDDEV_EST_REUT">"c5387"</definedName>
    <definedName name="IQ_NI_SBC_ACT_OR_EST">"c4474"</definedName>
    <definedName name="IQ_NI_SBC_ACT_OR_EST_CIQ">"c5012"</definedName>
    <definedName name="IQ_NI_SBC_EST">"c4473"</definedName>
    <definedName name="IQ_NI_SBC_EST_CIQ">"c5011"</definedName>
    <definedName name="IQ_NI_SBC_GUIDANCE">"c4475"</definedName>
    <definedName name="IQ_NI_SBC_GUIDANCE_CIQ">"c5013"</definedName>
    <definedName name="IQ_NI_SBC_GW_ACT_OR_EST">"c4478"</definedName>
    <definedName name="IQ_NI_SBC_GW_ACT_OR_EST_CIQ">"c5016"</definedName>
    <definedName name="IQ_NI_SBC_GW_EST">"c4477"</definedName>
    <definedName name="IQ_NI_SBC_GW_EST_CIQ">"c5015"</definedName>
    <definedName name="IQ_NI_SBC_GW_GUIDANCE">"c4479"</definedName>
    <definedName name="IQ_NI_SBC_GW_GUIDANCE_CIQ">"c5017"</definedName>
    <definedName name="IQ_NI_SBC_GW_HIGH_EST">"c4480"</definedName>
    <definedName name="IQ_NI_SBC_GW_HIGH_EST_CIQ">"c5018"</definedName>
    <definedName name="IQ_NI_SBC_GW_HIGH_GUIDANCE">"c4187"</definedName>
    <definedName name="IQ_NI_SBC_GW_HIGH_GUIDANCE_CIQ">"c4599"</definedName>
    <definedName name="IQ_NI_SBC_GW_LOW_EST">"c4481"</definedName>
    <definedName name="IQ_NI_SBC_GW_LOW_EST_CIQ">"c5019"</definedName>
    <definedName name="IQ_NI_SBC_GW_LOW_GUIDANCE">"c4227"</definedName>
    <definedName name="IQ_NI_SBC_GW_LOW_GUIDANCE_CIQ">"c4639"</definedName>
    <definedName name="IQ_NI_SBC_GW_MEDIAN_EST">"c4482"</definedName>
    <definedName name="IQ_NI_SBC_GW_MEDIAN_EST_CIQ">"c5020"</definedName>
    <definedName name="IQ_NI_SBC_GW_NUM_EST">"c4483"</definedName>
    <definedName name="IQ_NI_SBC_GW_NUM_EST_CIQ">"c5021"</definedName>
    <definedName name="IQ_NI_SBC_GW_STDDEV_EST">"c4484"</definedName>
    <definedName name="IQ_NI_SBC_GW_STDDEV_EST_CIQ">"c5022"</definedName>
    <definedName name="IQ_NI_SBC_HIGH_EST">"c4486"</definedName>
    <definedName name="IQ_NI_SBC_HIGH_EST_CIQ">"c5024"</definedName>
    <definedName name="IQ_NI_SBC_HIGH_GUIDANCE">"c4186"</definedName>
    <definedName name="IQ_NI_SBC_HIGH_GUIDANCE_CIQ">"c4598"</definedName>
    <definedName name="IQ_NI_SBC_LOW_EST">"c4487"</definedName>
    <definedName name="IQ_NI_SBC_LOW_EST_CIQ">"c5025"</definedName>
    <definedName name="IQ_NI_SBC_LOW_GUIDANCE">"c4226"</definedName>
    <definedName name="IQ_NI_SBC_LOW_GUIDANCE_CIQ">"c4638"</definedName>
    <definedName name="IQ_NI_SBC_MEDIAN_EST">"c4488"</definedName>
    <definedName name="IQ_NI_SBC_MEDIAN_EST_CIQ">"c5026"</definedName>
    <definedName name="IQ_NI_SBC_NUM_EST">"c4489"</definedName>
    <definedName name="IQ_NI_SBC_NUM_EST_CIQ">"c5027"</definedName>
    <definedName name="IQ_NI_SBC_STDDEV_EST">"c4490"</definedName>
    <definedName name="IQ_NI_SBC_STDDEV_EST_CIQ">"c5028"</definedName>
    <definedName name="IQ_NI_SFAS">"c795"</definedName>
    <definedName name="IQ_NI_STDDEV_EST">"c1721"</definedName>
    <definedName name="IQ_NI_STDDEV_EST_CIQ">"c4707"</definedName>
    <definedName name="IQ_NI_STDDEV_EST_REUT">"c5373"</definedName>
    <definedName name="IQ_NI_STDDEV_EST_THOM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"c11750"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_UNUSED_UNUSED">"c8248"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_DATE_RT">"FIRSTDATETIME"</definedName>
    <definedName name="IQ_OPEN_PRICE_RT">"FIRST"</definedName>
    <definedName name="IQ_OPEN_TIME_RT">"FIRSTDATETIME1"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ACT_OR_EST_THOM">"c5304"</definedName>
    <definedName name="IQ_OPER_INC_BR">"c850"</definedName>
    <definedName name="IQ_OPER_INC_EST">"c1688"</definedName>
    <definedName name="IQ_OPER_INC_EST_REUT">"c5340"</definedName>
    <definedName name="IQ_OPER_INC_EST_THOM">"c5112"</definedName>
    <definedName name="IQ_OPER_INC_FIN">"c851"</definedName>
    <definedName name="IQ_OPER_INC_HIGH_EST">"c1690"</definedName>
    <definedName name="IQ_OPER_INC_HIGH_EST_REUT">"c5342"</definedName>
    <definedName name="IQ_OPER_INC_HIGH_EST_THOM">"c5114"</definedName>
    <definedName name="IQ_OPER_INC_INS">"c852"</definedName>
    <definedName name="IQ_OPER_INC_LOW_EST">"c1691"</definedName>
    <definedName name="IQ_OPER_INC_LOW_EST_REUT">"c5343"</definedName>
    <definedName name="IQ_OPER_INC_LOW_EST_THOM">"c5115"</definedName>
    <definedName name="IQ_OPER_INC_MARGIN">"c1448"</definedName>
    <definedName name="IQ_OPER_INC_MEDIAN_EST">"c1689"</definedName>
    <definedName name="IQ_OPER_INC_MEDIAN_EST_REUT">"c5341"</definedName>
    <definedName name="IQ_OPER_INC_MEDIAN_EST_THOM">"c5113"</definedName>
    <definedName name="IQ_OPER_INC_NUM_EST">"c1692"</definedName>
    <definedName name="IQ_OPER_INC_NUM_EST_REUT">"c5344"</definedName>
    <definedName name="IQ_OPER_INC_NUM_EST_THOM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>"c5117"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INING_REVENUE_COAL">"c15931"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EXCL_FWD_THOM">"c4056"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G_FWD_THOM">"c4059"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>"c5277"</definedName>
    <definedName name="IQ_PERCENT_CHANGE_EST_CFPS_12MONTHS">"c1812"</definedName>
    <definedName name="IQ_PERCENT_CHANGE_EST_CFPS_12MONTHS_CIQ">"c3755"</definedName>
    <definedName name="IQ_PERCENT_CHANGE_EST_CFPS_12MONTHS_REUT">"c3924"</definedName>
    <definedName name="IQ_PERCENT_CHANGE_EST_CFPS_12MONTHS_THOM">"c5234"</definedName>
    <definedName name="IQ_PERCENT_CHANGE_EST_CFPS_18MONTHS">"c1813"</definedName>
    <definedName name="IQ_PERCENT_CHANGE_EST_CFPS_18MONTHS_CIQ">"c3756"</definedName>
    <definedName name="IQ_PERCENT_CHANGE_EST_CFPS_18MONTHS_REUT">"c3925"</definedName>
    <definedName name="IQ_PERCENT_CHANGE_EST_CFPS_18MONTHS_THOM">"c5235"</definedName>
    <definedName name="IQ_PERCENT_CHANGE_EST_CFPS_3MONTHS">"c1809"</definedName>
    <definedName name="IQ_PERCENT_CHANGE_EST_CFPS_3MONTHS_CIQ">"c3752"</definedName>
    <definedName name="IQ_PERCENT_CHANGE_EST_CFPS_3MONTHS_REUT">"c3921"</definedName>
    <definedName name="IQ_PERCENT_CHANGE_EST_CFPS_3MONTHS_THOM">"c5231"</definedName>
    <definedName name="IQ_PERCENT_CHANGE_EST_CFPS_6MONTHS">"c1810"</definedName>
    <definedName name="IQ_PERCENT_CHANGE_EST_CFPS_6MONTHS_CIQ">"c3753"</definedName>
    <definedName name="IQ_PERCENT_CHANGE_EST_CFPS_6MONTHS_REUT">"c3922"</definedName>
    <definedName name="IQ_PERCENT_CHANGE_EST_CFPS_6MONTHS_THOM">"c5232"</definedName>
    <definedName name="IQ_PERCENT_CHANGE_EST_CFPS_9MONTHS">"c1811"</definedName>
    <definedName name="IQ_PERCENT_CHANGE_EST_CFPS_9MONTHS_CIQ">"c3754"</definedName>
    <definedName name="IQ_PERCENT_CHANGE_EST_CFPS_9MONTHS_REUT">"c3923"</definedName>
    <definedName name="IQ_PERCENT_CHANGE_EST_CFPS_9MONTHS_THOM">"c5233"</definedName>
    <definedName name="IQ_PERCENT_CHANGE_EST_CFPS_DAY">"c1806"</definedName>
    <definedName name="IQ_PERCENT_CHANGE_EST_CFPS_DAY_CIQ">"c3750"</definedName>
    <definedName name="IQ_PERCENT_CHANGE_EST_CFPS_DAY_REUT">"c3919"</definedName>
    <definedName name="IQ_PERCENT_CHANGE_EST_CFPS_DAY_THOM">"c5229"</definedName>
    <definedName name="IQ_PERCENT_CHANGE_EST_CFPS_MONTH">"c1808"</definedName>
    <definedName name="IQ_PERCENT_CHANGE_EST_CFPS_MONTH_CIQ">"c3751"</definedName>
    <definedName name="IQ_PERCENT_CHANGE_EST_CFPS_MONTH_REUT">"c3920"</definedName>
    <definedName name="IQ_PERCENT_CHANGE_EST_CFPS_MONTH_THOM">"c5230"</definedName>
    <definedName name="IQ_PERCENT_CHANGE_EST_CFPS_WEEK">"c1807"</definedName>
    <definedName name="IQ_PERCENT_CHANGE_EST_CFPS_WEEK_CIQ">"c3793"</definedName>
    <definedName name="IQ_PERCENT_CHANGE_EST_CFPS_WEEK_REUT">"c3962"</definedName>
    <definedName name="IQ_PERCENT_CHANGE_EST_CFPS_WEEK_THOM">"c5272"</definedName>
    <definedName name="IQ_PERCENT_CHANGE_EST_DPS_12MONTHS">"c1820"</definedName>
    <definedName name="IQ_PERCENT_CHANGE_EST_DPS_12MONTHS_CIQ">"c3762"</definedName>
    <definedName name="IQ_PERCENT_CHANGE_EST_DPS_12MONTHS_REUT">"c3931"</definedName>
    <definedName name="IQ_PERCENT_CHANGE_EST_DPS_12MONTHS_THOM">"c5241"</definedName>
    <definedName name="IQ_PERCENT_CHANGE_EST_DPS_18MONTHS">"c1821"</definedName>
    <definedName name="IQ_PERCENT_CHANGE_EST_DPS_18MONTHS_CIQ">"c3763"</definedName>
    <definedName name="IQ_PERCENT_CHANGE_EST_DPS_18MONTHS_REUT">"c3932"</definedName>
    <definedName name="IQ_PERCENT_CHANGE_EST_DPS_18MONTHS_THOM">"c5242"</definedName>
    <definedName name="IQ_PERCENT_CHANGE_EST_DPS_3MONTHS">"c1817"</definedName>
    <definedName name="IQ_PERCENT_CHANGE_EST_DPS_3MONTHS_CIQ">"c3759"</definedName>
    <definedName name="IQ_PERCENT_CHANGE_EST_DPS_3MONTHS_REUT">"c3928"</definedName>
    <definedName name="IQ_PERCENT_CHANGE_EST_DPS_3MONTHS_THOM">"c5238"</definedName>
    <definedName name="IQ_PERCENT_CHANGE_EST_DPS_6MONTHS">"c1818"</definedName>
    <definedName name="IQ_PERCENT_CHANGE_EST_DPS_6MONTHS_CIQ">"c3760"</definedName>
    <definedName name="IQ_PERCENT_CHANGE_EST_DPS_6MONTHS_REUT">"c3929"</definedName>
    <definedName name="IQ_PERCENT_CHANGE_EST_DPS_6MONTHS_THOM">"c5239"</definedName>
    <definedName name="IQ_PERCENT_CHANGE_EST_DPS_9MONTHS">"c1819"</definedName>
    <definedName name="IQ_PERCENT_CHANGE_EST_DPS_9MONTHS_CIQ">"c3761"</definedName>
    <definedName name="IQ_PERCENT_CHANGE_EST_DPS_9MONTHS_REUT">"c3930"</definedName>
    <definedName name="IQ_PERCENT_CHANGE_EST_DPS_9MONTHS_THOM">"c5240"</definedName>
    <definedName name="IQ_PERCENT_CHANGE_EST_DPS_DAY">"c1814"</definedName>
    <definedName name="IQ_PERCENT_CHANGE_EST_DPS_DAY_CIQ">"c3757"</definedName>
    <definedName name="IQ_PERCENT_CHANGE_EST_DPS_DAY_REUT">"c3926"</definedName>
    <definedName name="IQ_PERCENT_CHANGE_EST_DPS_DAY_THOM">"c5236"</definedName>
    <definedName name="IQ_PERCENT_CHANGE_EST_DPS_MONTH">"c1816"</definedName>
    <definedName name="IQ_PERCENT_CHANGE_EST_DPS_MONTH_CIQ">"c3758"</definedName>
    <definedName name="IQ_PERCENT_CHANGE_EST_DPS_MONTH_REUT">"c3927"</definedName>
    <definedName name="IQ_PERCENT_CHANGE_EST_DPS_MONTH_THOM">"c5237"</definedName>
    <definedName name="IQ_PERCENT_CHANGE_EST_DPS_WEEK">"c1815"</definedName>
    <definedName name="IQ_PERCENT_CHANGE_EST_DPS_WEEK_CIQ">"c3794"</definedName>
    <definedName name="IQ_PERCENT_CHANGE_EST_DPS_WEEK_REUT">"c3963"</definedName>
    <definedName name="IQ_PERCENT_CHANGE_EST_DPS_WEEK_THOM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>"c5207"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>"c5251"</definedName>
    <definedName name="IQ_PERCENT_CHANGE_EST_RECO_WEEK">"c1831"</definedName>
    <definedName name="IQ_PERCENT_CHANGE_EST_RECO_WEEK_CIQ">"c3796"</definedName>
    <definedName name="IQ_PERCENT_CHANGE_EST_RECO_WEEK_REUT">"c3966"</definedName>
    <definedName name="IQ_PERCENT_CHANGE_EST_RECO_WEEK_THOM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>"c5215"</definedName>
    <definedName name="IQ_PERCENT_FLOAT">"c227"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CIQ">"c5064"</definedName>
    <definedName name="IQ_PRE_TAX_ACT_OR_EST_REUT">"c5467"</definedName>
    <definedName name="IQ_PRE_TAX_ACT_OR_EST_THOM">"c5305"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CIQ">"c4688"</definedName>
    <definedName name="IQ_PRETAX_GW_INC_EST_REUT">"c5354"</definedName>
    <definedName name="IQ_PRETAX_GW_INC_HIGH_EST">"c1704"</definedName>
    <definedName name="IQ_PRETAX_GW_INC_HIGH_EST_CIQ">"c4690"</definedName>
    <definedName name="IQ_PRETAX_GW_INC_HIGH_EST_REUT">"c5356"</definedName>
    <definedName name="IQ_PRETAX_GW_INC_LOW_EST">"c1705"</definedName>
    <definedName name="IQ_PRETAX_GW_INC_LOW_EST_CIQ">"c4691"</definedName>
    <definedName name="IQ_PRETAX_GW_INC_LOW_EST_REUT">"c5357"</definedName>
    <definedName name="IQ_PRETAX_GW_INC_MEDIAN_EST">"c1703"</definedName>
    <definedName name="IQ_PRETAX_GW_INC_MEDIAN_EST_CIQ">"c4689"</definedName>
    <definedName name="IQ_PRETAX_GW_INC_MEDIAN_EST_REUT">"c5355"</definedName>
    <definedName name="IQ_PRETAX_GW_INC_NUM_EST">"c1706"</definedName>
    <definedName name="IQ_PRETAX_GW_INC_NUM_EST_CIQ">"c4692"</definedName>
    <definedName name="IQ_PRETAX_GW_INC_NUM_EST_REUT">"c5358"</definedName>
    <definedName name="IQ_PRETAX_GW_INC_STDDEV_EST">"c1707"</definedName>
    <definedName name="IQ_PRETAX_GW_INC_STDDEV_EST_CIQ">"c4693"</definedName>
    <definedName name="IQ_PRETAX_GW_INC_STDDEV_EST_REUT">"c5359"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CIQ">"c4681"</definedName>
    <definedName name="IQ_PRETAX_INC_EST_REUT">"c5347"</definedName>
    <definedName name="IQ_PRETAX_INC_EST_THOM">"c5119"</definedName>
    <definedName name="IQ_PRETAX_INC_HIGH_EST">"c1697"</definedName>
    <definedName name="IQ_PRETAX_INC_HIGH_EST_CIQ">"c4683"</definedName>
    <definedName name="IQ_PRETAX_INC_HIGH_EST_REUT">"c5349"</definedName>
    <definedName name="IQ_PRETAX_INC_HIGH_EST_THOM">"c5121"</definedName>
    <definedName name="IQ_PRETAX_INC_LOW_EST">"c1698"</definedName>
    <definedName name="IQ_PRETAX_INC_LOW_EST_CIQ">"c4684"</definedName>
    <definedName name="IQ_PRETAX_INC_LOW_EST_REUT">"c5350"</definedName>
    <definedName name="IQ_PRETAX_INC_LOW_EST_THOM">"c5122"</definedName>
    <definedName name="IQ_PRETAX_INC_MEDIAN_EST">"c1696"</definedName>
    <definedName name="IQ_PRETAX_INC_MEDIAN_EST_CIQ">"c4682"</definedName>
    <definedName name="IQ_PRETAX_INC_MEDIAN_EST_REUT">"c5348"</definedName>
    <definedName name="IQ_PRETAX_INC_MEDIAN_EST_THOM">"c5120"</definedName>
    <definedName name="IQ_PRETAX_INC_NUM_EST">"c1699"</definedName>
    <definedName name="IQ_PRETAX_INC_NUM_EST_CIQ">"c4685"</definedName>
    <definedName name="IQ_PRETAX_INC_NUM_EST_REUT">"c5351"</definedName>
    <definedName name="IQ_PRETAX_INC_NUM_EST_THOM">"c5123"</definedName>
    <definedName name="IQ_PRETAX_INC_STDDEV_EST">"c1700"</definedName>
    <definedName name="IQ_PRETAX_INC_STDDEV_EST_CIQ">"c4686"</definedName>
    <definedName name="IQ_PRETAX_INC_STDDEV_EST_REUT">"c5352"</definedName>
    <definedName name="IQ_PRETAX_INC_STDDEV_EST_THOM">"c5124"</definedName>
    <definedName name="IQ_PRETAX_REPORT_INC_EST">"c1709"</definedName>
    <definedName name="IQ_PRETAX_REPORT_INC_EST_CIQ">"c4695"</definedName>
    <definedName name="IQ_PRETAX_REPORT_INC_EST_REUT">"c5361"</definedName>
    <definedName name="IQ_PRETAX_REPORT_INC_HIGH_EST">"c1711"</definedName>
    <definedName name="IQ_PRETAX_REPORT_INC_HIGH_EST_CIQ">"c4697"</definedName>
    <definedName name="IQ_PRETAX_REPORT_INC_HIGH_EST_REUT">"c5363"</definedName>
    <definedName name="IQ_PRETAX_REPORT_INC_LOW_EST">"c1712"</definedName>
    <definedName name="IQ_PRETAX_REPORT_INC_LOW_EST_CIQ">"c4698"</definedName>
    <definedName name="IQ_PRETAX_REPORT_INC_LOW_EST_REUT">"c5364"</definedName>
    <definedName name="IQ_PRETAX_REPORT_INC_MEDIAN_EST">"c1710"</definedName>
    <definedName name="IQ_PRETAX_REPORT_INC_MEDIAN_EST_CIQ">"c4696"</definedName>
    <definedName name="IQ_PRETAX_REPORT_INC_MEDIAN_EST_REUT">"c5362"</definedName>
    <definedName name="IQ_PRETAX_REPORT_INC_NUM_EST">"c1713"</definedName>
    <definedName name="IQ_PRETAX_REPORT_INC_NUM_EST_CIQ">"c4699"</definedName>
    <definedName name="IQ_PRETAX_REPORT_INC_NUM_EST_REUT">"c5365"</definedName>
    <definedName name="IQ_PRETAX_REPORT_INC_STDDEV_EST">"c1714"</definedName>
    <definedName name="IQ_PRETAX_REPORT_INC_STDDEV_EST_CIQ">"c4700"</definedName>
    <definedName name="IQ_PRETAX_REPORT_INC_STDDEV_EST_REUT">"c5366"</definedName>
    <definedName name="IQ_PRETAX_RETURN_ASSETS_FDIC">"c6731"</definedName>
    <definedName name="IQ_PREVIOUS_DATE_RT">"PREVIOUSLASTDATE"</definedName>
    <definedName name="IQ_PREVIOUS_PRICE_RT">"PREVIOUSLAST"</definedName>
    <definedName name="IQ_PRICE_CFPS_FWD">"c2237"</definedName>
    <definedName name="IQ_PRICE_CFPS_FWD_CIQ">"c4046"</definedName>
    <definedName name="IQ_PRICE_CFPS_FWD_REUT">"c4053"</definedName>
    <definedName name="IQ_PRICE_CFPS_FWD_THOM">"c4060"</definedName>
    <definedName name="IQ_PRICE_CHANGE_PCT_RT">"CHANGEPCT"</definedName>
    <definedName name="IQ_PRICE_CHANGE_RT">"CHANGE"</definedName>
    <definedName name="IQ_PRICE_DATE_RT">"LASTDATE"</definedName>
    <definedName name="IQ_PRICE_OVER_BVPS">"c1412"</definedName>
    <definedName name="IQ_PRICE_OVER_EPS_EST">"IQ_PRICE_OVER_EPS_EST"</definedName>
    <definedName name="IQ_PRICE_OVER_EPS_EST_1">"IQ_PRICE_OVER_EPS_EST_1"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RT">"LAST"</definedName>
    <definedName name="IQ_PRICE_TARGET">"c82"</definedName>
    <definedName name="IQ_PRICE_TARGET_BOTTOM_UP">"c5486"</definedName>
    <definedName name="IQ_PRICE_TARGET_BOTTOM_UP_REUT">"c5494"</definedName>
    <definedName name="IQ_PRICE_TARGET_CIQ">"c3613"</definedName>
    <definedName name="IQ_PRICE_TARGET_REUT">"c3631"</definedName>
    <definedName name="IQ_PRICE_TARGET_THOM">"c3649"</definedName>
    <definedName name="IQ_PRICE_TIME_RT">"LASTTIME"</definedName>
    <definedName name="IQ_PRICE_VOLATILITY_EST">"c4492"</definedName>
    <definedName name="IQ_PRICE_VOLATILITY_EST_CIQ">"c5030"</definedName>
    <definedName name="IQ_PRICE_VOLATILITY_HIGH">"c4493"</definedName>
    <definedName name="IQ_PRICE_VOLATILITY_HIGH_CIQ">"c5031"</definedName>
    <definedName name="IQ_PRICE_VOLATILITY_LOW">"c4494"</definedName>
    <definedName name="IQ_PRICE_VOLATILITY_LOW_CIQ">"c5032"</definedName>
    <definedName name="IQ_PRICE_VOLATILITY_MEDIAN">"c4495"</definedName>
    <definedName name="IQ_PRICE_VOLATILITY_MEDIAN_CIQ">"c5033"</definedName>
    <definedName name="IQ_PRICE_VOLATILITY_NUM">"c4496"</definedName>
    <definedName name="IQ_PRICE_VOLATILITY_NUM_CIQ">"c5034"</definedName>
    <definedName name="IQ_PRICE_VOLATILITY_STDDEV">"c4497"</definedName>
    <definedName name="IQ_PRICE_VOLATILITY_STDDEV_CIQ">"c5035"</definedName>
    <definedName name="IQ_PRICEDATE">"c1069"</definedName>
    <definedName name="IQ_PRICEDATETIME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EST">"c4499"</definedName>
    <definedName name="IQ_RECURRING_PROFIT_EST_CIQ">"c5037"</definedName>
    <definedName name="IQ_RECURRING_PROFIT_GUIDANCE">"c4500"</definedName>
    <definedName name="IQ_RECURRING_PROFIT_GUIDANCE_CIQ">"c5038"</definedName>
    <definedName name="IQ_RECURRING_PROFIT_HIGH_EST">"c4501"</definedName>
    <definedName name="IQ_RECURRING_PROFIT_HIGH_EST_CIQ">"c5039"</definedName>
    <definedName name="IQ_RECURRING_PROFIT_HIGH_GUIDANCE">"c4179"</definedName>
    <definedName name="IQ_RECURRING_PROFIT_HIGH_GUIDANCE_CIQ">"c4591"</definedName>
    <definedName name="IQ_RECURRING_PROFIT_LOW_EST">"c4502"</definedName>
    <definedName name="IQ_RECURRING_PROFIT_LOW_EST_CIQ">"c5040"</definedName>
    <definedName name="IQ_RECURRING_PROFIT_LOW_GUIDANCE">"c4219"</definedName>
    <definedName name="IQ_RECURRING_PROFIT_LOW_GUIDANCE_CIQ">"c4631"</definedName>
    <definedName name="IQ_RECURRING_PROFIT_MEDIAN_EST">"c4503"</definedName>
    <definedName name="IQ_RECURRING_PROFIT_MEDIAN_EST_CIQ">"c5041"</definedName>
    <definedName name="IQ_RECURRING_PROFIT_NUM_EST">"c4504"</definedName>
    <definedName name="IQ_RECURRING_PROFIT_NUM_EST_CIQ">"c5042"</definedName>
    <definedName name="IQ_RECURRING_PROFIT_SHARE_ACT_OR_EST">"c4508"</definedName>
    <definedName name="IQ_RECURRING_PROFIT_SHARE_ACT_OR_EST_CIQ">"c5046"</definedName>
    <definedName name="IQ_RECURRING_PROFIT_SHARE_EST">"c4506"</definedName>
    <definedName name="IQ_RECURRING_PROFIT_SHARE_EST_CIQ">"c5044"</definedName>
    <definedName name="IQ_RECURRING_PROFIT_SHARE_GUIDANCE">"c4509"</definedName>
    <definedName name="IQ_RECURRING_PROFIT_SHARE_GUIDANCE_CIQ">"c5047"</definedName>
    <definedName name="IQ_RECURRING_PROFIT_SHARE_HIGH_EST">"c4510"</definedName>
    <definedName name="IQ_RECURRING_PROFIT_SHARE_HIGH_EST_CIQ">"c5048"</definedName>
    <definedName name="IQ_RECURRING_PROFIT_SHARE_HIGH_GUIDANCE">"c4200"</definedName>
    <definedName name="IQ_RECURRING_PROFIT_SHARE_HIGH_GUIDANCE_CIQ">"c4612"</definedName>
    <definedName name="IQ_RECURRING_PROFIT_SHARE_LOW_EST">"c4511"</definedName>
    <definedName name="IQ_RECURRING_PROFIT_SHARE_LOW_EST_CIQ">"c5049"</definedName>
    <definedName name="IQ_RECURRING_PROFIT_SHARE_LOW_GUIDANCE">"c4240"</definedName>
    <definedName name="IQ_RECURRING_PROFIT_SHARE_LOW_GUIDANCE_CIQ">"c4652"</definedName>
    <definedName name="IQ_RECURRING_PROFIT_SHARE_MEDIAN_EST">"c4512"</definedName>
    <definedName name="IQ_RECURRING_PROFIT_SHARE_MEDIAN_EST_CIQ">"c5050"</definedName>
    <definedName name="IQ_RECURRING_PROFIT_SHARE_NUM_EST">"c4513"</definedName>
    <definedName name="IQ_RECURRING_PROFIT_SHARE_NUM_EST_CIQ">"c5051"</definedName>
    <definedName name="IQ_RECURRING_PROFIT_SHARE_STDDEV_EST">"c4514"</definedName>
    <definedName name="IQ_RECURRING_PROFIT_SHARE_STDDEV_EST_CIQ">"c5052"</definedName>
    <definedName name="IQ_RECURRING_PROFIT_STDDEV_EST">"c4516"</definedName>
    <definedName name="IQ_RECURRING_PROFIT_STDDEV_EST_CIQ">"c5054"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REUT">"c5475"</definedName>
    <definedName name="IQ_RETURN_ASSETS_ACT_OR_EST_THOM">"c5310"</definedName>
    <definedName name="IQ_RETURN_ASSETS_BANK">"c1114"</definedName>
    <definedName name="IQ_RETURN_ASSETS_BROK">"c1115"</definedName>
    <definedName name="IQ_RETURN_ASSETS_EST">"c3529"</definedName>
    <definedName name="IQ_RETURN_ASSETS_EST_CIQ">"c3828"</definedName>
    <definedName name="IQ_RETURN_ASSETS_EST_REUT">"c3990"</definedName>
    <definedName name="IQ_RETURN_ASSETS_EST_THOM">"c4034"</definedName>
    <definedName name="IQ_RETURN_ASSETS_FDIC">"c6730"</definedName>
    <definedName name="IQ_RETURN_ASSETS_FS">"c1116"</definedName>
    <definedName name="IQ_RETURN_ASSETS_GUIDANCE">"c4517"</definedName>
    <definedName name="IQ_RETURN_ASSETS_GUIDANCE_CIQ">"c5055"</definedName>
    <definedName name="IQ_RETURN_ASSETS_HIGH_EST">"c3530"</definedName>
    <definedName name="IQ_RETURN_ASSETS_HIGH_EST_CIQ">"c3830"</definedName>
    <definedName name="IQ_RETURN_ASSETS_HIGH_EST_REUT">"c3992"</definedName>
    <definedName name="IQ_RETURN_ASSETS_HIGH_EST_THOM">"c4036"</definedName>
    <definedName name="IQ_RETURN_ASSETS_HIGH_GUIDANCE">"c4183"</definedName>
    <definedName name="IQ_RETURN_ASSETS_HIGH_GUIDANCE_CIQ">"c4595"</definedName>
    <definedName name="IQ_RETURN_ASSETS_LOW_EST">"c3531"</definedName>
    <definedName name="IQ_RETURN_ASSETS_LOW_EST_CIQ">"c3831"</definedName>
    <definedName name="IQ_RETURN_ASSETS_LOW_EST_REUT">"c3993"</definedName>
    <definedName name="IQ_RETURN_ASSETS_LOW_EST_THOM">"c4037"</definedName>
    <definedName name="IQ_RETURN_ASSETS_LOW_GUIDANCE">"c4223"</definedName>
    <definedName name="IQ_RETURN_ASSETS_LOW_GUIDANCE_CIQ">"c4635"</definedName>
    <definedName name="IQ_RETURN_ASSETS_MEDIAN_EST">"c3532"</definedName>
    <definedName name="IQ_RETURN_ASSETS_MEDIAN_EST_CIQ">"c3829"</definedName>
    <definedName name="IQ_RETURN_ASSETS_MEDIAN_EST_REUT">"c3991"</definedName>
    <definedName name="IQ_RETURN_ASSETS_MEDIAN_EST_THOM">"c4035"</definedName>
    <definedName name="IQ_RETURN_ASSETS_NUM_EST">"c3527"</definedName>
    <definedName name="IQ_RETURN_ASSETS_NUM_EST_CIQ">"c3832"</definedName>
    <definedName name="IQ_RETURN_ASSETS_NUM_EST_REUT">"c3994"</definedName>
    <definedName name="IQ_RETURN_ASSETS_NUM_EST_THOM">"c4038"</definedName>
    <definedName name="IQ_RETURN_ASSETS_STDDEV_EST">"c3528"</definedName>
    <definedName name="IQ_RETURN_ASSETS_STDDEV_EST_CIQ">"c3833"</definedName>
    <definedName name="IQ_RETURN_ASSETS_STDDEV_EST_REUT">"c3995"</definedName>
    <definedName name="IQ_RETURN_ASSETS_STDDEV_EST_THOM">"c4039"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>"c5476"</definedName>
    <definedName name="IQ_RETURN_EQUITY_ACT_OR_EST_THOM">"c5311"</definedName>
    <definedName name="IQ_RETURN_EQUITY_BANK">"c1119"</definedName>
    <definedName name="IQ_RETURN_EQUITY_BROK">"c1120"</definedName>
    <definedName name="IQ_RETURN_EQUITY_EST">"c3535"</definedName>
    <definedName name="IQ_RETURN_EQUITY_EST_CIQ">"c3821"</definedName>
    <definedName name="IQ_RETURN_EQUITY_EST_REUT">"c3983"</definedName>
    <definedName name="IQ_RETURN_EQUITY_EST_THOM">"c5479"</definedName>
    <definedName name="IQ_RETURN_EQUITY_FDIC">"c6732"</definedName>
    <definedName name="IQ_RETURN_EQUITY_FS">"c1121"</definedName>
    <definedName name="IQ_RETURN_EQUITY_GUIDANCE">"c4518"</definedName>
    <definedName name="IQ_RETURN_EQUITY_GUIDANCE_CIQ">"c5056"</definedName>
    <definedName name="IQ_RETURN_EQUITY_HIGH_EST">"c3536"</definedName>
    <definedName name="IQ_RETURN_EQUITY_HIGH_EST_CIQ">"c3823"</definedName>
    <definedName name="IQ_RETURN_EQUITY_HIGH_EST_REUT">"c3985"</definedName>
    <definedName name="IQ_RETURN_EQUITY_HIGH_EST_THOM">"c5283"</definedName>
    <definedName name="IQ_RETURN_EQUITY_HIGH_GUIDANCE">"c4182"</definedName>
    <definedName name="IQ_RETURN_EQUITY_HIGH_GUIDANCE_CIQ">"c4594"</definedName>
    <definedName name="IQ_RETURN_EQUITY_LOW_EST">"c3537"</definedName>
    <definedName name="IQ_RETURN_EQUITY_LOW_EST_CIQ">"c3824"</definedName>
    <definedName name="IQ_RETURN_EQUITY_LOW_EST_REUT">"c3986"</definedName>
    <definedName name="IQ_RETURN_EQUITY_LOW_EST_THOM">"c5284"</definedName>
    <definedName name="IQ_RETURN_EQUITY_LOW_GUIDANCE">"c4222"</definedName>
    <definedName name="IQ_RETURN_EQUITY_LOW_GUIDANCE_CIQ">"c4634"</definedName>
    <definedName name="IQ_RETURN_EQUITY_MEDIAN_EST">"c3538"</definedName>
    <definedName name="IQ_RETURN_EQUITY_MEDIAN_EST_CIQ">"c3822"</definedName>
    <definedName name="IQ_RETURN_EQUITY_MEDIAN_EST_REUT">"c3984"</definedName>
    <definedName name="IQ_RETURN_EQUITY_MEDIAN_EST_THOM">"c5282"</definedName>
    <definedName name="IQ_RETURN_EQUITY_NUM_EST">"c3533"</definedName>
    <definedName name="IQ_RETURN_EQUITY_NUM_EST_CIQ">"c3825"</definedName>
    <definedName name="IQ_RETURN_EQUITY_NUM_EST_REUT">"c3987"</definedName>
    <definedName name="IQ_RETURN_EQUITY_NUM_EST_THOM">"c5285"</definedName>
    <definedName name="IQ_RETURN_EQUITY_STDDEV_EST">"c3534"</definedName>
    <definedName name="IQ_RETURN_EQUITY_STDDEV_EST_CIQ">"c3826"</definedName>
    <definedName name="IQ_RETURN_EQUITY_STDDEV_EST_REUT">"c3988"</definedName>
    <definedName name="IQ_RETURN_EQUITY_STDDEV_EST_THOM">"c5286"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STDDEV_EST_THOM">"c3657"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>"c5299"</definedName>
    <definedName name="IQ_REVENUE_EST">"c1126"</definedName>
    <definedName name="IQ_REVENUE_EST_1">"IQ_REVENUE_EST_1"</definedName>
    <definedName name="IQ_REVENUE_EST_BOTTOM_UP">"c5488"</definedName>
    <definedName name="IQ_REVENUE_EST_BOTTOM_UP_REUT">"c5496"</definedName>
    <definedName name="IQ_REVENUE_EST_CIQ">"c3616"</definedName>
    <definedName name="IQ_REVENUE_EST_REUT">"c3634"</definedName>
    <definedName name="IQ_REVENUE_EST_THOM">"c3652"</definedName>
    <definedName name="IQ_REVENUE_GROWTH_1">"IQ_REVENUE_GROWTH_1"</definedName>
    <definedName name="IQ_REVENUE_GROWTH_2">"IQ_REVENUE_GROWTH_2"</definedName>
    <definedName name="IQ_REVENUE_GUIDANCE">"c4519"</definedName>
    <definedName name="IQ_REVENUE_GUIDANCE_CIQ">"c5057"</definedName>
    <definedName name="IQ_REVENUE_HIGH_EST">"c1127"</definedName>
    <definedName name="IQ_REVENUE_HIGH_EST_CIQ">"c3618"</definedName>
    <definedName name="IQ_REVENUE_HIGH_EST_REUT">"c3636"</definedName>
    <definedName name="IQ_REVENUE_HIGH_EST_THOM">"c3654"</definedName>
    <definedName name="IQ_REVENUE_HIGH_GUIDANCE">"c4169"</definedName>
    <definedName name="IQ_REVENUE_HIGH_GUIDANCE_CIQ">"c4581"</definedName>
    <definedName name="IQ_REVENUE_LOW_EST">"c1128"</definedName>
    <definedName name="IQ_REVENUE_LOW_EST_CIQ">"c3619"</definedName>
    <definedName name="IQ_REVENUE_LOW_EST_REUT">"c3637"</definedName>
    <definedName name="IQ_REVENUE_LOW_EST_THOM">"c3655"</definedName>
    <definedName name="IQ_REVENUE_LOW_GUIDANCE">"c4209"</definedName>
    <definedName name="IQ_REVENUE_LOW_GUIDANCE_CIQ">"c4621"</definedName>
    <definedName name="IQ_REVENUE_MEDIAN_EST">"c1662"</definedName>
    <definedName name="IQ_REVENUE_MEDIAN_EST_CIQ">"c3617"</definedName>
    <definedName name="IQ_REVENUE_MEDIAN_EST_REUT">"c3635"</definedName>
    <definedName name="IQ_REVENUE_MEDIAN_EST_THOM">"c3653"</definedName>
    <definedName name="IQ_REVENUE_NO_EST">"c263"</definedName>
    <definedName name="IQ_REVENUE_NUM_EST">"c1129"</definedName>
    <definedName name="IQ_REVENUE_NUM_EST_CIQ">"c3620"</definedName>
    <definedName name="IQ_REVENUE_NUM_EST_REUT">"c3638"</definedName>
    <definedName name="IQ_REVENUE_NUM_EST_THOM">"c3656"</definedName>
    <definedName name="IQ_REVISION_DATE_">39776.6797337963</definedName>
    <definedName name="IQ_REVISION_DATE__1">39111.4358564815</definedName>
    <definedName name="IQ_RISK_ADJ_BANK_ASSETS">"c2670"</definedName>
    <definedName name="IQ_RISK_WEIGHTED_ASSETS_FDIC">"c6370"</definedName>
    <definedName name="IQ_ROYALTY_REVENUE_COAL">"c15932"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MALL_INT_BEAR_CD">"c11748"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C_ACTION">"c2644"</definedName>
    <definedName name="IQ_SP_ISSUE_LC_DATE">"c2643"</definedName>
    <definedName name="IQ_SP_ISSUE_LC_LT">"c2645"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EST_CIQ">"c5073"</definedName>
    <definedName name="IQ_STOCK_BASED_GA">"c2993"</definedName>
    <definedName name="IQ_STOCK_BASED_HIGH_EST">"c4521"</definedName>
    <definedName name="IQ_STOCK_BASED_HIGH_EST_CIQ">"c5074"</definedName>
    <definedName name="IQ_STOCK_BASED_LOW_EST">"c4522"</definedName>
    <definedName name="IQ_STOCK_BASED_LOW_EST_CIQ">"c5075"</definedName>
    <definedName name="IQ_STOCK_BASED_MEDIAN_EST">"c4523"</definedName>
    <definedName name="IQ_STOCK_BASED_MEDIAN_EST_CIQ">"c5076"</definedName>
    <definedName name="IQ_STOCK_BASED_NUM_EST">"c4524"</definedName>
    <definedName name="IQ_STOCK_BASED_NUM_EST_CIQ">"c5077"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STDDEV_EST_CIQ">"c5078"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LASTCLOSE">"c1855"</definedName>
    <definedName name="IQ_TARGET_PRICE_NUM">"c1653"</definedName>
    <definedName name="IQ_TARGET_PRICE_NUM_CIQ">"c4661"</definedName>
    <definedName name="IQ_TARGET_PRICE_NUM_REUT">"c5319"</definedName>
    <definedName name="IQ_TARGET_PRICE_NUM_THOM">"c5098"</definedName>
    <definedName name="IQ_TARGET_PRICE_STDDEV">"c1654"</definedName>
    <definedName name="IQ_TARGET_PRICE_STDDEV_CIQ">"c4662"</definedName>
    <definedName name="IQ_TARGET_PRICE_STDDEV_REUT">"c5320"</definedName>
    <definedName name="IQ_TARGET_PRICE_STDDEV_THOM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CIQ">"c4047"</definedName>
    <definedName name="IQ_TEV_EBIT_FWD_REUT">"c4054"</definedName>
    <definedName name="IQ_TEV_EBIT_FWD_THOM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>"c4050"</definedName>
    <definedName name="IQ_TEV_EBITDA_FWD_THOM">"c4057"</definedName>
    <definedName name="IQ_TEV_EMPLOYEE_AVG">"c1225"</definedName>
    <definedName name="IQ_TEV_EST">"c4526"</definedName>
    <definedName name="IQ_TEV_EST_CIQ">"c5079"</definedName>
    <definedName name="IQ_TEV_EST_THOM">"c5529"</definedName>
    <definedName name="IQ_TEV_HIGH_EST">"c4527"</definedName>
    <definedName name="IQ_TEV_HIGH_EST_CIQ">"c5080"</definedName>
    <definedName name="IQ_TEV_HIGH_EST_THOM">"c5530"</definedName>
    <definedName name="IQ_TEV_LOW_EST">"c4528"</definedName>
    <definedName name="IQ_TEV_LOW_EST_CIQ">"c5081"</definedName>
    <definedName name="IQ_TEV_LOW_EST_THOM">"c5531"</definedName>
    <definedName name="IQ_TEV_MEDIAN_EST">"c4529"</definedName>
    <definedName name="IQ_TEV_MEDIAN_EST_CIQ">"c5082"</definedName>
    <definedName name="IQ_TEV_MEDIAN_EST_THOM">"c5532"</definedName>
    <definedName name="IQ_TEV_NUM_EST">"c4530"</definedName>
    <definedName name="IQ_TEV_NUM_EST_CIQ">"c5083"</definedName>
    <definedName name="IQ_TEV_NUM_EST_THOM">"c5533"</definedName>
    <definedName name="IQ_TEV_STDDEV_EST">"c4531"</definedName>
    <definedName name="IQ_TEV_STDDEV_EST_CIQ">"c5084"</definedName>
    <definedName name="IQ_TEV_STDDEV_EST_THOM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TOTAL_REV_FWD_THOM">"c4058"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ST_CIQ">"c5085"</definedName>
    <definedName name="IQ_TOTAL_DEBT_EXCL_FIN">"c2937"</definedName>
    <definedName name="IQ_TOTAL_DEBT_GUIDANCE">"c4533"</definedName>
    <definedName name="IQ_TOTAL_DEBT_GUIDANCE_CIQ">"c5086"</definedName>
    <definedName name="IQ_TOTAL_DEBT_HIGH_EST">"c4534"</definedName>
    <definedName name="IQ_TOTAL_DEBT_HIGH_EST_CIQ">"c5087"</definedName>
    <definedName name="IQ_TOTAL_DEBT_HIGH_GUIDANCE">"c4196"</definedName>
    <definedName name="IQ_TOTAL_DEBT_HIGH_GUIDANCE_CIQ">"c4608"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EST_CIQ">"c5088"</definedName>
    <definedName name="IQ_TOTAL_DEBT_LOW_GUIDANCE">"c4236"</definedName>
    <definedName name="IQ_TOTAL_DEBT_LOW_GUIDANCE_CIQ">"c4648"</definedName>
    <definedName name="IQ_TOTAL_DEBT_MEDIAN_EST">"c4536"</definedName>
    <definedName name="IQ_TOTAL_DEBT_MEDIAN_EST_CIQ">"c5089"</definedName>
    <definedName name="IQ_TOTAL_DEBT_NON_CURRENT">"c6191"</definedName>
    <definedName name="IQ_TOTAL_DEBT_NUM_EST">"c4537"</definedName>
    <definedName name="IQ_TOTAL_DEBT_NUM_EST_CIQ">"c5090"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BT_STDDEV_EST_CIQ">"c5091"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AL">"c1308"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VOLUME_RT">"TOTALVOLUME"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VOLUME_RT">"VOLUME"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"c2104"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0</definedName>
    <definedName name="IQB_BOOKMARK_LOCATION_0">#REF!</definedName>
    <definedName name="IQB_BOOKMARK_LOCATION_2">#REF!</definedName>
    <definedName name="IQB_BOOKMARK_LOCATION_3">#REF!</definedName>
    <definedName name="IQB_CURRENT_BOOKMARK">0</definedName>
    <definedName name="IQNAMA">39972.4171759259</definedName>
    <definedName name="IQRA8">"$A$9:$A$260"</definedName>
    <definedName name="IQRAA3">"$AA$4:$AA$253"</definedName>
    <definedName name="IQRAA4">"$AA$5:$AA$254"</definedName>
    <definedName name="IQRAA5">"$AA$6:$AA$255"</definedName>
    <definedName name="IQRAA6">"$AA$7:$AA$256"</definedName>
    <definedName name="IQRAA7">"$AA$8:$AA$257"</definedName>
    <definedName name="IQRAB3">"$AB$4:$AB$253"</definedName>
    <definedName name="IQRAC3">"$AC$4:$AC$253"</definedName>
    <definedName name="IQRAD3">"$AD$4:$AD$253"</definedName>
    <definedName name="IQRAD4">"$AD$5:$AD$254"</definedName>
    <definedName name="IQRAD5">"$AD$6:$AD$255"</definedName>
    <definedName name="IQRAD6">"$AD$7:$AD$256"</definedName>
    <definedName name="IQRAE3">"$AE$4:$AE$253"</definedName>
    <definedName name="IQRAE4">"$AE$5:$AE$254"</definedName>
    <definedName name="IQRAE5">"$AE$6:$AE$255"</definedName>
    <definedName name="IQRAE6">"$AE$7:$AE$256"</definedName>
    <definedName name="IQRAF17">"$AF$18:$AF$269"</definedName>
    <definedName name="IQRAF3">"$AF$4:$AF$253"</definedName>
    <definedName name="IQRAF6">"$AF$7:$AF$256"</definedName>
    <definedName name="IQRAF7">"$AF$8:$AF$257"</definedName>
    <definedName name="IQRAG18">"$AG$19:$AG$270"</definedName>
    <definedName name="IQRAG3">"$AG$4:$AG$253"</definedName>
    <definedName name="IQRAH3">"$AH$4:$AH$253"</definedName>
    <definedName name="IQRAH4">"$AH$5:$AH$254"</definedName>
    <definedName name="IQRAH5">"$AH$6:$AH$255"</definedName>
    <definedName name="IQRAH6">"$AH$7:$AH$256"</definedName>
    <definedName name="IQRAI3">"$AI$4:$AI$253"</definedName>
    <definedName name="IQRAI4">"$AI$5:$AI$254"</definedName>
    <definedName name="IQRAI5">"$AI$6:$AI$255"</definedName>
    <definedName name="IQRAI6">"$AI$7:$AI$256"</definedName>
    <definedName name="IQRAJ3">"$AJ$4:$AJ$253"</definedName>
    <definedName name="IQRAK3">"$AK$4:$AK$253"</definedName>
    <definedName name="IQRAK6">"$AK$7:$AK$256"</definedName>
    <definedName name="IQRAK7">"$AK$8:$AK$257"</definedName>
    <definedName name="IQRAL3">"$AL$4:$AL$253"</definedName>
    <definedName name="IQRAL4">"$AL$5:$AL$254"</definedName>
    <definedName name="IQRAL5">"$AL$6:$AL$255"</definedName>
    <definedName name="IQRAL6">"$AL$7:$AL$256"</definedName>
    <definedName name="IQRAM3">"$AM$4:$AM$253"</definedName>
    <definedName name="IQRAM4">"$AM$5:$AM$254"</definedName>
    <definedName name="IQRAM5">"$AM$6:$AM$255"</definedName>
    <definedName name="IQRAM6">"$AM$7:$AM$256"</definedName>
    <definedName name="IQRAN3">"$AN$4:$AN$253"</definedName>
    <definedName name="IQRAO3">"$AO$4:$AO$253"</definedName>
    <definedName name="IQRAP5">"$AP$6:$AP$255"</definedName>
    <definedName name="IQRAP6">"$AP$7:$AP$256"</definedName>
    <definedName name="IQRAP7">"$AP$8:$AP$257"</definedName>
    <definedName name="IQRAQ6">"$AQ$7:$AQ$256"</definedName>
    <definedName name="IQRAU6">"$AU$7:$AU$256"</definedName>
    <definedName name="IQRAU7">"$AU$8:$AU$257"</definedName>
    <definedName name="IQRAY10">"$AY$11"</definedName>
    <definedName name="IQRAY7">"$AY$8"</definedName>
    <definedName name="IQRAZ6">"$AZ$7:$AZ$256"</definedName>
    <definedName name="IQRAZ7">"$AZ$8:$AZ$257"</definedName>
    <definedName name="IQRB3">"$B$4:$B$253"</definedName>
    <definedName name="IQRB4">"$B$5:$B$254"</definedName>
    <definedName name="IQRB400">"$B$401:$B$652"</definedName>
    <definedName name="IQRB402">"$B$403:$B$654"</definedName>
    <definedName name="IQRB403">"$B$404:$B$656"</definedName>
    <definedName name="IQRB405">"$B$406:$B$658"</definedName>
    <definedName name="IQRB406">"$B$407:$B$659"</definedName>
    <definedName name="IQRB413">"$B$414:$B$666"</definedName>
    <definedName name="IQRB415">"$B$416:$B$668"</definedName>
    <definedName name="IQRB417">"$B$418:$B$670"</definedName>
    <definedName name="IQRB419">"$B$420:$B$672"</definedName>
    <definedName name="IQRB434">"$B$435:$B$687"</definedName>
    <definedName name="IQRB439">"$B$440:$B$692"</definedName>
    <definedName name="IQRB441">"$B$442:$B$694"</definedName>
    <definedName name="IQRB442">"$B$443:$B$695"</definedName>
    <definedName name="IQRB443">"$B$444:$B$696"</definedName>
    <definedName name="IQRB444">"$B$445:$B$697"</definedName>
    <definedName name="IQRB448">"$B$449:$B$701"</definedName>
    <definedName name="IQRB449">"$B$450:$B$702"</definedName>
    <definedName name="IQRB450">"$B$451:$B$703"</definedName>
    <definedName name="IQRB5">"$B$6:$B$585"</definedName>
    <definedName name="IQRB581">"$B$582:$B$834"</definedName>
    <definedName name="IQRB582">"$B$583:$B$835"</definedName>
    <definedName name="IQRB583">"$B$584:$B$836"</definedName>
    <definedName name="IQRB6">"$B$7"</definedName>
    <definedName name="IQRB7">"$B$8:$B$257"</definedName>
    <definedName name="IQRB8">"$B$9:$B$260"</definedName>
    <definedName name="IQRBA10">"$BA$11"</definedName>
    <definedName name="IQRBC10">"$BC$11"</definedName>
    <definedName name="IQRC3">"$C$4:$C$253"</definedName>
    <definedName name="IQRC4">"$C$5:$C$254"</definedName>
    <definedName name="IQRC5">"$C$6:$C$255"</definedName>
    <definedName name="IQRC8">"$C$9:$C$260"</definedName>
    <definedName name="IQRCashBalanceA8">#REF!</definedName>
    <definedName name="IQRCashBalanceAA10">#REF!</definedName>
    <definedName name="IQRCashBalanceAB10">#REF!</definedName>
    <definedName name="IQRCashBalanceAB2">#REF!</definedName>
    <definedName name="IQRCashBalanceAC10">#REF!</definedName>
    <definedName name="IQRCashBalanceAD10">#REF!</definedName>
    <definedName name="IQRCashBalanceAD2">#REF!</definedName>
    <definedName name="IQRCashBalanceAE10">#REF!</definedName>
    <definedName name="IQRCashBalanceAF10">#REF!</definedName>
    <definedName name="IQRCashBalanceAF2">#REF!</definedName>
    <definedName name="IQRCashBalanceAG10">#REF!</definedName>
    <definedName name="IQRCashBalanceAH10">#REF!</definedName>
    <definedName name="IQRCashBalanceAH2">#REF!</definedName>
    <definedName name="IQRCashBalanceAI10">#REF!</definedName>
    <definedName name="IQRCashBalanceAJ10">#REF!</definedName>
    <definedName name="IQRCashBalanceAJ2">#REF!</definedName>
    <definedName name="IQRCashBalanceAK10">#REF!</definedName>
    <definedName name="IQRCashBalanceAL10">#REF!</definedName>
    <definedName name="IQRCashBalanceAL2">#REF!</definedName>
    <definedName name="IQRCashBalanceAM10">#REF!</definedName>
    <definedName name="IQRCashBalanceAN10">#REF!</definedName>
    <definedName name="IQRCashBalanceAN2">#REF!</definedName>
    <definedName name="IQRCashBalanceAO10">#REF!</definedName>
    <definedName name="IQRCashBalanceAP10">#REF!</definedName>
    <definedName name="IQRCashBalanceAP2">#REF!</definedName>
    <definedName name="IQRCashBalanceAQ10">#REF!</definedName>
    <definedName name="IQRCashBalanceAR10">#REF!</definedName>
    <definedName name="IQRCashBalanceAR2">#REF!</definedName>
    <definedName name="IQRCashBalanceAS10">#REF!</definedName>
    <definedName name="IQRCashBalanceAT10">#REF!</definedName>
    <definedName name="IQRCashBalanceAT2">#REF!</definedName>
    <definedName name="IQRCashBalanceAU10">#REF!</definedName>
    <definedName name="IQRCashBalanceAV10">#REF!</definedName>
    <definedName name="IQRCashBalanceAV2">#REF!</definedName>
    <definedName name="IQRCashBalanceAW10">#REF!</definedName>
    <definedName name="IQRCashBalanceAX2">#REF!</definedName>
    <definedName name="IQRCashBalanceAY10">#REF!</definedName>
    <definedName name="IQRCashBalanceBA10">#REF!</definedName>
    <definedName name="IQRCashBalanceBE10">#REF!</definedName>
    <definedName name="IQRCashBalanceM10">#REF!</definedName>
    <definedName name="IQRCashBalanceN10">#REF!</definedName>
    <definedName name="IQRCashBalanceN2">#REF!</definedName>
    <definedName name="IQRCashBalanceO10">#REF!</definedName>
    <definedName name="IQRCashBalanceP10">#REF!</definedName>
    <definedName name="IQRCashBalanceP2">#REF!</definedName>
    <definedName name="IQRCashBalanceQ10">#REF!</definedName>
    <definedName name="IQRCashBalanceR10">#REF!</definedName>
    <definedName name="IQRCashBalanceR2">#REF!</definedName>
    <definedName name="IQRCashBalanceS10">#REF!</definedName>
    <definedName name="IQRCashBalanceT10">#REF!</definedName>
    <definedName name="IQRCashBalanceT2">#REF!</definedName>
    <definedName name="IQRCashBalanceU10">#REF!</definedName>
    <definedName name="IQRCashBalanceV10">#REF!</definedName>
    <definedName name="IQRCashBalanceV2">#REF!</definedName>
    <definedName name="IQRCashBalanceW10">#REF!</definedName>
    <definedName name="IQRCashBalanceX10">#REF!</definedName>
    <definedName name="IQRCashBalanceX2">#REF!</definedName>
    <definedName name="IQRCashBalanceX7">#REF!</definedName>
    <definedName name="IQRCashBalanceX8">#REF!</definedName>
    <definedName name="IQRCashBalanceY10">#REF!</definedName>
    <definedName name="IQRCashBalanceZ10">#REF!</definedName>
    <definedName name="IQRCashBalanceZ2">#REF!</definedName>
    <definedName name="IQRCorporateProfitsB6">#REF!</definedName>
    <definedName name="IQRCorporateProfitsD7">#REF!</definedName>
    <definedName name="IQRCurrentCompsO6">#REF!</definedName>
    <definedName name="IQRD3">"$D$4:$D$253"</definedName>
    <definedName name="IQRD405">"$D$406:$D$658"</definedName>
    <definedName name="IQRD406">"$D$407:$D$659"</definedName>
    <definedName name="IQRD413">"$D$414:$D$666"</definedName>
    <definedName name="IQRD415">"$D$416:$D$668"</definedName>
    <definedName name="IQRD417">"$D$418:$D$670"</definedName>
    <definedName name="IQRD419">"$D$420:$D$672"</definedName>
    <definedName name="IQRD434">"$D$435:$D$687"</definedName>
    <definedName name="IQRD439">"$D$440:$D$692"</definedName>
    <definedName name="IQRD441">"$D$442:$D$694"</definedName>
    <definedName name="IQRD442">"$D$443:$D$695"</definedName>
    <definedName name="IQRD443">"$D$444:$D$696"</definedName>
    <definedName name="IQRD444">"$D$445:$D$697"</definedName>
    <definedName name="IQRD448">"$D$449:$D$701"</definedName>
    <definedName name="IQRD449">"$D$450:$D$702"</definedName>
    <definedName name="IQRD450">"$D$451:$D$703"</definedName>
    <definedName name="IQRD581">"$D$582:$D$834"</definedName>
    <definedName name="IQRD582">"$D$583:$D$835"</definedName>
    <definedName name="IQRD583">"$D$584:$D$836"</definedName>
    <definedName name="IQRF3">"$F$4:$F$253"</definedName>
    <definedName name="IQRF4">"$F$5:$F$254"</definedName>
    <definedName name="IQRF405">"$F$406:$F$658"</definedName>
    <definedName name="IQRF406">"$F$407:$F$659"</definedName>
    <definedName name="IQRF413">"$F$414:$F$666"</definedName>
    <definedName name="IQRF415">"$F$416:$F$668"</definedName>
    <definedName name="IQRF417">"$F$418:$F$670"</definedName>
    <definedName name="IQRF419">"$F$420:$F$672"</definedName>
    <definedName name="IQRF434">"$F$435:$F$687"</definedName>
    <definedName name="IQRF439">"$F$440:$F$692"</definedName>
    <definedName name="IQRF441">"$F$442:$F$694"</definedName>
    <definedName name="IQRF442">"$F$443:$F$695"</definedName>
    <definedName name="IQRF443">"$F$444:$F$696"</definedName>
    <definedName name="IQRF444">"$F$445:$F$697"</definedName>
    <definedName name="IQRF448">"$F$449:$F$701"</definedName>
    <definedName name="IQRF449">"$F$450:$F$702"</definedName>
    <definedName name="IQRF450">"$F$451:$F$703"</definedName>
    <definedName name="IQRF5">"$F$6:$F$255"</definedName>
    <definedName name="IQRF581">"$F$582:$F$834"</definedName>
    <definedName name="IQRF582">"$F$583:$F$835"</definedName>
    <definedName name="IQRF583">"$F$584:$F$836"</definedName>
    <definedName name="IQRF6">"$F$7:$F$256"</definedName>
    <definedName name="IQRG3">"$G$4:$G$253"</definedName>
    <definedName name="IQRG4">"$G$5:$G$254"</definedName>
    <definedName name="IQRG5">"$G$6:$G$255"</definedName>
    <definedName name="IQRG6">"$G$7:$G$256"</definedName>
    <definedName name="IQRG7">"$G$8:$G$257"</definedName>
    <definedName name="IQRH3">"$H$4:$H$253"</definedName>
    <definedName name="IQRH405">"$H$406:$H$658"</definedName>
    <definedName name="IQRH406">"$H$407:$H$659"</definedName>
    <definedName name="IQRH413">"$H$414:$H$666"</definedName>
    <definedName name="IQRH415">"$H$416:$H$668"</definedName>
    <definedName name="IQRH417">"$H$418:$H$670"</definedName>
    <definedName name="IQRH419">"$H$420:$H$672"</definedName>
    <definedName name="IQRH434">"$H$435:$H$687"</definedName>
    <definedName name="IQRH439">"$H$440:$H$692"</definedName>
    <definedName name="IQRH441">"$H$442:$H$694"</definedName>
    <definedName name="IQRH442">"$H$443:$H$695"</definedName>
    <definedName name="IQRH443">"$H$444:$H$696"</definedName>
    <definedName name="IQRH444">"$H$445:$H$697"</definedName>
    <definedName name="IQRH448">"$H$449:$H$701"</definedName>
    <definedName name="IQRH449">"$H$450:$H$702"</definedName>
    <definedName name="IQRH450">"$H$451:$H$703"</definedName>
    <definedName name="IQRH581">"$H$582:$H$834"</definedName>
    <definedName name="IQRH582">"$H$583:$H$835"</definedName>
    <definedName name="IQRH583">"$H$584:$H$836"</definedName>
    <definedName name="IQRH59">"$H$60"</definedName>
    <definedName name="IQRI287">"$I$288:$I$307"</definedName>
    <definedName name="IQRJ3">"$J$4:$J$253"</definedName>
    <definedName name="IQRJ4">"$J$5:$J$254"</definedName>
    <definedName name="IQRJ405">"$J$406:$J$658"</definedName>
    <definedName name="IQRJ406">"$J$407:$J$659"</definedName>
    <definedName name="IQRJ413">"$J$414:$J$666"</definedName>
    <definedName name="IQRJ415">"$J$416:$J$668"</definedName>
    <definedName name="IQRJ417">"$J$418:$J$670"</definedName>
    <definedName name="IQRJ419">"$J$420:$J$672"</definedName>
    <definedName name="IQRJ434">"$J$435:$J$687"</definedName>
    <definedName name="IQRJ439">"$J$440:$J$692"</definedName>
    <definedName name="IQRJ441">"$J$442:$J$694"</definedName>
    <definedName name="IQRJ442">"$J$443:$J$695"</definedName>
    <definedName name="IQRJ443">"$J$444:$J$696"</definedName>
    <definedName name="IQRJ444">"$J$445:$J$697"</definedName>
    <definedName name="IQRJ448">"$J$449:$J$701"</definedName>
    <definedName name="IQRJ449">"$J$450:$J$702"</definedName>
    <definedName name="IQRJ450">"$J$451:$J$703"</definedName>
    <definedName name="IQRJ5">"$J$6:$J$255"</definedName>
    <definedName name="IQRJ581">"$J$582:$J$834"</definedName>
    <definedName name="IQRJ582">"$J$583:$J$835"</definedName>
    <definedName name="IQRJ583">"$J$584:$J$836"</definedName>
    <definedName name="IQRJ59">"$J$60"</definedName>
    <definedName name="IQRJ6">"$J$7:$J$256"</definedName>
    <definedName name="IQRK102">"$K$103:$K$352"</definedName>
    <definedName name="IQRK3">"$K$4:$K$253"</definedName>
    <definedName name="IQRK4">"$K$5:$K$254"</definedName>
    <definedName name="IQRK5">"$K$6:$K$255"</definedName>
    <definedName name="IQRK6">"$K$7:$K$256"</definedName>
    <definedName name="IQRK71">"$K$72:$K$321"</definedName>
    <definedName name="IQRK73">"$K$74:$K$323"</definedName>
    <definedName name="IQRK74">"$K$75:$K$324"</definedName>
    <definedName name="IQRK75">"$K$76:$K$325"</definedName>
    <definedName name="IQRL3">"$L$4:$L$253"</definedName>
    <definedName name="IQRL405">"$L$406:$L$658"</definedName>
    <definedName name="IQRL406">"$L$407:$L$659"</definedName>
    <definedName name="IQRL413">"$L$414:$L$666"</definedName>
    <definedName name="IQRL415">"$L$416:$L$668"</definedName>
    <definedName name="IQRL417">"$L$418:$L$670"</definedName>
    <definedName name="IQRL419">"$L$420:$L$672"</definedName>
    <definedName name="IQRL434">"$L$435:$L$687"</definedName>
    <definedName name="IQRL439">"$L$440:$L$692"</definedName>
    <definedName name="IQRL441">"$L$442:$L$694"</definedName>
    <definedName name="IQRL442">"$L$443:$L$695"</definedName>
    <definedName name="IQRL443">"$L$444:$L$696"</definedName>
    <definedName name="IQRL444">"$L$445:$L$697"</definedName>
    <definedName name="IQRL448">"$L$449:$L$701"</definedName>
    <definedName name="IQRL449">"$L$450:$L$702"</definedName>
    <definedName name="IQRL450">"$L$451:$L$703"</definedName>
    <definedName name="IQRL581">"$L$582:$L$834"</definedName>
    <definedName name="IQRL582">"$L$583:$L$835"</definedName>
    <definedName name="IQRL583">"$L$584:$L$836"</definedName>
    <definedName name="IQRL59">"$L$60"</definedName>
    <definedName name="IQRL6">"$L$7:$L$256"</definedName>
    <definedName name="IQRL7">"$L$8:$L$257"</definedName>
    <definedName name="IQRM101">"$M$102:$M$351"</definedName>
    <definedName name="IQRM102">"$M$103:$M$352"</definedName>
    <definedName name="IQRM103">"$M$104:$M$353"</definedName>
    <definedName name="IQRM104">"$M$105:$M$354"</definedName>
    <definedName name="IQRM105">"$M$106:$M$355"</definedName>
    <definedName name="IQRM106">"$M$107:$M$357"</definedName>
    <definedName name="IQRM107">"$M$108:$M$358"</definedName>
    <definedName name="IQRM108">"$M$109:$M$359"</definedName>
    <definedName name="IQRM109">"$M$110:$M$359"</definedName>
    <definedName name="IQRM110">"$M$111:$M$361"</definedName>
    <definedName name="IQRM111">"$M$112:$M$362"</definedName>
    <definedName name="IQRM112">"$M$113:$M$363"</definedName>
    <definedName name="IQRM113">"$M$114:$M$364"</definedName>
    <definedName name="IQRM22">"$M$23:$M$387"</definedName>
    <definedName name="IQRM3">"$M$4:$M$253"</definedName>
    <definedName name="IQRM97">"$M$98:$M$347"</definedName>
    <definedName name="IQRMovingAverageV4">#REF!</definedName>
    <definedName name="IQRN3">"$N$4:$N$253"</definedName>
    <definedName name="IQRN4">"$N$5:$N$254"</definedName>
    <definedName name="IQRN406">"$N$407:$N$659"</definedName>
    <definedName name="IQRN5">"$N$6:$N$255"</definedName>
    <definedName name="IQRN6">"$N$7:$N$256"</definedName>
    <definedName name="IQRN97">"$N$98:$N$347"</definedName>
    <definedName name="IQRO14">"$O$15:$O$66"</definedName>
    <definedName name="IQRO3">"$O$4:$O$253"</definedName>
    <definedName name="IQRO4">"$O$5:$O$254"</definedName>
    <definedName name="IQRO405">"$O$406:$O$658"</definedName>
    <definedName name="IQRO406">"$O$407:$O$659"</definedName>
    <definedName name="IQRO413">"$O$414:$O$666"</definedName>
    <definedName name="IQRO415">"$O$416:$O$668"</definedName>
    <definedName name="IQRO417">"$O$418:$O$670"</definedName>
    <definedName name="IQRO419">"$O$420:$O$672"</definedName>
    <definedName name="IQRO434">"$O$435:$O$687"</definedName>
    <definedName name="IQRO439">"$O$440:$O$692"</definedName>
    <definedName name="IQRO441">"$O$442:$O$694"</definedName>
    <definedName name="IQRO442">"$O$443:$O$695"</definedName>
    <definedName name="IQRO443">"$O$444:$O$696"</definedName>
    <definedName name="IQRO444">"$O$445:$O$697"</definedName>
    <definedName name="IQRO448">"$O$449:$O$701"</definedName>
    <definedName name="IQRO449">"$O$450:$O$702"</definedName>
    <definedName name="IQRO450">"$O$451:$O$703"</definedName>
    <definedName name="IQRO5">"$O$6:$O$255"</definedName>
    <definedName name="IQRO581">"$O$582:$O$834"</definedName>
    <definedName name="IQRO582">"$O$583:$O$835"</definedName>
    <definedName name="IQRO583">"$O$584:$O$836"</definedName>
    <definedName name="IQRO6">"$O$7:$O$256"</definedName>
    <definedName name="IQRO74">"$O$75:$O$324"</definedName>
    <definedName name="IQRO97">"$O$98:$O$347"</definedName>
    <definedName name="IQRP119">"$P$120:$P$369"</definedName>
    <definedName name="IQRP120">"$P$121:$P$370"</definedName>
    <definedName name="IQRP129">"$P$130:$P$379"</definedName>
    <definedName name="IQRP3">"$P$4:$P$253"</definedName>
    <definedName name="IQRP30">"$P$31:$P$281"</definedName>
    <definedName name="IQRPublicComp1WACC2BF9">#REF!</definedName>
    <definedName name="IQRPublicComp1WACC2BN9">#REF!</definedName>
    <definedName name="IQRPublicComp1WACCBF10">#REF!</definedName>
    <definedName name="IQRPublicComp1WACCBF9">#REF!</definedName>
    <definedName name="IQRPublicComp1WACCBN10">#REF!</definedName>
    <definedName name="IQRPublicComp4WACCBF9">#REF!</definedName>
    <definedName name="IQRPublicComp4WACCBN9">#REF!</definedName>
    <definedName name="IQRPublicComp6WACCBN9">#REF!</definedName>
    <definedName name="IQRPublicComp7WACCBN9">#REF!</definedName>
    <definedName name="IQRPublicTradingMultiplesC10">#REF!</definedName>
    <definedName name="IQRPublicTradingMultiplesC12">#REF!</definedName>
    <definedName name="IQRPublicTradingMultiplesC24">#REF!</definedName>
    <definedName name="IQRQ102">"$Q$103:$Q$352"</definedName>
    <definedName name="IQRQ129">"$Q$130:$Q$379"</definedName>
    <definedName name="IQRQ3">"$Q$4:$Q$253"</definedName>
    <definedName name="IQRQ6">"$Q$7:$Q$256"</definedName>
    <definedName name="IQRQ7">"$Q$8:$Q$257"</definedName>
    <definedName name="IQRQ73">"$Q$74:$Q$323"</definedName>
    <definedName name="IQRQ74">"$Q$75:$Q$324"</definedName>
    <definedName name="IQRQ77">"$Q$78:$Q$327"</definedName>
    <definedName name="IQRQ94">"$Q$95:$Q$344"</definedName>
    <definedName name="IQRQ95">"$Q$96:$Q$345"</definedName>
    <definedName name="IQRR102">"$R$103:$R$352"</definedName>
    <definedName name="IQRR192">"$R$193:$R$443"</definedName>
    <definedName name="IQRR207">"$R$208:$R$458"</definedName>
    <definedName name="IQRR24">"$R$25:$R$275"</definedName>
    <definedName name="IQRR3">"$R$4:$R$253"</definedName>
    <definedName name="IQRR4">"$R$5:$R$254"</definedName>
    <definedName name="IQRR5">"$R$6:$R$255"</definedName>
    <definedName name="IQRR6">"$R$7:$R$256"</definedName>
    <definedName name="IQRS3">"$S$4:$S$253"</definedName>
    <definedName name="IQRS4">"$S$5:$S$254"</definedName>
    <definedName name="IQRS5">"$S$6:$S$255"</definedName>
    <definedName name="IQRS6">"$S$7:$S$259"</definedName>
    <definedName name="IQRS71">"$S$72:$S$321"</definedName>
    <definedName name="IQRS74">"$S$75:$S$324"</definedName>
    <definedName name="IQRSheet1A3">#REF!</definedName>
    <definedName name="IQRSheet1B10">#REF!</definedName>
    <definedName name="IQRSheet1B5">#REF!</definedName>
    <definedName name="IQRSheet1B8">#REF!</definedName>
    <definedName name="IQRSheet1B9">#REF!</definedName>
    <definedName name="IQRSheet1C10">#REF!</definedName>
    <definedName name="IQRSheet1E2646">#REF!</definedName>
    <definedName name="IQRSheet6BF9">#REF!</definedName>
    <definedName name="IQRSheet6BN9">#REF!</definedName>
    <definedName name="IQRT3">"$T$4:$T$253"</definedName>
    <definedName name="IQRU11">"$U$12:$U$264"</definedName>
    <definedName name="IQRU3">"$U$4:$U$253"</definedName>
    <definedName name="IQRV11">"$V$12:$V$264"</definedName>
    <definedName name="IQRV125">"$V$126:$V$375"</definedName>
    <definedName name="IQRV126">"$V$127:$V$376"</definedName>
    <definedName name="IQRV127">"$V$128:$V$377"</definedName>
    <definedName name="IQRV128">"$V$129:$V$378"</definedName>
    <definedName name="IQRV129">"$V$130:$V$379"</definedName>
    <definedName name="IQRV3">"$V$4:$V$253"</definedName>
    <definedName name="IQRV4">"$V$5:$V$254"</definedName>
    <definedName name="IQRV5">"$V$6:$V$255"</definedName>
    <definedName name="IQRV6">"$V$7:$V$256"</definedName>
    <definedName name="IQRV7">"$V$8:$V$257"</definedName>
    <definedName name="IQRV97">"$V$98:$V$347"</definedName>
    <definedName name="IQRW3">"$W$4:$W$253"</definedName>
    <definedName name="IQRW4">"$W$5:$W$254"</definedName>
    <definedName name="IQRW5">"$W$6:$W$255"</definedName>
    <definedName name="IQRW6">"$W$7:$W$256"</definedName>
    <definedName name="IQRWACC_Comp4BF9">#REF!</definedName>
    <definedName name="IQRWACC_Comp4BN9">#REF!</definedName>
    <definedName name="IQRWACC_Comp6BF9">#REF!</definedName>
    <definedName name="IQRWACC_Comp7BN9">#REF!</definedName>
    <definedName name="IQRWACC_Comp9BF9">#REF!</definedName>
    <definedName name="IQRWACC_Comp9BN9">#REF!</definedName>
    <definedName name="IQRWACCAnalysisBV10">#REF!</definedName>
    <definedName name="IQRX3">"$X$4:$X$253"</definedName>
    <definedName name="IQRY3">"$Y$4:$Y$253"</definedName>
    <definedName name="IQRZ3">"$Z$4:$Z$253"</definedName>
    <definedName name="IQRZ4">"$Z$5:$Z$254"</definedName>
    <definedName name="IQRZ5">"$Z$6:$Z$255"</definedName>
    <definedName name="IQRZ6">"$Z$7:$Z$256"</definedName>
    <definedName name="iQShowHideColumns">"iQShowAll"</definedName>
    <definedName name="IRI_WorkspaceId">"8a6e39098610417db46cc04a2213e7eb"</definedName>
    <definedName name="IsColHidden">FALSE</definedName>
    <definedName name="IsLTMColHidden">FALSE</definedName>
    <definedName name="iv" localSheetId="2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 localSheetId="20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 localSheetId="25">{"summary1",#N/A,FALSE,"Summary of Values";"summary2",#N/A,FALSE,"Summary of Values"}</definedName>
    <definedName name="j" localSheetId="20">{"summary1",#N/A,FALSE,"Summary of Values";"summary2",#N/A,FALSE,"Summary of Values"}</definedName>
    <definedName name="j">{"summary1",#N/A,FALSE,"Summary of Values";"summary2",#N/A,FALSE,"Summary of Values"}</definedName>
    <definedName name="jason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eyj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 localSheetId="25">{#N/A,#N/A,FALSE,"Assump";#N/A,#N/A,FALSE,"Income";#N/A,#N/A,FALSE,"Balance";#N/A,#N/A,FALSE,"DCF Pump";#N/A,#N/A,FALSE,"Trans Assump";#N/A,#N/A,FALSE,"Combined Income";#N/A,#N/A,FALSE,"Combined Balance"}</definedName>
    <definedName name="jh" localSheetId="20">{#N/A,#N/A,FALSE,"Assump";#N/A,#N/A,FALSE,"Income";#N/A,#N/A,FALSE,"Balance";#N/A,#N/A,FALSE,"DCF Pump";#N/A,#N/A,FALSE,"Trans Assump";#N/A,#N/A,FALSE,"Combined Income";#N/A,#N/A,FALSE,"Combined Balance"}</definedName>
    <definedName name="jh">{#N/A,#N/A,FALSE,"Assump";#N/A,#N/A,FALSE,"Income";#N/A,#N/A,FALSE,"Balance";#N/A,#N/A,FALSE,"DCF Pump";#N/A,#N/A,FALSE,"Trans Assump";#N/A,#N/A,FALSE,"Combined Income";#N/A,#N/A,FALSE,"Combined Balance"}</definedName>
    <definedName name="jhrtfyh">#REF!</definedName>
    <definedName name="ji" localSheetId="25">{"'Highlights'!$A$1:$M$123"}</definedName>
    <definedName name="ji" localSheetId="20">{"'Highlights'!$A$1:$M$123"}</definedName>
    <definedName name="ji">{"'Highlights'!$A$1:$M$123"}</definedName>
    <definedName name="jim" localSheetId="25">{"'Directory'!$A$72:$E$91"}</definedName>
    <definedName name="jim" localSheetId="20">{"'Directory'!$A$72:$E$91"}</definedName>
    <definedName name="jim">{"'Directory'!$A$72:$E$91"}</definedName>
    <definedName name="jimm" localSheetId="25">{"'Directory'!$A$72:$E$91"}</definedName>
    <definedName name="jimm" localSheetId="20">{"'Directory'!$A$72:$E$91"}</definedName>
    <definedName name="jimm">{"'Directory'!$A$72:$E$91"}</definedName>
    <definedName name="jip" localSheetId="25">{"'Highlights'!$A$1:$M$123"}</definedName>
    <definedName name="jip" localSheetId="20">{"'Highlights'!$A$1:$M$123"}</definedName>
    <definedName name="jip">{"'Highlights'!$A$1:$M$123"}</definedName>
    <definedName name="jj" localSheetId="25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 localSheetId="20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j" localSheetId="25">{"CSheet",#N/A,FALSE,"C";"SmCap",#N/A,FALSE,"VAL1";"GulfCoast",#N/A,FALSE,"VAL1";"nav",#N/A,FALSE,"NAV";"Summary",#N/A,FALSE,"NAV"}</definedName>
    <definedName name="jjj" localSheetId="20">{"CSheet",#N/A,FALSE,"C";"SmCap",#N/A,FALSE,"VAL1";"GulfCoast",#N/A,FALSE,"VAL1";"nav",#N/A,FALSE,"NAV";"Summary",#N/A,FALSE,"NAV"}</definedName>
    <definedName name="jjj">{"CSheet",#N/A,FALSE,"C";"SmCap",#N/A,FALSE,"VAL1";"GulfCoast",#N/A,FALSE,"VAL1";"nav",#N/A,FALSE,"NAV";"Summary",#N/A,FALSE,"NAV"}</definedName>
    <definedName name="jjjj" localSheetId="25">{"Total",#N/A,FALSE,"Total Proved";"PDP",#N/A,FALSE,"Total Proved";"PNP",#N/A,FALSE,"Total Proved";"PUD",#N/A,FALSE,"Total Proved"}</definedName>
    <definedName name="jjjj" localSheetId="20">{"Total",#N/A,FALSE,"Total Proved";"PDP",#N/A,FALSE,"Total Proved";"PNP",#N/A,FALSE,"Total Proved";"PUD",#N/A,FALSE,"Total Proved"}</definedName>
    <definedName name="jjjj">{"Total",#N/A,FALSE,"Total Proved";"PDP",#N/A,FALSE,"Total Proved";"PNP",#N/A,FALSE,"Total Proved";"PUD",#N/A,FALSE,"Total Proved"}</definedName>
    <definedName name="jjjjj" localSheetId="25">{"Total",#N/A,FALSE,"Total Proved + Probable";"PDP",#N/A,FALSE,"Total Proved + Probable";"PNP",#N/A,FALSE,"Total Proved + Probable";"PUD",#N/A,FALSE,"Total Proved + Probable";"Prob",#N/A,FALSE,"Total Proved + Probable"}</definedName>
    <definedName name="jjjjj" localSheetId="20">{"Total",#N/A,FALSE,"Total Proved + Probable";"PDP",#N/A,FALSE,"Total Proved + Probable";"PNP",#N/A,FALSE,"Total Proved + Probable";"PUD",#N/A,FALSE,"Total Proved + Probable";"Prob",#N/A,FALSE,"Total Proved + Probable"}</definedName>
    <definedName name="jjjjj">{"Total",#N/A,FALSE,"Total Proved + Probable";"PDP",#N/A,FALSE,"Total Proved + Probable";"PNP",#N/A,FALSE,"Total Proved + Probable";"PUD",#N/A,FALSE,"Total Proved + Probable";"Prob",#N/A,FALSE,"Total Proved + Probable"}</definedName>
    <definedName name="jjjjjj" localSheetId="25">{"trademark1",#N/A,FALSE,"Trademark(s) and Trade Name(s)"}</definedName>
    <definedName name="jjjjjj" localSheetId="20">{"trademark1",#N/A,FALSE,"Trademark(s) and Trade Name(s)"}</definedName>
    <definedName name="jjjjjj">{"trademark1",#N/A,FALSE,"Trademark(s) and Trade Name(s)"}</definedName>
    <definedName name="jjjjjjj" localSheetId="25">{"histincome",#N/A,FALSE,"hyfins";"closing balance",#N/A,FALSE,"hyfins"}</definedName>
    <definedName name="jjjjjjj" localSheetId="20">{"histincome",#N/A,FALSE,"hyfins";"closing balance",#N/A,FALSE,"hyfins"}</definedName>
    <definedName name="jjjjjjj">{"histincome",#N/A,FALSE,"hyfins";"closing balance",#N/A,FALSE,"hyfins"}</definedName>
    <definedName name="jklhjk" localSheetId="25">{#N/A,#N/A,FALSE,"Sheet1"}</definedName>
    <definedName name="jklhjk" localSheetId="20">{#N/A,#N/A,FALSE,"Sheet1"}</definedName>
    <definedName name="jklhjk">{#N/A,#N/A,FALSE,"Sheet1"}</definedName>
    <definedName name="joe" localSheetId="25">{"PrintView",#N/A,FALSE,"Cash &amp; Equiv";"PrintView",#N/A,FALSE,"Investments";"Other Assets Print View",#N/A,FALSE,"Other Assets"}</definedName>
    <definedName name="joe" localSheetId="20">{"PrintView",#N/A,FALSE,"Cash &amp; Equiv";"PrintView",#N/A,FALSE,"Investments";"Other Assets Print View",#N/A,FALSE,"Other Assets"}</definedName>
    <definedName name="joe">{"PrintView",#N/A,FALSE,"Cash &amp; Equiv";"PrintView",#N/A,FALSE,"Investments";"Other Assets Print View",#N/A,FALSE,"Other Assets"}</definedName>
    <definedName name="jop" localSheetId="25">{"bs",#N/A,FALSE,"SCF"}</definedName>
    <definedName name="jop" localSheetId="20">{"bs",#N/A,FALSE,"SCF"}</definedName>
    <definedName name="jop">{"bs",#N/A,FALSE,"SCF"}</definedName>
    <definedName name="jsfda" localSheetId="25">{"incomemth",#N/A,TRUE,"forecast00";"incomepercentmth",#N/A,TRUE,"forecast00";"balancemth",#N/A,TRUE,"forecast00";"cashmth",#N/A,TRUE,"forecast00";"covenantmth",#N/A,TRUE,"forecast00"}</definedName>
    <definedName name="jsfda" localSheetId="20">{"incomemth",#N/A,TRUE,"forecast00";"incomepercentmth",#N/A,TRUE,"forecast00";"balancemth",#N/A,TRUE,"forecast00";"cashmth",#N/A,TRUE,"forecast00";"covenantmth",#N/A,TRUE,"forecast00"}</definedName>
    <definedName name="jsfda">{"incomemth",#N/A,TRUE,"forecast00";"incomepercentmth",#N/A,TRUE,"forecast00";"balancemth",#N/A,TRUE,"forecast00";"cashmth",#N/A,TRUE,"forecast00";"covenantmth",#N/A,TRUE,"forecast00"}</definedName>
    <definedName name="ju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k" localSheetId="25">{"Total",#N/A,FALSE,"Six Fields";"PDP",#N/A,FALSE,"Six Fields";"PNP",#N/A,FALSE,"Six Fields";"PUD",#N/A,FALSE,"Six Fields";"Prob",#N/A,FALSE,"Six Fields"}</definedName>
    <definedName name="k" localSheetId="20">{"Total",#N/A,FALSE,"Six Fields";"PDP",#N/A,FALSE,"Six Fields";"PNP",#N/A,FALSE,"Six Fields";"PUD",#N/A,FALSE,"Six Fields";"Prob",#N/A,FALSE,"Six Fields"}</definedName>
    <definedName name="k">{"Total",#N/A,FALSE,"Six Fields";"PDP",#N/A,FALSE,"Six Fields";"PNP",#N/A,FALSE,"Six Fields";"PUD",#N/A,FALSE,"Six Fields";"Prob",#N/A,FALSE,"Six Fields"}</definedName>
    <definedName name="K2_WBEVMODE">-1</definedName>
    <definedName name="kay" localSheetId="25">{"bs",#N/A,FALSE,"SCF"}</definedName>
    <definedName name="kay" localSheetId="20">{"bs",#N/A,FALSE,"SCF"}</definedName>
    <definedName name="kay">{"bs",#N/A,FALSE,"SCF"}</definedName>
    <definedName name="kedar2" localSheetId="25">{"bs",#N/A,FALSE,"SCF"}</definedName>
    <definedName name="kedar2" localSheetId="20">{"bs",#N/A,FALSE,"SCF"}</definedName>
    <definedName name="kedar2">{"bs",#N/A,FALSE,"SCF"}</definedName>
    <definedName name="key">#REF!</definedName>
    <definedName name="Key1V2">#REF!</definedName>
    <definedName name="keycopr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IT" localSheetId="25">{"equity comps",#N/A,FALSE,"CS Comps";"equity comps",#N/A,FALSE,"PS Comps";"equity comps",#N/A,FALSE,"GIC_Comps";"equity comps",#N/A,FALSE,"GIC2_Comps"}</definedName>
    <definedName name="KIT" localSheetId="20">{"equity comps",#N/A,FALSE,"CS Comps";"equity comps",#N/A,FALSE,"PS Comps";"equity comps",#N/A,FALSE,"GIC_Comps";"equity comps",#N/A,FALSE,"GIC2_Comps"}</definedName>
    <definedName name="KIT">{"equity comps",#N/A,FALSE,"CS Comps";"equity comps",#N/A,FALSE,"PS Comps";"equity comps",#N/A,FALSE,"GIC_Comps";"equity comps",#N/A,FALSE,"GIC2_Comps"}</definedName>
    <definedName name="kj" localSheetId="25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 localSheetId="20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slf" localSheetId="25">{#N/A,#N/A,FALSE,"Sheet1"}</definedName>
    <definedName name="kjdslf" localSheetId="20">{#N/A,#N/A,FALSE,"Sheet1"}</definedName>
    <definedName name="kjdslf">{#N/A,#N/A,FALSE,"Sheet1"}</definedName>
    <definedName name="kk" localSheetId="25">{"Sum1",#N/A,FALSE,"Reserve Report";"Sum2",#N/A,FALSE,"Reserve Report";"Sum3",#N/A,FALSE,"Reserve Report";"Sum4",#N/A,FALSE,"Reserve Report"}</definedName>
    <definedName name="kk" localSheetId="20">{"Sum1",#N/A,FALSE,"Reserve Report";"Sum2",#N/A,FALSE,"Reserve Report";"Sum3",#N/A,FALSE,"Reserve Report";"Sum4",#N/A,FALSE,"Reserve Report"}</definedName>
    <definedName name="kk">{"Sum1",#N/A,FALSE,"Reserve Report";"Sum2",#N/A,FALSE,"Reserve Report";"Sum3",#N/A,FALSE,"Reserve Report";"Sum4",#N/A,FALSE,"Reserve Report"}</definedName>
    <definedName name="kkk" localSheetId="25">{"'下期集計（10.27迄・速報値）'!$Q$16"}</definedName>
    <definedName name="kkk" localSheetId="20">{"'下期集計（10.27迄・速報値）'!$Q$16"}</definedName>
    <definedName name="kkk">{"'下期集計（10.27迄・速報値）'!$Q$16"}</definedName>
    <definedName name="kkkkk" localSheetId="25">{#N/A,#N/A,FALSE,"Report Data";#N/A,#N/A,FALSE,"COMP POOL";#N/A,#N/A,FALSE,"COMP POOL NB95";#N/A,#N/A,FALSE,"COMP POOL NB94"}</definedName>
    <definedName name="kkkkk" localSheetId="20">{#N/A,#N/A,FALSE,"Report Data";#N/A,#N/A,FALSE,"COMP POOL";#N/A,#N/A,FALSE,"COMP POOL NB95";#N/A,#N/A,FALSE,"COMP POOL NB94"}</definedName>
    <definedName name="kkkkk">{#N/A,#N/A,FALSE,"Report Data";#N/A,#N/A,FALSE,"COMP POOL";#N/A,#N/A,FALSE,"COMP POOL NB95";#N/A,#N/A,FALSE,"COMP POOL NB94"}</definedName>
    <definedName name="kl" localSheetId="25">{"bs",#N/A,FALSE,"SCF"}</definedName>
    <definedName name="kl" localSheetId="20">{"bs",#N/A,FALSE,"SCF"}</definedName>
    <definedName name="kl">{"bs",#N/A,FALSE,"SCF"}</definedName>
    <definedName name="kol" localSheetId="25">{"away stand alones",#N/A,FALSE,"Target"}</definedName>
    <definedName name="kol" localSheetId="20">{"away stand alones",#N/A,FALSE,"Target"}</definedName>
    <definedName name="kol">{"away stand alones",#N/A,FALSE,"Target"}</definedName>
    <definedName name="kyd.ChngCell.01.">#REF!</definedName>
    <definedName name="kyd.ChngCell.02.">#REF!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List.01.">#REF!</definedName>
    <definedName name="kyd.ElementList.02.">#REF!</definedName>
    <definedName name="kyd.ElementType.01.">3</definedName>
    <definedName name="kyd.ElementType.02.">1</definedName>
    <definedName name="kyd.ItemType.01.">2</definedName>
    <definedName name="kyd.ItemType.02.">2</definedName>
    <definedName name="kyd.NumLevels.01.">999</definedName>
    <definedName name="kyd.NumLevels.02.">999</definedName>
    <definedName name="kyd.ParentName.01.">""</definedName>
    <definedName name="kyd.ParentName.02.">""</definedName>
    <definedName name="kyd.PrintParent.01.">TRUE</definedName>
    <definedName name="kyd.PrintParent.02.">TRUE</definedName>
    <definedName name="kyd.SelectString.01.">"*"</definedName>
    <definedName name="kyd.SelectString.02.">"*"</definedName>
    <definedName name="l" localSheetId="25">{#N/A,#N/A,TRUE,"Acquirer_Cases_Input";#N/A,#N/A,TRUE,"Acquirer_Input";#N/A,#N/A,TRUE,"Acquirer"}</definedName>
    <definedName name="l" localSheetId="20">{#N/A,#N/A,TRUE,"Acquirer_Cases_Input";#N/A,#N/A,TRUE,"Acquirer_Input";#N/A,#N/A,TRUE,"Acquirer"}</definedName>
    <definedName name="l">{#N/A,#N/A,TRUE,"Acquirer_Cases_Input";#N/A,#N/A,TRUE,"Acquirer_Input";#N/A,#N/A,TRUE,"Acquirer"}</definedName>
    <definedName name="LBO" localSheetId="25">{#N/A,#N/A,FALSE,"Projections";#N/A,#N/A,FALSE,"Multiples Valuation";#N/A,#N/A,FALSE,"LBO";#N/A,#N/A,FALSE,"Multiples_Sensitivity";#N/A,#N/A,FALSE,"Summary"}</definedName>
    <definedName name="LBO" localSheetId="20">{#N/A,#N/A,FALSE,"Projections";#N/A,#N/A,FALSE,"Multiples Valuation";#N/A,#N/A,FALSE,"LBO";#N/A,#N/A,FALSE,"Multiples_Sensitivity";#N/A,#N/A,FALSE,"Summary"}</definedName>
    <definedName name="LBO">{#N/A,#N/A,FALSE,"Projections";#N/A,#N/A,FALSE,"Multiples Valuation";#N/A,#N/A,FALSE,"LBO";#N/A,#N/A,FALSE,"Multiples_Sensitivity";#N/A,#N/A,FALSE,"Summary"}</definedName>
    <definedName name="lima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a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>2</definedName>
    <definedName name="ListOffset">1</definedName>
    <definedName name="lk" localSheetId="25">{"bs",#N/A,FALSE,"SCF"}</definedName>
    <definedName name="lk" localSheetId="20">{"bs",#N/A,FALSE,"SCF"}</definedName>
    <definedName name="lk">{"bs",#N/A,FALSE,"SCF"}</definedName>
    <definedName name="lkjlkj" localSheetId="25">{"Final",#N/A,FALSE,"Feb-96"}</definedName>
    <definedName name="lkjlkj" localSheetId="20">{"Final",#N/A,FALSE,"Feb-96"}</definedName>
    <definedName name="lkjlkj">{"Final",#N/A,FALSE,"Feb-96"}</definedName>
    <definedName name="ll" localSheetId="25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 localSheetId="20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l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l" localSheetId="25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 localSheetId="20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l" localSheetId="25">{#N/A,#N/A,FALSE,"SUM";#N/A,#N/A,FALSE,"Holding Cost ";#N/A,#N/A,FALSE,"2000 &amp; C3D";#N/A,#N/A,FALSE,"Disposal Costs";#N/A,#N/A,FALSE,"WIP";#N/A,#N/A,FALSE,"Fin Goods"}</definedName>
    <definedName name="lllll" localSheetId="20">{#N/A,#N/A,FALSE,"SUM";#N/A,#N/A,FALSE,"Holding Cost ";#N/A,#N/A,FALSE,"2000 &amp; C3D";#N/A,#N/A,FALSE,"Disposal Costs";#N/A,#N/A,FALSE,"WIP";#N/A,#N/A,FALSE,"Fin Goods"}</definedName>
    <definedName name="lllll">{#N/A,#N/A,FALSE,"SUM";#N/A,#N/A,FALSE,"Holding Cost ";#N/A,#N/A,FALSE,"2000 &amp; C3D";#N/A,#N/A,FALSE,"Disposal Costs";#N/A,#N/A,FALSE,"WIP";#N/A,#N/A,FALSE,"Fin Goods"}</definedName>
    <definedName name="llllll" localSheetId="25">{"revenue detail 1",#N/A,FALSE,"Revenue Detail";"revenue detail 2",#N/A,FALSE,"Revenue Detail";"revenue detail 3",#N/A,FALSE,"Revenue Detail";"revenue detail 4",#N/A,FALSE,"Revenue Detail"}</definedName>
    <definedName name="llllll" localSheetId="20">{"revenue detail 1",#N/A,FALSE,"Revenue Detail";"revenue detail 2",#N/A,FALSE,"Revenue Detail";"revenue detail 3",#N/A,FALSE,"Revenue Detail";"revenue detail 4",#N/A,FALSE,"Revenue Detail"}</definedName>
    <definedName name="llllll">{"revenue detail 1",#N/A,FALSE,"Revenue Detail";"revenue detail 2",#N/A,FALSE,"Revenue Detail";"revenue detail 3",#N/A,FALSE,"Revenue Detail";"revenue detail 4",#N/A,FALSE,"Revenue Detail"}</definedName>
    <definedName name="lllllll" localSheetId="25">{"revenue graph",#N/A,FALSE,"Revenue Graph"}</definedName>
    <definedName name="lllllll" localSheetId="20">{"revenue graph",#N/A,FALSE,"Revenue Graph"}</definedName>
    <definedName name="lllllll">{"revenue graph",#N/A,FALSE,"Revenue Graph"}</definedName>
    <definedName name="LOCAL_MYSQL_DATE_FORMAT" localSheetId="2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2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9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25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2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 localSheetId="7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23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h" localSheetId="25">{"GTI monthly IS",#N/A,FALSE,"gti";#N/A,#N/A,FALSE,"gti"}</definedName>
    <definedName name="longh" localSheetId="20">{"GTI monthly IS",#N/A,FALSE,"gti";#N/A,#N/A,FALSE,"gti"}</definedName>
    <definedName name="longh">{"GTI monthly IS",#N/A,FALSE,"gti";#N/A,#N/A,FALSE,"gti"}</definedName>
    <definedName name="m" localSheetId="25">{#N/A,#N/A,TRUE,"MAIN FT TERM";#N/A,#N/A,TRUE,"MCI  FT TERM ";#N/A,#N/A,TRUE,"OC12 EQV"}</definedName>
    <definedName name="m" localSheetId="20">{#N/A,#N/A,TRUE,"MAIN FT TERM";#N/A,#N/A,TRUE,"MCI  FT TERM ";#N/A,#N/A,TRUE,"OC12 EQV"}</definedName>
    <definedName name="m">{#N/A,#N/A,TRUE,"MAIN FT TERM";#N/A,#N/A,TRUE,"MCI  FT TERM ";#N/A,#N/A,TRUE,"OC12 EQV"}</definedName>
    <definedName name="MA" localSheetId="25">{#N/A,#N/A,FALSE,"Consol P&amp;L ";#N/A,#N/A,FALSE,"CP P&amp;L";#N/A,#N/A,FALSE,"ADS P&amp;L";#N/A,#N/A,FALSE,"Corp P&amp;L"}</definedName>
    <definedName name="MA" localSheetId="20">{#N/A,#N/A,FALSE,"Consol P&amp;L ";#N/A,#N/A,FALSE,"CP P&amp;L";#N/A,#N/A,FALSE,"ADS P&amp;L";#N/A,#N/A,FALSE,"Corp P&amp;L"}</definedName>
    <definedName name="MA">{#N/A,#N/A,FALSE,"Consol P&amp;L ";#N/A,#N/A,FALSE,"CP P&amp;L";#N/A,#N/A,FALSE,"ADS P&amp;L";#N/A,#N/A,FALSE,"Corp P&amp;L"}</definedName>
    <definedName name="March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ur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ed_prod" localSheetId="25">{#N/A,#N/A,FALSE,"Prem_Sum";#N/A,#N/A,FALSE,"Prem"}</definedName>
    <definedName name="Med_prod" localSheetId="20">{#N/A,#N/A,FALSE,"Prem_Sum";#N/A,#N/A,FALSE,"Prem"}</definedName>
    <definedName name="Med_prod">{#N/A,#N/A,FALSE,"Prem_Sum";#N/A,#N/A,FALSE,"Prem"}</definedName>
    <definedName name="Med_prod.xls" localSheetId="25">{#N/A,#N/A,FALSE,"FACTSHEETS";#N/A,#N/A,FALSE,"pump";#N/A,#N/A,FALSE,"filter"}</definedName>
    <definedName name="Med_prod.xls" localSheetId="20">{#N/A,#N/A,FALSE,"FACTSHEETS";#N/A,#N/A,FALSE,"pump";#N/A,#N/A,FALSE,"filter"}</definedName>
    <definedName name="Med_prod.xls">{#N/A,#N/A,FALSE,"FACTSHEETS";#N/A,#N/A,FALSE,"pump";#N/A,#N/A,FALSE,"filter"}</definedName>
    <definedName name="Med_products" localSheetId="25">{#N/A,#N/A,FALSE,"FACTSHEETS";#N/A,#N/A,FALSE,"pump";#N/A,#N/A,FALSE,"filter"}</definedName>
    <definedName name="Med_products" localSheetId="20">{#N/A,#N/A,FALSE,"FACTSHEETS";#N/A,#N/A,FALSE,"pump";#N/A,#N/A,FALSE,"filter"}</definedName>
    <definedName name="Med_products">{#N/A,#N/A,FALSE,"FACTSHEETS";#N/A,#N/A,FALSE,"pump";#N/A,#N/A,FALSE,"filter"}</definedName>
    <definedName name="MerrillPrintIt">#REF!</definedName>
    <definedName name="MEWarning">1</definedName>
    <definedName name="mfgr" localSheetId="25">{"PAGE 1",#N/A,FALSE,"WEST_OT"}</definedName>
    <definedName name="mfgr" localSheetId="20">{"PAGE 1",#N/A,FALSE,"WEST_OT"}</definedName>
    <definedName name="mfgr">{"PAGE 1",#N/A,FALSE,"WEST_OT"}</definedName>
    <definedName name="mfgtest" localSheetId="25">{"PAGE 1",#N/A,FALSE,"WEST_OT"}</definedName>
    <definedName name="mfgtest" localSheetId="20">{"PAGE 1",#N/A,FALSE,"WEST_OT"}</definedName>
    <definedName name="mfgtest">{"PAGE 1",#N/A,FALSE,"WEST_OT"}</definedName>
    <definedName name="mj" localSheetId="25">{#N/A,#N/A,FALSE,"Heat";#N/A,#N/A,FALSE,"DCF";#N/A,#N/A,FALSE,"LBO";#N/A,#N/A,FALSE,"A";#N/A,#N/A,FALSE,"C";#N/A,#N/A,FALSE,"impd";#N/A,#N/A,FALSE,"Accr-Dilu"}</definedName>
    <definedName name="mj" localSheetId="20">{#N/A,#N/A,FALSE,"Heat";#N/A,#N/A,FALSE,"DCF";#N/A,#N/A,FALSE,"LBO";#N/A,#N/A,FALSE,"A";#N/A,#N/A,FALSE,"C";#N/A,#N/A,FALSE,"impd";#N/A,#N/A,FALSE,"Accr-Dilu"}</definedName>
    <definedName name="mj">{#N/A,#N/A,FALSE,"Heat";#N/A,#N/A,FALSE,"DCF";#N/A,#N/A,FALSE,"LBO";#N/A,#N/A,FALSE,"A";#N/A,#N/A,FALSE,"C";#N/A,#N/A,FALSE,"impd";#N/A,#N/A,FALSE,"Accr-Dilu"}</definedName>
    <definedName name="MKK" localSheetId="25">{"'下期集計（10.27迄・速報値）'!$Q$16"}</definedName>
    <definedName name="MKK" localSheetId="20">{"'下期集計（10.27迄・速報値）'!$Q$16"}</definedName>
    <definedName name="MKK">{"'下期集計（10.27迄・速報値）'!$Q$16"}</definedName>
    <definedName name="MLNK001a80ff05c14549b6968cbe46f7b9fe">#REF!</definedName>
    <definedName name="MLNK0029a2db3fcc4eecbadadd84ea97e13e">#REF!</definedName>
    <definedName name="MLNK004a0959ac41400d82cd0b978e160b91">#REF!</definedName>
    <definedName name="MLNK0080f629ed1b41818e3b4168146b044c">#REF!</definedName>
    <definedName name="MLNK012a601c87aa4a63bb6e950c06c5dc3a">#REF!</definedName>
    <definedName name="MLNK0146247cc3134e37a5709c1007be706f">#REF!</definedName>
    <definedName name="MLNK0154a9782792405a8bed62b79de9de88">#REF!</definedName>
    <definedName name="MLNK01accadbebff4db8bbb0f8bfc77a8708">#REF!</definedName>
    <definedName name="MLNK01b1f866082e490d9d27489e01b6955b">#REF!</definedName>
    <definedName name="MLNK01c1b3ccc5704aeaa8ef94698b078894">#REF!</definedName>
    <definedName name="MLNK01c5ceaa10e24507adab41de59f80724">#REF!</definedName>
    <definedName name="MLNK01c7a4d0f64948868a40d27f2aa4d998">#REF!</definedName>
    <definedName name="MLNK01e74e1779f34329bdd3cef410ce912c">#REF!</definedName>
    <definedName name="MLNK01fcffd4dbbf41bbbd2d43e012cb91c6">#REF!</definedName>
    <definedName name="MLNK022d45756e5e4e6b8964df9c378c7002">#REF!</definedName>
    <definedName name="MLNK023e5246b2d943d6ba0268c58c1b6e84">#REF!</definedName>
    <definedName name="MLNK024d4c9e6a1341b1b1119be6ccb6f648">#REF!</definedName>
    <definedName name="MLNK02a30ffa5e8c42d888ab214449c1047d">#REF!</definedName>
    <definedName name="MLNK02bd389437cd4d8b990685811bf30dbb">#REF!</definedName>
    <definedName name="MLNK02f143f44e1f48e28fc91ebaff73d315">#REF!</definedName>
    <definedName name="MLNK02fdb8a718fa44bd9f28c343dab5ef86">#REF!</definedName>
    <definedName name="MLNK030ec4e17eb0487881db060d5a162257">#REF!</definedName>
    <definedName name="MLNK0313b527b7f54e0482750bca50f41766">#REF!</definedName>
    <definedName name="MLNK032a7ef0ea374d4c9479d0640fb77603">#REF!</definedName>
    <definedName name="MLNK03de70ec765b4556904bb17cc6e17d76">#REF!</definedName>
    <definedName name="MLNK03e3e71e40424022af7dbc1eda244c28">#REF!</definedName>
    <definedName name="MLNK046370ffb7484ea3942f5d15ebefe1bc">#REF!</definedName>
    <definedName name="MLNK049a6cdeca044f11896538ba25c72484">#REF!</definedName>
    <definedName name="MLNK04b29eb543d14b179f39cbbda1d08109">#REF!</definedName>
    <definedName name="MLNK04e8232b24f444d2a3653f138d1f593c">#REF!</definedName>
    <definedName name="MLNK05109aa1a4b2467aa894f159e7a35b92">#REF!</definedName>
    <definedName name="MLNK05e76dc6960c4f1e9185901519d70bf5">#REF!</definedName>
    <definedName name="MLNK0612231b3cf54422bcc21f378d6178ee">#REF!</definedName>
    <definedName name="MLNK0638738d6d744815824cc68d6a505f58">#REF!</definedName>
    <definedName name="MLNK0647f839cd9e4795a248d82e2fb99d47">#REF!</definedName>
    <definedName name="MLNK067230215cad4376addcce0ee2037cf8">#REF!</definedName>
    <definedName name="MLNK068aae2f8f9e4275bcaafb0beab44474">#REF!</definedName>
    <definedName name="MLNK069e0db62d8f4d178f7b11015e2bb116">#REF!</definedName>
    <definedName name="MLNK06f34e61b5304f7087931436c7639669">#REF!</definedName>
    <definedName name="MLNK06ffa43103cb4b0387928598adc2fa09">#REF!</definedName>
    <definedName name="MLNK070f7c964a3347d59211cd424510add7">#REF!</definedName>
    <definedName name="MLNK071345b37e3b4462827635b24a9526c2">#REF!</definedName>
    <definedName name="MLNK071b0a11b073406aa81763064ab52106">#REF!</definedName>
    <definedName name="MLNK0733f820f4cf4b95923670a2c8d25a0d">#REF!</definedName>
    <definedName name="MLNK075a1000068c408ea2ccf3b2ad9cb321">#REF!</definedName>
    <definedName name="MLNK0761816f6d124df585ee85ea9b345fa9">#REF!</definedName>
    <definedName name="MLNK0793f8f3070446d4a19bae88ebbce328">#REF!</definedName>
    <definedName name="MLNK079f5a73c8364fbf9b77a583095774b7">#REF!</definedName>
    <definedName name="MLNK0808c9204056405a8504762a61f5bb7c">#REF!</definedName>
    <definedName name="MLNK083f9032b5bc4c238e9d60a643145534">#REF!</definedName>
    <definedName name="MLNK0842d415e249473e9437576cfd134e4b">#REF!</definedName>
    <definedName name="MLNK0858ea2ce6934f10b4f2dbbc5e98b009">#REF!</definedName>
    <definedName name="MLNK08e808cc2ba34297992b51e10977d001">#REF!</definedName>
    <definedName name="MLNK090ceaccc12d413794a49ca2218dff13">#REF!</definedName>
    <definedName name="MLNK092ef938fe694b40b7a57828b9b9945b">#REF!</definedName>
    <definedName name="MLNK094ae2cf73854f25be3daae2785ec707">#REF!</definedName>
    <definedName name="MLNK0954c33bf5ef4bdf9aba19fe5f904926">#REF!</definedName>
    <definedName name="MLNK099d9e5926b1497a967db4b9f7ced311">#REF!</definedName>
    <definedName name="MLNK09cd7dbaa03045f89afa5948a57084bb">#REF!</definedName>
    <definedName name="MLNK09ee301443a24207a7888c268487f4fd">#REF!</definedName>
    <definedName name="MLNK0a377b42e1c24123a514d0ffc6ff85b3">#REF!</definedName>
    <definedName name="MLNK0a95c9ad26f041229889d4fff98550af">#REF!</definedName>
    <definedName name="MLNK0ad1b373f5b74c40b71d2fa3be9251d6">#REF!</definedName>
    <definedName name="MLNK0ae7f5927a054f8fa73714bb72fabb21">#REF!</definedName>
    <definedName name="MLNK0b363239dd854af3baf9bb633a72f560">#REF!</definedName>
    <definedName name="MLNK0b5ff2763f4645ef8ccf52f2f8208ef0">#REF!</definedName>
    <definedName name="MLNK0bd7e1da50d743ffa053212ca64d27dd">#REF!</definedName>
    <definedName name="MLNK0c105577c12c4068a95f4f80a12c002f">#REF!</definedName>
    <definedName name="MLNK0c40f22efb9d4a33933c9157062d6cce">#REF!</definedName>
    <definedName name="MLNK0c48bed944e9498cba5c2b08bfab86c6">#REF!</definedName>
    <definedName name="MLNK0c52eb89a0264374acc67959ae4f603f">#REF!</definedName>
    <definedName name="MLNK0c7fbc750e914592972f750f0ca5188b">#REF!</definedName>
    <definedName name="MLNK0caa629f9f1f48779101cf8af00425e3">#REF!</definedName>
    <definedName name="MLNK0ce3e734337748aea8279bbe0a46bc91">#REF!</definedName>
    <definedName name="MLNK0ce66c987ffd44a08afaca088f2b866d">#REF!</definedName>
    <definedName name="MLNK0cf5cbe10bba4d02806523ecf5a7caa0">#REF!</definedName>
    <definedName name="MLNK0d196377627e48fbbb797f385521e7c9">#REF!</definedName>
    <definedName name="MLNK0d26d33ecf6942aba1b3fcd6558f0dc0">#REF!</definedName>
    <definedName name="MLNK0d6afda4f3354bfc84bde7b2b1a233e7">#REF!</definedName>
    <definedName name="MLNK0da82c4bc2834e139e720997143fb0cb">#REF!</definedName>
    <definedName name="MLNK0dab32f843164184b6ee674d256a3c9e">#REF!</definedName>
    <definedName name="MLNK0dd155b2e6b341ccad931e7db3c33951">#REF!</definedName>
    <definedName name="MLNK0de49bfd9597493fb9147395aab54590">#REF!</definedName>
    <definedName name="MLNK0e40149d86134610bd9e0ab52d13718c">#REF!</definedName>
    <definedName name="MLNK0e73e66cc615444caf1b88cd81e76379">#REF!</definedName>
    <definedName name="MLNK0e7a1970c7c344b6a7e0895f9ab2aadd">#REF!</definedName>
    <definedName name="MLNK0e802151b2984d889f369d4a22894fa3">#REF!</definedName>
    <definedName name="MLNK0e988521518b44f8acc016b8c5142b04">#REF!</definedName>
    <definedName name="MLNK0ea8bc194f4241288f82d08c90be0821">#REF!</definedName>
    <definedName name="MLNK0ea8e2ef7b5c4b10aa34ed3e8ff41f6b">#REF!</definedName>
    <definedName name="MLNK0eb8150713ce4cd8871bed8c1141104f">#REF!</definedName>
    <definedName name="MLNK0ed0c8b560a548d0b3d7e2672924f23a">#REF!</definedName>
    <definedName name="MLNK0f3c1287ebad467fb7341ce5261f30c6">#REF!</definedName>
    <definedName name="MLNK0f6cc886f3da466090759751971bf676">#REF!</definedName>
    <definedName name="MLNK0faeaeb6ed5c4410ad610b2be7cec455">#REF!</definedName>
    <definedName name="MLNK10341875af084525a3ca6890e4d310f3">#REF!</definedName>
    <definedName name="MLNK104aee804f734992af8beb0715d3b386">#REF!</definedName>
    <definedName name="MLNK105fdc035e2c403393a12540e9601bbe">#REF!</definedName>
    <definedName name="MLNK108f367a08034676b6a6e8631227ea99">#REF!</definedName>
    <definedName name="MLNK1097254fb1b54abaacf155050feb7b85">#REF!</definedName>
    <definedName name="MLNK10cb869d5a0c47f7bd3e0507673242dc">#REF!</definedName>
    <definedName name="MLNK11aa8161fc504e0f9d2379222714c9c8">#REF!</definedName>
    <definedName name="MLNK1289e78ed9504efcabdc74a25eddbe70">#REF!</definedName>
    <definedName name="MLNK12dee047aa3f4beaafd3936e540ac18e">#REF!</definedName>
    <definedName name="MLNK13d9f7e3738248ce824895de9107feff">#REF!</definedName>
    <definedName name="MLNK142c1e8b31b041a19631a2cd87b3427c">#REF!</definedName>
    <definedName name="MLNK14e36f743f6547fe964b1154c4ea46b6">#REF!</definedName>
    <definedName name="MLNK153d1e3d7d8046c29c926ab432126477">#REF!</definedName>
    <definedName name="MLNK164990058f1a431b9398caa12031af71">#REF!</definedName>
    <definedName name="MLNK16ba6a6542744965aa852ff2866305b8">#REF!</definedName>
    <definedName name="MLNK16e85f3eb0134fdeb7310375f53ac2b3">#REF!</definedName>
    <definedName name="MLNK177a5c3941e244028e188c75a9ee82cc">#REF!</definedName>
    <definedName name="MLNK178ba5ce714442959a298451247232db">#REF!</definedName>
    <definedName name="MLNK17f134ae092e40ba8a828748d971f308">#REF!</definedName>
    <definedName name="MLNK1850ba09f0aa4ee78ca563e074bf887a">#REF!</definedName>
    <definedName name="MLNK186bb8ac60ef47cca297083b5fcad2f1">#REF!</definedName>
    <definedName name="MLNK186ef97e691449fba4d91196b9fe6ead">#REF!</definedName>
    <definedName name="MLNK187850a6f3894d11b89b4b356149b532">#REF!</definedName>
    <definedName name="MLNK18c599bf84554eac845e07acef6cc7f1">#REF!</definedName>
    <definedName name="MLNK196a78f76bfa4d5eb12c85104b574402">#REF!</definedName>
    <definedName name="MLNK1a0dfe4afc4940f08e73d2849451d28a">#REF!</definedName>
    <definedName name="MLNK1a1936eefafa43b8a4cb8f252f05e88d">#REF!</definedName>
    <definedName name="MLNK1a4530f7ff7b462b84d30e42610e3332">#REF!</definedName>
    <definedName name="MLNK1a88ef8825b144d4934a34e10540c754">#REF!</definedName>
    <definedName name="MLNK1a8a6413018049b9b9427d0c507e2e42">#REF!</definedName>
    <definedName name="MLNK1af1fd7f37c94571b7555035f20d920b">#REF!</definedName>
    <definedName name="MLNK1b33e97d01234a3fb012094d6b28a4cf">#REF!</definedName>
    <definedName name="MLNK1b43814ee97f48d78b5ef8f5c7e89726">#REF!</definedName>
    <definedName name="MLNK1b56d935131041268c36a1a69e282eef">#REF!</definedName>
    <definedName name="MLNK1b86c43398924f9c951516a9c520c2e5">#REF!</definedName>
    <definedName name="MLNK1c40490962664e8ca4e0cb4a1ab7abf0">#REF!</definedName>
    <definedName name="MLNK1c619c7774c3452e9d348c94413a707d">#REF!</definedName>
    <definedName name="MLNK1cf9af1c88ef4922ad06f0eca7c871f0">#REF!</definedName>
    <definedName name="MLNK1dbaebac199f4b30a8c42427a7685253">#REF!</definedName>
    <definedName name="MLNK1de3d00b677741c693f4b60450b0c500">#REF!</definedName>
    <definedName name="MLNK1e49079ed1f1481aab43b5d5eecc3c97">#REF!</definedName>
    <definedName name="MLNK1e60f83cd7c84422b95a4492ab79f86b">#REF!</definedName>
    <definedName name="MLNK1e6b90b2cfb1479caf9e34cfffb9284e">#REF!</definedName>
    <definedName name="MLNK1e743555964d4bbb8a6cde43baf2eff0">#REF!</definedName>
    <definedName name="MLNK1ebbfd62e1494c07a7885dea60395160">#REF!</definedName>
    <definedName name="MLNK1f53fbd0f82445d487d511a1688291b9">#REF!</definedName>
    <definedName name="MLNK1f6d06afa54546fcb51b44c94833fc53">#REF!</definedName>
    <definedName name="MLNK1fd6f9b924584427b2f67c71605bf9d1">#REF!</definedName>
    <definedName name="MLNK20067948657d405daa28e03fcaad8c19">#REF!</definedName>
    <definedName name="MLNK200cea2cfe39418aaef0ab529ea64e3b">#REF!</definedName>
    <definedName name="MLNK2043b23fdb8a435caae0de85f29646b4">#REF!</definedName>
    <definedName name="MLNK20a14aca840b49c58c617e2257f3e40f">#REF!</definedName>
    <definedName name="MLNK20edf30d6c8b4c86b7c193fb13bb05b2">#REF!</definedName>
    <definedName name="MLNK20fac060f3db4f53bb3582eabeeb0e24">#REF!</definedName>
    <definedName name="MLNK2128bcf6c91e43409f416694b2a49bbf">#REF!</definedName>
    <definedName name="MLNK21c0049c811b4420942bc61b3a2971f6">#REF!</definedName>
    <definedName name="MLNK21d78cce335a47e8ab27ec1350941ca7">#REF!</definedName>
    <definedName name="MLNK225e028d080940b7803aae26e34de15a">#REF!</definedName>
    <definedName name="MLNK22d5e78337c84bd7908175ba0e2edd94">#REF!</definedName>
    <definedName name="MLNK2315d09589f54f069a6e933168bc80e6">#REF!</definedName>
    <definedName name="MLNK237d04f6e8444037a808500007f1408e">#REF!</definedName>
    <definedName name="MLNK239c1c4bfcd0488a8c60a7812f23ba54">#REF!</definedName>
    <definedName name="MLNK24061bd9e8584c80aed6e39173670bdf">#REF!</definedName>
    <definedName name="MLNK2411e5cb7bff402d889283397d34726d">#REF!</definedName>
    <definedName name="MLNK2429fb1b788b47129fe97137a029866e">#REF!</definedName>
    <definedName name="MLNK24382ac55747434cbe84f45dcfb87558">#REF!</definedName>
    <definedName name="MLNK2455aebbf9a441299f2145fd061dc24f">#REF!</definedName>
    <definedName name="MLNK246abac262ac47d38ff014518367adf5">#REF!</definedName>
    <definedName name="MLNK24b44ca607684079a22e4d7b865fac8a">#REF!</definedName>
    <definedName name="MLNK251d306e36914e41bf122dd91457f08e">#REF!</definedName>
    <definedName name="MLNK2528746ca89948dfb79456ffee8ab3f8">#REF!</definedName>
    <definedName name="MLNK260482138bb7457098508242aa1a4eca">#REF!</definedName>
    <definedName name="MLNK26a4f2fd37864222bc1bf6d3f0b1905c">#REF!</definedName>
    <definedName name="MLNK2789e4b38b7f46b69b9d4766b0bc429b">#REF!</definedName>
    <definedName name="MLNK281db84a92d04d14b5c909fcbfdc4ca0">#REF!</definedName>
    <definedName name="MLNK282f82a9d41944b4b1124f2558062d53">#REF!</definedName>
    <definedName name="MLNK28604eb6b95044ffb26ed1a11c9f636a">#REF!</definedName>
    <definedName name="MLNK288a543751284cec9a0e58c2b39a6780">#REF!</definedName>
    <definedName name="MLNK28b0efc6b72f430491fb5464bff974ed">#REF!</definedName>
    <definedName name="MLNK28d7772f206a4e45b255351fa0e195a8">#REF!</definedName>
    <definedName name="MLNK2935eee0aaee42dba30577ebb540f22f">#REF!</definedName>
    <definedName name="MLNK29906730f9ba443db04b9d1a41c37575">#REF!</definedName>
    <definedName name="MLNK29b2bb1aa9bf45749e13e66d755fdd6b">#REF!</definedName>
    <definedName name="MLNK2a2eb5b2f28d41ed9d98b6884d8e28c6">#REF!</definedName>
    <definedName name="MLNK2a7da34465b3497c9cc27baaf7ba74a7">#REF!</definedName>
    <definedName name="MLNK2b22fd3110794f1c8d4757cfd586e683">#REF!</definedName>
    <definedName name="MLNK2b9149c4a06640ada2c37fb49eaca1a2">#REF!</definedName>
    <definedName name="MLNK2b9f2cc7fde3462daa10be72138db961">#REF!</definedName>
    <definedName name="MLNK2bdf8dc186634fec8d84ebde44594410">#REF!</definedName>
    <definedName name="MLNK2bf750094a3640f9a3780d6afe542b76">#REF!</definedName>
    <definedName name="MLNK2bfd0b75c2bf4f0bac45103f2dffc4db">#REF!</definedName>
    <definedName name="MLNK2c75576617b2482698f3581c56ec2fae">#REF!</definedName>
    <definedName name="MLNK2da09f23c5b949f290e743e533ecd5ef">#REF!</definedName>
    <definedName name="MLNK2de2a48b620b4e4fbac5812f62d83186">#REF!</definedName>
    <definedName name="MLNK2e08472118e948e5b7c9c97aa6290406">#REF!</definedName>
    <definedName name="MLNK2e897cc32ecd41368a70295d9ef6ad33">#REF!</definedName>
    <definedName name="MLNK2eaeed4539ad4f4b9cbbf43e4ed28afb">#REF!</definedName>
    <definedName name="MLNK2f0f016eefbb4db68c9e897c2e3499f8">#REF!</definedName>
    <definedName name="MLNK2f8ea2f8b6974b6482e68ea862d9d108">#REF!</definedName>
    <definedName name="MLNK2f9179d73806428bb4e720043652dc87">#REF!</definedName>
    <definedName name="MLNK2fa869fa0ba54addb8f8f38ace7c87c4">#REF!</definedName>
    <definedName name="MLNK2fdb8d612fc947468bbcd744585a761b">#REF!</definedName>
    <definedName name="MLNK300525c6f10141d593602a72940f6e14">#REF!</definedName>
    <definedName name="MLNK3061450bfd7044989588564d8ad9b988">#REF!</definedName>
    <definedName name="MLNK308c9e56529b4852a1df350f7283bb84">#REF!</definedName>
    <definedName name="MLNK3099246381034553ab1763ee1399f727">#REF!</definedName>
    <definedName name="MLNK30c53cb0e6fd46c39173cd882490e169">#REF!</definedName>
    <definedName name="MLNK30cc8baccc10475aa2ff89e711244eae">#REF!</definedName>
    <definedName name="MLNK311e0e3a1a84497dba3d1fab1eec99a2">#REF!</definedName>
    <definedName name="MLNK31fc18691ac44fe196bd7ff49e8f3b69">#REF!</definedName>
    <definedName name="MLNK31fce08da23c4592a86b67468930385d">#REF!</definedName>
    <definedName name="MLNK326a4919306343a1ab82a360dfe1b943">#REF!</definedName>
    <definedName name="MLNK328fd440e9524b0ba828fd37ab4c8ea0">#REF!</definedName>
    <definedName name="MLNK32dce6af1c574afa98aac16107bbfd46">#REF!</definedName>
    <definedName name="MLNK332af91dccae4f9cb602b07b841a95b3">#REF!</definedName>
    <definedName name="MLNK339db016e33e4fa58634925a6ad9438f">#REF!</definedName>
    <definedName name="MLNK339e5f9789894cc8b1803027ca109f2e">#REF!</definedName>
    <definedName name="MLNK340361f3aa004facab7bac511a743b1f">#REF!</definedName>
    <definedName name="MLNK342e3f6d277b4110a6d2821dff9b34fc">#REF!</definedName>
    <definedName name="MLNK34332aac43b54dee93c40f73b5fc3ba6">#REF!</definedName>
    <definedName name="MLNK344f08a48de14e3eb8a3aab8ccb18301">#REF!</definedName>
    <definedName name="MLNK348f44a552a540078282a10d6ac1b186">#REF!</definedName>
    <definedName name="MLNK349d12034f93433fabbcf2d7599d6e4a">#REF!</definedName>
    <definedName name="MLNK34e3e0364e7b455996c004eee5501acd">#REF!</definedName>
    <definedName name="MLNK35459868630e41c0a7cd4448fbf94924">#REF!</definedName>
    <definedName name="MLNK35d6aa00d3464bdebc972bd7b4adc50a">#REF!</definedName>
    <definedName name="MLNK36a0eb6e245142a8b86a5050162573e0">#REF!</definedName>
    <definedName name="MLNK370321de8e4f42abaf006deb4a704e72">#REF!</definedName>
    <definedName name="MLNK3707eca45256404aac92cec6d40c5bfb">#REF!</definedName>
    <definedName name="MLNK37160acaaf704b628bc0ad174ed738e4">#REF!</definedName>
    <definedName name="MLNK372049ec9d45496c9773693749288f7c">#REF!</definedName>
    <definedName name="MLNK372abd0aff0e4ac8b0c9521d48bcc39c">#REF!</definedName>
    <definedName name="MLNK383e435ce9f444f9959820f25cd226a1">#REF!</definedName>
    <definedName name="MLNK384a12934a284d7a9c70760d85610f5e">#REF!</definedName>
    <definedName name="MLNK391e1592f34f4e6b8f65ec6da2d64a6d">#REF!</definedName>
    <definedName name="MLNK39a06ab1e6aa4f5296d31dd2dd616600">#REF!</definedName>
    <definedName name="MLNK39a2a898dad148739170f220d440f83b">#REF!</definedName>
    <definedName name="MLNK3b3287447a644d67bd6425c5c1b81e5c">#REF!</definedName>
    <definedName name="MLNK3b5cf33141fc47289bdf490a14302e8e">#REF!</definedName>
    <definedName name="MLNK3b9fb3a9165443f68788b0197aad80e5">#REF!</definedName>
    <definedName name="MLNK3bbf463efb92434392c6d607f9e86527">#REF!</definedName>
    <definedName name="MLNK3bd7c0e5924841f2ad9ef2b0653da3d7">#REF!</definedName>
    <definedName name="MLNK3c594e3686c1417fa251abb6a654f583">#REF!</definedName>
    <definedName name="MLNK3cb4e868d25743c29fbbe076f7f82915">#REF!</definedName>
    <definedName name="MLNK3cb7a153ab454934961a077319d3aac2">#REF!</definedName>
    <definedName name="MLNK3d49d1215d264eb58f9e1a3863434ff7">#REF!</definedName>
    <definedName name="MLNK3d82fba1c532431c9f9d70f99e5fcdd4">#REF!</definedName>
    <definedName name="MLNK3dbcb0be00ae4453976661dd1617f70a">#REF!</definedName>
    <definedName name="MLNK3e6f96ef26944aa7af6f072c8c7ed5e5">#REF!</definedName>
    <definedName name="MLNK40137eb3d2ae4fe5b80826272388b74d">#REF!</definedName>
    <definedName name="MLNK407b0748935f44eda48b435f435e67c7">#REF!</definedName>
    <definedName name="MLNK40eaf1033aeb4c62b173a9c4fb3aaf25">#REF!</definedName>
    <definedName name="MLNK4135837227e643af9acaa2ca9088984e">#REF!</definedName>
    <definedName name="MLNK413f69eccdd54337a4c08ea1b9101124">#REF!</definedName>
    <definedName name="MLNK415df2c666ec4accbdd92f86fd9d1992">#REF!</definedName>
    <definedName name="MLNK427f58bcbf6e4199bc722ab556d5fe84">#REF!</definedName>
    <definedName name="MLNK432273d43fe14ee9a1e5c47a692e645f">#REF!</definedName>
    <definedName name="MLNK433407f4e86e4fd2b5c5ff37e75f419f">#REF!</definedName>
    <definedName name="MLNK4342a35132f9411c9e6c5724700ad7e2">#REF!</definedName>
    <definedName name="MLNK4345bf5a869048b086c0fe54dca923d2">#REF!</definedName>
    <definedName name="MLNK4399cdae22ea4315aa0aaf973d16a716">#REF!</definedName>
    <definedName name="MLNK43f5ad25ad0e4482bfc3f6401216c4d5">#REF!</definedName>
    <definedName name="MLNK43f8b6952ac24e47ba9f0be1d03fffc9">#REF!</definedName>
    <definedName name="MLNK44e3a2d31f5e4727966c7d538de7d52b">#REF!</definedName>
    <definedName name="MLNK453a8aaa7aef4c16a9805aedc7fde307">#REF!</definedName>
    <definedName name="MLNK4586aee921e540319c4230df51920cb5">#REF!</definedName>
    <definedName name="MLNK45e521f879084d7ca0fc10f683b08aee">#REF!</definedName>
    <definedName name="MLNK45e6ec245af0452ea474716a660b3d61">#REF!</definedName>
    <definedName name="MLNK46120b4845c14fada7df6c9954e31cc4">#REF!</definedName>
    <definedName name="MLNK4658c580a224432eb80f943a7241bb05">#REF!</definedName>
    <definedName name="MLNK465ed50b393240f0bc895eb259a95267">#REF!</definedName>
    <definedName name="MLNK46757ad32c7644a39e75ef0376ebdf86">#REF!</definedName>
    <definedName name="MLNK468ce8660ac3422091a12950e39f7f0c">#REF!</definedName>
    <definedName name="MLNK46ac712039c14ebabe61431bb9556b7e">#REF!</definedName>
    <definedName name="MLNK46f8c177a6354a10a909f28bca4e53ea">#REF!</definedName>
    <definedName name="MLNK47519572e0ec487287a2968338e94d8b">#REF!</definedName>
    <definedName name="MLNK479bc61a53514e77810a2ac220305049">#REF!</definedName>
    <definedName name="MLNK47a3bd0c4d2e4bf0b38af6c9bbf898dc">#REF!</definedName>
    <definedName name="MLNK482094e9072b4bd9bd658fe1822f3cf1">#REF!</definedName>
    <definedName name="MLNK492bee5d7baf44e3a37f2a022a73fd76">#REF!</definedName>
    <definedName name="MLNK49d1217ec34a4979bba2efd528376dca">#REF!</definedName>
    <definedName name="MLNK49f5392899ef40cb85e53f1ea2c500a6">#REF!</definedName>
    <definedName name="MLNK4b2799fc501b4a1aa3fecf9e1dce9e24">#REF!</definedName>
    <definedName name="MLNK4b399e2f0e5f41e08bc1505fddd6feed">#REF!</definedName>
    <definedName name="MLNK4b6deb91c8d94b76ad4e7d34f1520a7a">#REF!</definedName>
    <definedName name="MLNK4b6f5d58615c42b0a484018fedc3ad1c">#REF!</definedName>
    <definedName name="MLNK4c5893de0c6b411dbecc625423767105">#REF!</definedName>
    <definedName name="MLNK4c92e2693961479ca9178be4bfea1401">#REF!</definedName>
    <definedName name="MLNK4d30c65824be4a41a633b26131c2b192">#REF!</definedName>
    <definedName name="MLNK4d4368c2fb29476d84b074219fca3645">#REF!</definedName>
    <definedName name="MLNK4d65cd3fd64f46a4a75c63dfee58f85d">#REF!</definedName>
    <definedName name="MLNK4dd5380cad0f4ae89b5a51900b766bc0">#REF!</definedName>
    <definedName name="MLNK4f37261b9ecc4dbdb97cf6b3af08ff16">#REF!</definedName>
    <definedName name="MLNK4f51b33387844e998f69b4e715a9e606">#REF!</definedName>
    <definedName name="MLNK4ff446ea21b640db83797d8dc152ffab">#REF!</definedName>
    <definedName name="MLNK4ff8572370fe4f15bb47aab28d8f8bd2">#REF!</definedName>
    <definedName name="MLNK5022e304572c46cd940c97fef362cf41">#REF!</definedName>
    <definedName name="MLNK5058624f76284d668101194a44285ee6">#REF!</definedName>
    <definedName name="MLNK506e3ab54e724e9c89f097bb1ab6df80">#REF!</definedName>
    <definedName name="MLNK5112a914e03b44b5b642f2dc4cd88c4d">#REF!</definedName>
    <definedName name="MLNK5144749db37348199928f12213c7c66e">#REF!</definedName>
    <definedName name="MLNK5153eb9a6efe450ab0f74bb6ee94322c">#REF!</definedName>
    <definedName name="MLNK515e38f5393c4ba1921677f0ced69cdb">#REF!</definedName>
    <definedName name="MLNK5174d69f057849e4a042282e9e2296c0">#REF!</definedName>
    <definedName name="MLNK517e4b51d02947e3ba0594260ba0d45e">#REF!</definedName>
    <definedName name="MLNK519de93bf78f47a1891887d3e149a825">#REF!</definedName>
    <definedName name="MLNK51b9322b297e42f98857a44ab5909471">#REF!</definedName>
    <definedName name="MLNK52215100950345f7ac4fb1cf09422517">#REF!</definedName>
    <definedName name="MLNK523938909daa4113b5389f7f3367a70b">#REF!</definedName>
    <definedName name="MLNK5243b4869cf342d98e8ba29fa17c0b60">#REF!</definedName>
    <definedName name="MLNK52622e2fd25943f9b38cacc978394d03">#REF!</definedName>
    <definedName name="MLNK52923a577919421b9bb69d18fc5d66de">#REF!</definedName>
    <definedName name="MLNK52d88a9049f34beea6c2bd46c139c15e">#REF!</definedName>
    <definedName name="MLNK52dfc42163a24e15a3b3ffc54e1dce17">#REF!</definedName>
    <definedName name="MLNK52fb39cf081d4806b16909d9eb363c98">#REF!</definedName>
    <definedName name="MLNK5323f2bc55a04b0f908e21fe00af67e6">#REF!</definedName>
    <definedName name="MLNK534adbd662a6456f83ed0c1c39c87fbb">#REF!</definedName>
    <definedName name="MLNK53630e5bed204c5589360f9b24a140af">#REF!</definedName>
    <definedName name="MLNK5396b3f096794ec392a4d747f245981f">#REF!</definedName>
    <definedName name="MLNK53d7b0caaed146078091740cc893b8f1">#REF!</definedName>
    <definedName name="MLNK540009530c974479b128fdaaec98b51d">#REF!</definedName>
    <definedName name="MLNK5427b219985343eb844cf7ee5f64e601">#REF!</definedName>
    <definedName name="MLNK5488eaac1d064fceb74e71512b1be4e2">#REF!</definedName>
    <definedName name="MLNK5504a03a15d443e8985512713de6c01c">#REF!</definedName>
    <definedName name="MLNK555bce0a00624ad1b15ef496ba195be1">#REF!</definedName>
    <definedName name="MLNK5590f6cba0f0457a8222fc14a2ca98da">#REF!</definedName>
    <definedName name="MLNK55ad1f9073064640b409adffd2cb8165">#REF!</definedName>
    <definedName name="MLNK56df14b7b30943c1b85636cf03218603">#REF!</definedName>
    <definedName name="MLNK57982bf85a794c8aa525e7ac6e60b0f6">#REF!</definedName>
    <definedName name="MLNK586d0bb520b840d5b2d9f87bc89b9dad">#REF!</definedName>
    <definedName name="MLNK58b9ee432b5d4da3bf936adb1c9b2c3a">#REF!</definedName>
    <definedName name="MLNK58ede9999bda47e9bd9e9d28d2ab61e0">#REF!</definedName>
    <definedName name="MLNK5946d7acb0c54ff1b98626b97c51f8f8">#REF!</definedName>
    <definedName name="MLNK594c21c0287749de92e37cf114847173">#REF!</definedName>
    <definedName name="MLNK596365a0066d4aeb967d6d36a6736762">#REF!</definedName>
    <definedName name="MLNK59a213ff0dc04323853195654bed4fe2">#REF!</definedName>
    <definedName name="MLNK59dc78129dad41daadddb4e2d3443158">#REF!</definedName>
    <definedName name="MLNK5a060de93e884fb58dc5011c81171135">#REF!</definedName>
    <definedName name="MLNK5a27ffafa3fc41a181eeabd5f4112c04">#REF!</definedName>
    <definedName name="MLNK5a72b3eded524719b5746b0b14f3b6c4">#REF!</definedName>
    <definedName name="MLNK5b2e60d5d7b64311989b93eb34d45176">#REF!</definedName>
    <definedName name="MLNK5b2f68d714724a7b9b02126821c61413">#REF!</definedName>
    <definedName name="MLNK5b30e6ec30184528a991264334b66e38">#REF!</definedName>
    <definedName name="MLNK5b5905e52d9e40b284e9ac9ffbaf90a0">#REF!</definedName>
    <definedName name="MLNK5c433bc2bff143cf971a50e9def7025b">#REF!</definedName>
    <definedName name="MLNK5c6351df31384542b195835faacc31c1">#REF!</definedName>
    <definedName name="MLNK5c9e514150424ee69d66bae762cf6c4f">#REF!</definedName>
    <definedName name="MLNK5cabb8dcbb15437f8e0eb9dd5f1b985a">#REF!</definedName>
    <definedName name="MLNK5cfa7a3874094ffb8ed420dda53d0579">#REF!</definedName>
    <definedName name="MLNK5d64853982e94e3db2cf55ba57c8ee21">#REF!</definedName>
    <definedName name="MLNK5db0a98a21f14cce8a60ab462240779c">#REF!</definedName>
    <definedName name="MLNK5e0db2adcb794df5ac016bb1c795f8b4">#REF!</definedName>
    <definedName name="MLNK5e3d26b9b9a84ddca7455fd7f7145399">#REF!</definedName>
    <definedName name="MLNK5e5fc4f1516345b6af18940a03d9cafe">#REF!</definedName>
    <definedName name="MLNK5e857408172044d287c568a5075ee9a5">#REF!</definedName>
    <definedName name="MLNK5e92a53576ba4ef48f6748ca5ef64411">#REF!</definedName>
    <definedName name="MLNK5ea02ac23f6d4fd383f5d5a7eecdd744">#REF!</definedName>
    <definedName name="MLNK5ea734fd650e44128a317394f222e324">#REF!</definedName>
    <definedName name="MLNK5eb0c621b872471da685bdf9ef40aa0a">#REF!</definedName>
    <definedName name="MLNK5eeb63978e314c049583c327ee5279a3">#REF!</definedName>
    <definedName name="MLNK5f48a83efdae4ed8826196cf51d5bc9a">#REF!</definedName>
    <definedName name="MLNK5f7445f0198c4c72b45ca3c4d7b5d246">#REF!</definedName>
    <definedName name="MLNK5fa30aa39eec423ca217bcb8c12226cb">#REF!</definedName>
    <definedName name="MLNK5fb96af2b2cb4108b4f56b56c5bb0cee">#REF!</definedName>
    <definedName name="MLNK5fcc7913344e4b7690421cfaaee9a4f8">#REF!</definedName>
    <definedName name="MLNK5fd76e0369fb431e94268b472ef5af82">#REF!</definedName>
    <definedName name="MLNK6066c234cd3544f3847f8be4eacea21a">#REF!</definedName>
    <definedName name="MLNK6095d4a5f30c4b068b2524487523e5b5">#REF!</definedName>
    <definedName name="MLNK60b591b4001a4f6d909345acd30e33cf">#REF!</definedName>
    <definedName name="MLNK60d197bccf8e4c4394da0da49d1def7d">#REF!</definedName>
    <definedName name="MLNK610741c6918041808e7d7c93aaa96979">#REF!</definedName>
    <definedName name="MLNK61201e0fd4504f1a8c85e6233279a4e9">#REF!</definedName>
    <definedName name="MLNK61cd9d4c901e4e82b2bb513f9cde7813">#REF!</definedName>
    <definedName name="MLNK62177c39b8d841b898da9e68f79f1349">#REF!</definedName>
    <definedName name="MLNK6297992188924e10b7332c1b99221e4a">#REF!</definedName>
    <definedName name="MLNK62c6c770778040fe91d4ce1cc1aa3bad">#REF!</definedName>
    <definedName name="MLNK62e9b43c74254741a96c7c08aeff91d8">#REF!</definedName>
    <definedName name="MLNK62f309b00600435db44a8ef653b2da04">#REF!</definedName>
    <definedName name="MLNK6355ef8a976b43bfb1ad2d07e78d3330">#REF!</definedName>
    <definedName name="MLNK635bee11a1824ba4bd2db7c63bf33d14">#REF!</definedName>
    <definedName name="MLNK63bc82a0f53a46b8b6437a9dc65ccb4f">#REF!</definedName>
    <definedName name="MLNK63d456bc947840bfb7e7373cd8ab9994">#REF!</definedName>
    <definedName name="MLNK63ee547546d144b199e15dbb06675846">#REF!</definedName>
    <definedName name="MLNK6429455a706741b99dcc3ad1ccb404c8">#REF!</definedName>
    <definedName name="MLNK644b676c85b449c6826a8dc93f8070df">#REF!</definedName>
    <definedName name="MLNK644dcf1bf52f417aa716184cf0fd8bd8">#REF!</definedName>
    <definedName name="MLNK64a4bf567a764032aa1007aadbd09ff2">#REF!</definedName>
    <definedName name="MLNK64ce728235bf4533ae2a6733f203c368">#REF!</definedName>
    <definedName name="MLNK65141bc1223e4d279add91fcec469831">#REF!</definedName>
    <definedName name="MLNK6579549cbefc4d6b9e1572480592f7e7">#REF!</definedName>
    <definedName name="MLNK6585e33c2370413bbf68a4712e26c9fd">#REF!</definedName>
    <definedName name="MLNK65c71766418d4694bd6032beb15991d8">#REF!</definedName>
    <definedName name="MLNK65d397fb486b4fa68788010856397ff3">#REF!</definedName>
    <definedName name="MLNK663d3150a282474aa25d50a01adef9a2">#REF!</definedName>
    <definedName name="MLNK66631ca042ff4695b6c4e1f43a29df7f">#REF!</definedName>
    <definedName name="MLNK6691aef3d4d84c1d858d75d773fa7a81">#REF!</definedName>
    <definedName name="MLNK66bae34447b844cc80aae78b3116bb67">#REF!</definedName>
    <definedName name="MLNK66d40a0f09914585ae88988f0cd8f2a8">#REF!</definedName>
    <definedName name="MLNK66f59d6951cd454aa338999d51cdb398">#REF!</definedName>
    <definedName name="MLNK678b903b7eb04cf38383dc3e26fe2330">#REF!</definedName>
    <definedName name="MLNK678ca70bb7df4803ab1d660f38b700ae">#REF!</definedName>
    <definedName name="MLNK679e22ef6b334a10b30277f3c3dfb283">#REF!</definedName>
    <definedName name="MLNK68773e46d1504654be5b3fee881ae950">#REF!</definedName>
    <definedName name="MLNK688d691807224a78a76de9b4b3d81713">#REF!</definedName>
    <definedName name="MLNK689454874f9344b3a3b97cfe127a3080">#REF!</definedName>
    <definedName name="MLNK6966108912cc465b865058aa1f369ef8">#REF!</definedName>
    <definedName name="MLNK69b5bac49e1b459a978447ebd6a321a7">#REF!</definedName>
    <definedName name="MLNK6a21a893bea24a21b0e12b45a89de6de">#REF!</definedName>
    <definedName name="MLNK6a4023ae88d0498ab1e29c6ab049f63f">#REF!</definedName>
    <definedName name="MLNK6a744b0890e9474b8c1528a0fda567a5">#REF!</definedName>
    <definedName name="MLNK6a7f67b85e5a47f292395eb7231ae747">#REF!</definedName>
    <definedName name="MLNK6ab919f6030148729f6de57da8de0c54">#REF!</definedName>
    <definedName name="MLNK6abd4d675d1b43c8ab68f02bc28e2301">#REF!</definedName>
    <definedName name="MLNK6ac08b583e5444f288e54a7b4b1768b8">#REF!</definedName>
    <definedName name="MLNK6b5b3f4ac7f64865930057f5cf2f919a">#REF!</definedName>
    <definedName name="MLNK6b76f5d033574b0fa92dc4f6e86de63d">#REF!</definedName>
    <definedName name="MLNK6becf9a830444e728a88cda3906352aa">#REF!</definedName>
    <definedName name="MLNK6ca3d19ca352426280ed226f5ee897cf">#REF!</definedName>
    <definedName name="MLNK6d1420e4403a4d4d98a43a30e0903c15">#REF!</definedName>
    <definedName name="MLNK6d4d614547a04ccc8d122cdf30f25a19">#REF!</definedName>
    <definedName name="MLNK6dafe59d938f4663a75ca0727877fad0">#REF!</definedName>
    <definedName name="MLNK6e154079eeb7451a8cbaccee27434421">#REF!</definedName>
    <definedName name="MLNK6e30d0a1f7d34e27991961eceec4a45a">#REF!</definedName>
    <definedName name="MLNK6ea964c653f74013a6e9ae07ca782606">#REF!</definedName>
    <definedName name="MLNK6ec3f29bc6e0474998ea25fecdc7e1f4">#REF!</definedName>
    <definedName name="MLNK6f11c95ca2234275a64be7e5a9893474">#REF!</definedName>
    <definedName name="MLNK6f3a752cf9a641dcabe08adefccd967f">#REF!</definedName>
    <definedName name="MLNK6fc2199e7160468ea6283f202e1b206e">#REF!</definedName>
    <definedName name="MLNK6ff6768252744844943fc133d0bc9a91">#REF!</definedName>
    <definedName name="MLNK701e16dea6c94f77ad7c4a227437ee98">#REF!</definedName>
    <definedName name="MLNK7034f501682043b29d7d55ed3acf1bbb">#REF!</definedName>
    <definedName name="MLNK70377839452e4f538165fc304845a919">#REF!</definedName>
    <definedName name="MLNK7074e1cbc1804f5494fac91ae11f42ef">#REF!</definedName>
    <definedName name="MLNK7103eb4f64694ac089092067afa57978">#REF!</definedName>
    <definedName name="MLNK71a688e094e34f13afd4367e56eb6955">#REF!</definedName>
    <definedName name="MLNK722d4f7697df412aa9c10dbc8b7b2f98">#REF!</definedName>
    <definedName name="MLNK723b396db9da4b4d947b2e397736fbb5">#REF!</definedName>
    <definedName name="MLNK725819b8362d45c2838b428ce4903aeb">#REF!</definedName>
    <definedName name="MLNK7267aa86c9e34fd091582ed993b31216">#REF!</definedName>
    <definedName name="MLNK729654a20192478ca86ec0178295d08c">#REF!</definedName>
    <definedName name="MLNK7355383a90b8412092281bae261d6baf">#REF!</definedName>
    <definedName name="MLNK736b06d8710a4fbf961591216781fd31">#REF!</definedName>
    <definedName name="MLNK739e808611f34b2ebb58dc112373a0fd">#REF!</definedName>
    <definedName name="MLNK73a064e6339047e39c8ae940385a7b93">#REF!</definedName>
    <definedName name="MLNK73b5c7b3edcb4c10ab994a0d2374e79d">#REF!</definedName>
    <definedName name="MLNK73beeb3b6c6c43f7891cf388cc654185">#REF!</definedName>
    <definedName name="MLNK73d0371ef4e44defbd56d6e2512e7fe3">#REF!</definedName>
    <definedName name="MLNK73d422329a194ad687ace8afe5e22dd1">#REF!</definedName>
    <definedName name="MLNK744582e7439149c6a153946907e12d91">#REF!</definedName>
    <definedName name="MLNK748b4f26e4cb4e0094d84509f9e6d3a7">#REF!</definedName>
    <definedName name="MLNK74f043bcdb354d52aca2760af957511e">#REF!</definedName>
    <definedName name="MLNK74fddfbd8d0e4b55a99f04176335431e">#REF!</definedName>
    <definedName name="MLNK755938f2d24046a6964c1d8e53acbba4">#REF!</definedName>
    <definedName name="MLNK75a73f5b7a3c4473931bed31acedb3d4">#REF!</definedName>
    <definedName name="MLNK76088c05984c4b239bbbe80286091d0c">#REF!</definedName>
    <definedName name="MLNK76096c60638340928ee538819b82a413">#REF!</definedName>
    <definedName name="MLNK761d41ea16a74a9fa51c356b3dc6a0c4">#REF!</definedName>
    <definedName name="MLNK76600395d5834fa6ae752ceb5c579a30">#REF!</definedName>
    <definedName name="MLNK7683a447903e48c8b7776e039822822b">#REF!</definedName>
    <definedName name="MLNK7685aac246764ccba64f60cf6cd988f4">#REF!</definedName>
    <definedName name="MLNK76bd1ee4a2d045ea9b58c42c3510f247">#REF!</definedName>
    <definedName name="MLNK76fab2f7fe074a458c3c06934b932af0">#REF!</definedName>
    <definedName name="MLNK77977489cb484d0e98863867c0afc425">#REF!</definedName>
    <definedName name="MLNK77a600fc870d470a989be9f60f66954c">#REF!</definedName>
    <definedName name="MLNK780193d077bb4cf98ddb4f838e099db7">#REF!</definedName>
    <definedName name="MLNK7812aa6760374fdd9eca2e6083ce8682">#REF!</definedName>
    <definedName name="MLNK78710c19737146a7a0299aa1c9cad920">#REF!</definedName>
    <definedName name="MLNK78b7417ba5e947f4a376cd01f287eb09">#REF!</definedName>
    <definedName name="MLNK78beda1a73364725a75937e8205480c1">#REF!</definedName>
    <definedName name="MLNK78c3fb4d160e4976806c74888f980ad6">#REF!</definedName>
    <definedName name="MLNK78f589d55a974aefb6e38189837131c9">#REF!</definedName>
    <definedName name="MLNK7903d1a1649447498828e91df505d781">#REF!</definedName>
    <definedName name="MLNK794a7ff7f0d34a458ca2ba95fe41531a">#REF!</definedName>
    <definedName name="MLNK797abaf7d30047c28f549b9f33bd5558">#REF!</definedName>
    <definedName name="MLNK797fcebf443a497889da61883b87681b">#REF!</definedName>
    <definedName name="MLNK798998fffd5f4699a82fc44f5da3b4e8">#REF!</definedName>
    <definedName name="MLNK79afc8ac32d24cef9bf9d7f7a7cf7fe5">#REF!</definedName>
    <definedName name="MLNK7a31c64da9e44d8184a1da2065032f93">#REF!</definedName>
    <definedName name="MLNK7ad5fbcb80c44abebe235626b5658e5e">#REF!</definedName>
    <definedName name="MLNK7aed5c42c16d41dfa0d09b7613da3420">#REF!</definedName>
    <definedName name="MLNK7af578b3bcde4e6cad9b137d80e5e5cc">#REF!</definedName>
    <definedName name="MLNK7af73d6e1a0944daa47edc5ee7861b7f">#REF!</definedName>
    <definedName name="MLNK7b09b753e4fd4bdbb89cdd643d89c349">#REF!</definedName>
    <definedName name="MLNK7c086b84c29547ba8ffe5fd5bc67bf30">#REF!</definedName>
    <definedName name="MLNK7c593407091b4ae4a4d00396ac5449c8">#REF!</definedName>
    <definedName name="MLNK7c59d6f17a3a44c281ec6c2c2c38459c">#REF!</definedName>
    <definedName name="MLNK7c76ca01b5b94316bc191c59b9ba9fe0">#REF!</definedName>
    <definedName name="MLNK7cd84b90a4174316931f08c4d566debf">#REF!</definedName>
    <definedName name="MLNK7d16f0490ad54246a24bab3d22418148">#REF!</definedName>
    <definedName name="MLNK7d4272a3e78147e9804cc4f836b7eb3b">#REF!</definedName>
    <definedName name="MLNK7d4dd1e8ccf54b6ca12ef8f489d6166c">#REF!</definedName>
    <definedName name="MLNK7e390d4b85a14cc383c6a6818c4e1526">#REF!</definedName>
    <definedName name="MLNK7ed54f3f454e43c8aff3dbf8371e092f">#REF!</definedName>
    <definedName name="MLNK7ef4f8bc40684da284b3181a4c100c03">#REF!</definedName>
    <definedName name="MLNK7f0816930f3d40f485854cf4541a242e">#REF!</definedName>
    <definedName name="MLNK7f29de6aa6e84d22b44afad186bbb127">#REF!</definedName>
    <definedName name="MLNK7f43f19c6444489abac1a9e6948a8266">#REF!</definedName>
    <definedName name="MLNK7f6914a2a6874c84bca30dab787faeac">#REF!</definedName>
    <definedName name="MLNK7fa0d27a4d484fc39ad7615f7c6762bb">#REF!</definedName>
    <definedName name="MLNK7fa2602c78e74b62933d3e1484a131f5">#REF!</definedName>
    <definedName name="MLNK7faab2ed727b4d7e942bedb991e140ac">#REF!</definedName>
    <definedName name="MLNK7fbc4b86db8d45508dd004debf176246">#REF!</definedName>
    <definedName name="MLNK7fcc231562964cfc8564ee5cbd3f7fc3">#REF!</definedName>
    <definedName name="MLNK8010c5847acf4ce9ad5fad559f148d16">#REF!</definedName>
    <definedName name="MLNK801a49b5d8834d348b02a14ac895bb9a">#REF!</definedName>
    <definedName name="MLNK8025388fd6fe4042a47cb9ccfc762d06">#REF!</definedName>
    <definedName name="MLNK80346130425744f5b9b8bd3262a7df23">#REF!</definedName>
    <definedName name="MLNK80c4da403d774884b696f664c835d87e">#REF!</definedName>
    <definedName name="MLNK80e5e1e5121f4ca2b562c2dcf201c946">#REF!</definedName>
    <definedName name="MLNK8119969ea85a4738913c6b5ffc4e5b47">#REF!</definedName>
    <definedName name="MLNK814951f827a94659a1868f1895d060d6">#REF!</definedName>
    <definedName name="MLNK817083a263fd4c02b817bba9652a03fc">#REF!</definedName>
    <definedName name="MLNK81d27ade9c634a79af8325dec46cf738">#REF!</definedName>
    <definedName name="MLNK826eb06d352a4deda7432af510c3e441">#REF!</definedName>
    <definedName name="MLNK8289027e0e4f4fe695695ef2427015bd">#REF!</definedName>
    <definedName name="MLNK82c334d919464d6eafb88dae27a79d94">#REF!</definedName>
    <definedName name="MLNK82d2d6f8a3f8445c80dac5071bca15b0">#REF!</definedName>
    <definedName name="MLNK83003bfadf6c4e4589cc49fbfd231eff">#REF!</definedName>
    <definedName name="MLNK8311637bfa9f4ab2b66a6ccb69ec80b6">#REF!</definedName>
    <definedName name="MLNK83997c3e11034e0497f855cee8017166">#REF!</definedName>
    <definedName name="MLNK83a10c488e524411a5d7255cf51329ff">#REF!</definedName>
    <definedName name="MLNK84490d06fc514eb4a2ba84d5143b01f2">#REF!</definedName>
    <definedName name="MLNK844d0fd74a3545d8b794d7b13e95188c">#REF!</definedName>
    <definedName name="MLNK84aa17c5906c42dc82cfd45947152553">#REF!</definedName>
    <definedName name="MLNK84ceb3c0cad04fff8302b3f5397f62b1">#REF!</definedName>
    <definedName name="MLNK84d0e9a9764043b8bec3b91018778fa3">#REF!</definedName>
    <definedName name="MLNK84f79b8c28c74229a67b3e38d724aaac">#REF!</definedName>
    <definedName name="MLNK853395956600451da1509d5a7cb51fb0">#REF!</definedName>
    <definedName name="MLNK8536918aa64a455cab0d39838cab5aa1">#REF!</definedName>
    <definedName name="MLNK856cf20f4ba04b0f8e48240f5c8283e2">#REF!</definedName>
    <definedName name="MLNK85860e6be238427781715dd6b3f99ceb">#REF!</definedName>
    <definedName name="MLNK8587a6eaa0d1488d89b044501865c807">#REF!</definedName>
    <definedName name="MLNK863fed94d13e4e1384efe352bd5de863">#REF!</definedName>
    <definedName name="MLNK8670041e3f504b298273c7fb441cf04b">#REF!</definedName>
    <definedName name="MLNK86c8fa4eadc8448fbebef0fba5bbfaa2">#REF!</definedName>
    <definedName name="MLNK86f990d6213f450dbea862be0f4e6d9e">#REF!</definedName>
    <definedName name="MLNK8700d714003f43548424a4d114621b00">#REF!</definedName>
    <definedName name="MLNK87290d65b5f84004b8e88b3e71ea5697">#REF!</definedName>
    <definedName name="MLNK87b530628ac94dc4b9c16d8eee24dd2f">#REF!</definedName>
    <definedName name="MLNK87c3859ed7c64f7a9cd37c1e51009512">#REF!</definedName>
    <definedName name="MLNK8806fb1e0c2e4490839dc05073a79030">#REF!</definedName>
    <definedName name="MLNK8888dbbf11db4aa4ac4f46ee6b3f6905">#REF!</definedName>
    <definedName name="MLNK8986065a15e545d1bc88647428ddd5c8">#REF!</definedName>
    <definedName name="MLNK89ad4112f55a43eab4125a53ea36c02e">#REF!</definedName>
    <definedName name="MLNK89d0fbd7f443481381cc96f3a3660cc0">#REF!</definedName>
    <definedName name="MLNK8a3c33f15cb0460899936a7cfeb71942">#REF!</definedName>
    <definedName name="MLNK8a4ab0f0f05a40fbb79dcf34bb844588">#REF!</definedName>
    <definedName name="MLNK8a601ff2ce8643beaff6301a8b4a981e">#REF!</definedName>
    <definedName name="MLNK8abfe31ecd0845c9af13a804e92169be">#REF!</definedName>
    <definedName name="MLNK8b1a85b14dad4186b7d4a9edb29e734e">#REF!</definedName>
    <definedName name="MLNK8bcb2c10f3ab48c5b9c8c0d7c6d76f5f">#REF!</definedName>
    <definedName name="MLNK8c8a1ee2b4484c4c83d8ee01c14391aa">#REF!</definedName>
    <definedName name="MLNK8c9f9c7f15104d15a653bbf75e1423b7">#REF!</definedName>
    <definedName name="MLNK8cba7c8797be41e7840abb228064ab37">#REF!</definedName>
    <definedName name="MLNK8e1d08524e9645799eca34b2c1a3676d">#REF!</definedName>
    <definedName name="MLNK8e57c7acf28f4f3ca8f47f259595b98e">#REF!</definedName>
    <definedName name="MLNK8e8ab10e1be6412caa8a4911dd79dcb4">#REF!</definedName>
    <definedName name="MLNK8e9dceb1ceb34731812151874955f248">#REF!</definedName>
    <definedName name="MLNK8ebe2f2fa5844f40862558eb44269a1b">#REF!</definedName>
    <definedName name="MLNK8ecf5e75c90043ada2baa2bcada89f98">#REF!</definedName>
    <definedName name="MLNK8f2833a18d1442d79d9cad7416936b64">#REF!</definedName>
    <definedName name="MLNK8f6b7a3388644ac4a680a6ed038c530c">#REF!</definedName>
    <definedName name="MLNK8f73a75d4faa446b86380a42a21c256c">#REF!</definedName>
    <definedName name="MLNK8fa2458f8fc1409c9fc14049453e719f">#REF!</definedName>
    <definedName name="MLNK8fa33ef36e3e4324b1065069ca9dbff1">#REF!</definedName>
    <definedName name="MLNK8fcfc75b3bba496d89bbd6a090c38468">#REF!</definedName>
    <definedName name="MLNK90374bffb3fd438294fd897b702e4ac2">#REF!</definedName>
    <definedName name="MLNK905d361164f64aa49bae69da49e71a02">#REF!</definedName>
    <definedName name="MLNK9078066db655445f96354cc0ad9a580b">#REF!</definedName>
    <definedName name="MLNK90a1892e6e314bc790fdce17fff28cd6">#REF!</definedName>
    <definedName name="MLNK90cbbe9c32ed4eb98ef24d06d0f4fe5b">#REF!</definedName>
    <definedName name="MLNK91d6707331574eb9a27337eecfd6a166">#REF!</definedName>
    <definedName name="MLNK91ff59e1cb504e9cb9603c5801641617">#REF!</definedName>
    <definedName name="MLNK92954905ddcf4619b2ebe4c8b6eb431d">#REF!</definedName>
    <definedName name="MLNK92e07c729cc04f34ae3aaef5b0096021">#REF!</definedName>
    <definedName name="MLNK930992c9ff72469a886a317c78db1148">#REF!</definedName>
    <definedName name="MLNK93b5535d23c4422cacb95dcb127feb53">#REF!</definedName>
    <definedName name="MLNK93cfe685682b45438472bfa5cf7d50f4">#REF!</definedName>
    <definedName name="MLNK93fd38c08e794e07a52d21ec3aebed6b">#REF!</definedName>
    <definedName name="MLNK941d7b51de6540e3bda2b0deab6122a2">#REF!</definedName>
    <definedName name="MLNK94a8df2101e944ceb050b69f133f6d09">#REF!</definedName>
    <definedName name="MLNK95a6f5add1e24f5cb517d84454a4638f">#REF!</definedName>
    <definedName name="MLNK95cd2064f98b4ee7b41e34374ff98e01">#REF!</definedName>
    <definedName name="MLNK96b5485e17eb44309f051dcf6df80421">#REF!</definedName>
    <definedName name="MLNK972bd9df753e44fba7b35793eff51049">#REF!</definedName>
    <definedName name="MLNK9749de17ce8c4412adb130099e3bd378">#REF!</definedName>
    <definedName name="MLNK98115a3f25a94b8089b62605e1a5b9ae">#REF!</definedName>
    <definedName name="MLNK98b7c86d5f244f72833d95cd83a81686">#REF!</definedName>
    <definedName name="MLNK98f98db2133b4a40a1ad135fe286d3e6">#REF!</definedName>
    <definedName name="MLNK997d31598d1647c3820a3135f82fe9db">#REF!</definedName>
    <definedName name="MLNK998aa4e2cad641329c50826f69f20af3">#REF!</definedName>
    <definedName name="MLNK99d8485050b744b68dca90391c5b0b8c">#REF!</definedName>
    <definedName name="MLNK9a578e302a5c42c5a22e0d00ed127c25">#REF!</definedName>
    <definedName name="MLNK9a5dca0e000c4db184ef6f3e0137ed50">#REF!</definedName>
    <definedName name="MLNK9aa7373ec04f4f7a94f8d4b241ecdbfc">#REF!</definedName>
    <definedName name="MLNK9ab74f0d02184ea59f68acd9f4c080bd">#REF!</definedName>
    <definedName name="MLNK9ac8c0852c29405ea552ad53346ea653">#REF!</definedName>
    <definedName name="MLNK9ad02a72d59c4112895f6687f61f8132">#REF!</definedName>
    <definedName name="MLNK9ad224e573dd48aa935b633fa057ef11">#REF!</definedName>
    <definedName name="MLNK9b44664f1d884348af2081f2da1c7a6a">#REF!</definedName>
    <definedName name="MLNK9b529a1c3f9f43139d9b45f3c273dfd1">#REF!</definedName>
    <definedName name="MLNK9b55c3a706e94b5d99947fdf52aee774">#REF!</definedName>
    <definedName name="MLNK9b5b712288424a1d8f44ccd3a10b952b">#REF!</definedName>
    <definedName name="MLNK9b6842c5461844be83497944c132feb7">#REF!</definedName>
    <definedName name="MLNK9b991932d17647aaa26719ff85bc3665">#REF!</definedName>
    <definedName name="MLNK9ba31318bf3f48989ddce8679e709ecc">#REF!</definedName>
    <definedName name="MLNK9be32af046af457f91703a549215aa89">#REF!</definedName>
    <definedName name="MLNK9c498f5466e2480cbd3780054bfd87be">#REF!</definedName>
    <definedName name="MLNK9c55a2c6363945df8e25b28c18b8873e">#REF!</definedName>
    <definedName name="MLNK9c61417cee5b45f7aad70310875036d9">#REF!</definedName>
    <definedName name="MLNK9cafee5b8e7040ccab2417b1bb86c6e0">#REF!</definedName>
    <definedName name="MLNK9ceff0982f05451dadf9dbdfced4b4c9">#REF!</definedName>
    <definedName name="MLNK9d1f30688f524925bfdd5f32037e7170">#REF!</definedName>
    <definedName name="MLNK9d74b975bc964684b8624a9d7bf3727e">#REF!</definedName>
    <definedName name="MLNK9dfd39fc179c428cbcac856bc6d93c7e">#REF!</definedName>
    <definedName name="MLNK9e734748348f48f4aa03d1c99863e722">#REF!</definedName>
    <definedName name="MLNK9e75f37ef0b44ca08b8b220f8cb2eb07">#REF!</definedName>
    <definedName name="MLNK9e77f2d6228c438ab4139ad8773328ef">#REF!</definedName>
    <definedName name="MLNK9e7cafc891434a518e9616b843367fdc">#REF!</definedName>
    <definedName name="MLNK9f1f0951ba784de9bc77a01b46bb665f">#REF!</definedName>
    <definedName name="MLNK9f29236c5f324f1799d3c222f2dd3c48">#REF!</definedName>
    <definedName name="MLNK9f4da977ab634901ba81f448cf632369">#REF!</definedName>
    <definedName name="MLNK9f54b16c446e44bdb062b4be59afa5b6">#REF!</definedName>
    <definedName name="MLNK9f819a633c0a4a6295518656daf92199">#REF!</definedName>
    <definedName name="MLNK9fb7882b1eed4c46b3fdc59db91f812d">#REF!</definedName>
    <definedName name="MLNK9fd21a906c1d432da8effe2e4610807f">#REF!</definedName>
    <definedName name="MLNKa057d2fa7c8247698e5686a633fa2a05">#REF!</definedName>
    <definedName name="MLNKa08bd6a42f9d418b928153f025ec4f16">#REF!</definedName>
    <definedName name="MLNKa1a5b1fe5d86414c8c2df0ec4d63a55f">#REF!</definedName>
    <definedName name="MLNKa1a8b227b96b4c6da931af67117d277a">#REF!</definedName>
    <definedName name="MLNKa1b7e1973bc24e2b8d70c6657c135132">#REF!</definedName>
    <definedName name="MLNKa1cc78c5e87b41d0b7ed67b55a8ea9ad">#REF!</definedName>
    <definedName name="MLNKa25e2ce0fd2b4e56ab61b390016a97a5">#REF!</definedName>
    <definedName name="MLNKa26a80e5c6c349829c07393a44364084">#REF!</definedName>
    <definedName name="MLNKa2883d99854c4305802463d2970cd9fa">#REF!</definedName>
    <definedName name="MLNKa28b9dd67d9f41efab39da9ce80fc8ff">#REF!</definedName>
    <definedName name="MLNKa2b861b51e754da29341f93e6af9b476">#REF!</definedName>
    <definedName name="MLNKa2f0952c355a47d9aa385c2cecfa99fa">#REF!</definedName>
    <definedName name="MLNKa3001ff056594509bf37d301ef1ca394">#REF!</definedName>
    <definedName name="MLNKa3625ec4ed664b549a1425ca20fe28ea">#REF!</definedName>
    <definedName name="MLNKa38903262a144cc2b26d4c6063db01f0">#REF!</definedName>
    <definedName name="MLNKa38dc43829b644ffa87d6abf5776dc51">#REF!</definedName>
    <definedName name="MLNKa39c681d8eaa433685816cbdea0b937c">#REF!</definedName>
    <definedName name="MLNKa3ac18caa1f84c5f811f1b67ecce1118">#REF!</definedName>
    <definedName name="MLNKa3f64da458be4bb2bae54f6be6f5aef4">#REF!</definedName>
    <definedName name="MLNKa5cb4ec959b6484a87a6b85bfb8283bd">#REF!</definedName>
    <definedName name="MLNKa605c84c90fd476493e6286698e27c7a">#REF!</definedName>
    <definedName name="MLNKa643c1bd0fcc4ef092fa863e42a6de0d">#REF!</definedName>
    <definedName name="MLNKa65075abca5d4b1ea72e2aee46cc11e2">#REF!</definedName>
    <definedName name="MLNKa67ccdddcd5d471c89db2f76b8616475">#REF!</definedName>
    <definedName name="MLNKa69615b15b434ca3af6afb9d04c16b5b">#REF!</definedName>
    <definedName name="MLNKa698b40a68bb400ead3314f6c5c1e48d">#REF!</definedName>
    <definedName name="MLNKa6a384ea77b44ca78c68befd575e7f3d">#REF!</definedName>
    <definedName name="MLNKa6f163ef708f452e8df6fe2e0172aace">#REF!</definedName>
    <definedName name="MLNKa6f2d602baaa4c5ebab2c159d77016c4">#REF!</definedName>
    <definedName name="MLNKa6fa0245180044bb966947cc5f493c41">#REF!</definedName>
    <definedName name="MLNKa790ca6556c24470bdf06b75cd9c5b7f">#REF!</definedName>
    <definedName name="MLNKa8091b24404a47868a501b7f30924d0e">#REF!</definedName>
    <definedName name="MLNKa82e69ad7f994a6299e4e208b01e7d41">#REF!</definedName>
    <definedName name="MLNKa82fa8e0e27d478197c74d7870b7a30d">#REF!</definedName>
    <definedName name="MLNKa89aba8198604a8282aee6fb6bac6629">#REF!</definedName>
    <definedName name="MLNKa8f536aa9cf748c8825215a7f2d4ca90">#REF!</definedName>
    <definedName name="MLNKa95f9f1cd2374a96a05084aca287fc03">#REF!</definedName>
    <definedName name="MLNKa9d12f14bc064a12beda5eb29307e262">#REF!</definedName>
    <definedName name="MLNKaa126e3653fa4e4eab53a6f66c9651dc">#REF!</definedName>
    <definedName name="MLNKaa29980c452e4d358677bb1e580c1193">#REF!</definedName>
    <definedName name="MLNKaa2a9d82e9204f31aa0ff89459e2d16a">#REF!</definedName>
    <definedName name="MLNKaa2e35f3c36349fc8c49466eacc04a97">#REF!</definedName>
    <definedName name="MLNKaa609f22de954b3eae594eaff55c9f2e">#REF!</definedName>
    <definedName name="MLNKaa9da3765dfa4ca494fed58092e2bb04">#REF!</definedName>
    <definedName name="MLNKab14c3a944764057b07e82a98d0e8e2f">#REF!</definedName>
    <definedName name="MLNKab68aa0b6e58498e979cff890169bf1a">#REF!</definedName>
    <definedName name="MLNKab7636916cab4015a2544697742b41fa">#REF!</definedName>
    <definedName name="MLNKaba0ed0d715243f7841c57bcca6a2ad6">#REF!</definedName>
    <definedName name="MLNKac0fc9fd80ee45c7aac85b14e41a13cc">#REF!</definedName>
    <definedName name="MLNKac6b6dcf12554cada2ec2cebbdf9ef2f">#REF!</definedName>
    <definedName name="MLNKac8c5251c40b4bedb6c2ddf7fc221e03">#REF!</definedName>
    <definedName name="MLNKae188ed18ed041d48ad41bc4ca492a86">#REF!</definedName>
    <definedName name="MLNKae2627f2f4fc48ccab41e7c8b27010c8">#REF!</definedName>
    <definedName name="MLNKae328a7c3ca3480ebe3e5e5748b0e33a">#REF!</definedName>
    <definedName name="MLNKae491f95828d4cdf8a41545d5829b3d4">#REF!</definedName>
    <definedName name="MLNKae5999c51bbb4a64b9344d35de61ee41">#REF!</definedName>
    <definedName name="MLNKae74a2606e5b4399b650dc6a8ca0db68">#REF!</definedName>
    <definedName name="MLNKae9f9c79896741c2b5ddf083355d719a">#REF!</definedName>
    <definedName name="MLNKaffb5a6cee3049509166552c7f91a4f0">#REF!</definedName>
    <definedName name="MLNKb08ea355ec404c03ac5309aaeb29ec9a">#REF!</definedName>
    <definedName name="MLNKb0b23872d2a9499f8bdca9212eb951d1">#REF!</definedName>
    <definedName name="MLNKb0dac471e373470a8123352482295ff0">#REF!</definedName>
    <definedName name="MLNKb0e8d5d8663c44e587b945dc40c5d7d1">#REF!</definedName>
    <definedName name="MLNKb0fa7a8b8fd74a069ebf0f8b1343f270">#REF!</definedName>
    <definedName name="MLNKb1114f8864fe44209b5066a94268f241">#REF!</definedName>
    <definedName name="MLNKb111dce0959e4595b70f0f0caf418af9">#REF!</definedName>
    <definedName name="MLNKb171938ba3764ef19c9e284907627f00">#REF!</definedName>
    <definedName name="MLNKb17369c5ccfc40cca3be6bba00d691ca">#REF!</definedName>
    <definedName name="MLNKb1bfca65fb714015960662b73d95941b">#REF!</definedName>
    <definedName name="MLNKb1c02709ccc54bfea49ea758aa8de773">#REF!</definedName>
    <definedName name="MLNKb1c7ddff5c4a4510a47e62c7d89fde0d">#REF!</definedName>
    <definedName name="MLNKb295d139e45442b885c0b2b32e8eb129">#REF!</definedName>
    <definedName name="MLNKb311cae9209542108710885411eddc83">#REF!</definedName>
    <definedName name="MLNKb345ff110a1641d683d1c3089278d440">#REF!</definedName>
    <definedName name="MLNKb346db5dc1134deb8f6d4da3fabf0cf2">#REF!</definedName>
    <definedName name="MLNKb3597ef4679540b581278364c2c352d6">#REF!</definedName>
    <definedName name="MLNKb3f96461e6df4e2a940715241c18d069">#REF!</definedName>
    <definedName name="MLNKb434e258586142c4915e8489b226efb9">#REF!</definedName>
    <definedName name="MLNKb46f9cb2e28c4f49abaf45a18e5b218d">#REF!</definedName>
    <definedName name="MLNKb4a264961fd24bccbcdc50499ff26aad">#REF!</definedName>
    <definedName name="MLNKb4a7b1c4cd6947ecbde6f7391b4d1a5e">#REF!</definedName>
    <definedName name="MLNKb4b688869ad94fb78841bbda92129f71">#REF!</definedName>
    <definedName name="MLNKb5354062bafe475dbd6e15e3cb6e4519">#REF!</definedName>
    <definedName name="MLNKb5bba9e2157e4cab95fe027f047ebfae">#REF!</definedName>
    <definedName name="MLNKb5d2e59093564cd9973a87854802482d">#REF!</definedName>
    <definedName name="MLNKb5ead6cab0fb4af88b0e526537cb227e">#REF!</definedName>
    <definedName name="MLNKb618291062244ca489acaa5522374488">#REF!</definedName>
    <definedName name="MLNKb68919a3ce4949068498a7722d65b952">#REF!</definedName>
    <definedName name="MLNKb6921e1754e24306be720b032cde325a">#REF!</definedName>
    <definedName name="MLNKb6afa85d3d2648e194d1dcb2fa73349e">#REF!</definedName>
    <definedName name="MLNKb6d6dd8844574d539b0bf3b983492e85">#REF!</definedName>
    <definedName name="MLNKb739083731f54ceb8990267e21bc1a73">#REF!</definedName>
    <definedName name="MLNKb744cc396a014832980362b81de0ff1c">#REF!</definedName>
    <definedName name="MLNKb7483d7746a44a6da537db21419a003a">#REF!</definedName>
    <definedName name="MLNKb75d9366f3bd42278af280517ed8e049">#REF!</definedName>
    <definedName name="MLNKb78dbc9bf227445d985232b7c9ea462f">#REF!</definedName>
    <definedName name="MLNKb7a22df2b3c346498fb328d8575544b3">#REF!</definedName>
    <definedName name="MLNKb8013ff0d04047f3a57905a90d2a3cec">#REF!</definedName>
    <definedName name="MLNKb80f3c1cd47e4278b359089087f2654b">#REF!</definedName>
    <definedName name="MLNKb81c88c55ca74dda9fbb12243eed3e20">#REF!</definedName>
    <definedName name="MLNKb84cf785ba454ce0bf291530d5446681">#REF!</definedName>
    <definedName name="MLNKb9311350985548a2909fc4831af3ff7b">#REF!</definedName>
    <definedName name="MLNKb94a51c76e254601a2f178d46ed37eca">#REF!</definedName>
    <definedName name="MLNKb95856c2b0d1487e8c04fdb824b858be">#REF!</definedName>
    <definedName name="MLNKb96f609ad23f47cf9276a5d4a95cc310">#REF!</definedName>
    <definedName name="MLNKb973363cda6548a88ea4c57b486727e7">#REF!</definedName>
    <definedName name="MLNKb9ac0af683a8462a83605bc40d754208">#REF!</definedName>
    <definedName name="MLNKb9ca99d7c9864621892fef5f033f278b">#REF!</definedName>
    <definedName name="MLNKb9f754aa51234997a4880324f84745bb">#REF!</definedName>
    <definedName name="MLNKba5c2ed28f04499399a58ed398216f17">#REF!</definedName>
    <definedName name="MLNKba850863200443588ed7bcd2060c3c51">#REF!</definedName>
    <definedName name="MLNKbab8316fe2594d65a55caed63c1cdd4d">#REF!</definedName>
    <definedName name="MLNKbb536c668b454b59bc3a6acbd512a5fe">#REF!</definedName>
    <definedName name="MLNKbc324ba0c90f47889ccb51b2023c756b">#REF!</definedName>
    <definedName name="MLNKbc3cd351e5a74673bccc3544a764f90f">#REF!</definedName>
    <definedName name="MLNKbce03136b96740df9bb244b30ea1f567">#REF!</definedName>
    <definedName name="MLNKbd3e8feecc1e43889a74c3f788cbf946">#REF!</definedName>
    <definedName name="MLNKbd4d390737ce41c99305f319418b81f7">#REF!</definedName>
    <definedName name="MLNKbd8400f0c4694ad681aed9ba9cbc37b8">#REF!</definedName>
    <definedName name="MLNKbdb9fb7b1d42448bbf01e8474377d8d5">#REF!</definedName>
    <definedName name="MLNKbdd3cd11df9c436f96fd476e16ef670c">#REF!</definedName>
    <definedName name="MLNKbe16c9bfb4cd440cadfeef4ad678a711">#REF!</definedName>
    <definedName name="MLNKbe60ddd937d7467d9f56d38bbd669c29">#REF!</definedName>
    <definedName name="MLNKbe9323d0118d408faa3c44cbc5895095">#REF!</definedName>
    <definedName name="MLNKbf3b9070d57e4e0dbd7296810367df6e">#REF!</definedName>
    <definedName name="MLNKbf64512b0eb84f8c8001c7ddbcb880e9">#REF!</definedName>
    <definedName name="MLNKbfc1818f65854692a07791d5581b7400">#REF!</definedName>
    <definedName name="MLNKbfc73df2dcb2476ea989a7eccf8c9b4d">#REF!</definedName>
    <definedName name="MLNKbfcbb1f49cdf48099d5cd00142a00af1">#REF!</definedName>
    <definedName name="MLNKc06f97e863fc42d78e2aac50d13932c5">#REF!</definedName>
    <definedName name="MLNKc13a145f26b3418bb5eb6ff94f01321a">#REF!</definedName>
    <definedName name="MLNKc18842ed974f4b87b63faad91952683d">#REF!</definedName>
    <definedName name="MLNKc1ddbee6a47d464aaed56c643d05a658">#REF!</definedName>
    <definedName name="MLNKc20401f235e04b6a82fdbe148afb2c4b">#REF!</definedName>
    <definedName name="MLNKc221f1b23df9489b98152813d9f84eb6">#REF!</definedName>
    <definedName name="MLNKc26f311b688846c7b41a345f1b70aeb5">#REF!</definedName>
    <definedName name="MLNKc2e0434b8f2642e7a9f2b9bd5f8a29a8">#REF!</definedName>
    <definedName name="MLNKc2e69aa195d940cd87ce3c0f36ed3f66">#REF!</definedName>
    <definedName name="MLNKc389cd266fbc4da082ba4bcc82020bb9">#REF!</definedName>
    <definedName name="MLNKc411904d087148498a2acd166f415f8b">#REF!</definedName>
    <definedName name="MLNKc4ee032cc5e54bf4bc875e689a03776f">#REF!</definedName>
    <definedName name="MLNKc50df130be36444d81773965425ecb8a">#REF!</definedName>
    <definedName name="MLNKc51629cbed0648bfa17b3b188601aafe">#REF!</definedName>
    <definedName name="MLNKc52f12777b74490384881256335a7bb6">#REF!</definedName>
    <definedName name="MLNKc5c12ba866bb4570bcc8ab1cef7683fa">#REF!</definedName>
    <definedName name="MLNKc5f31f4d332541259549f5d3ff78b87b">#REF!</definedName>
    <definedName name="MLNKc608cd7854494a1187c638b9f36d341f">#REF!</definedName>
    <definedName name="MLNKc61e5f49ad3f4c49820c151c3bf5de5d">#REF!</definedName>
    <definedName name="MLNKc66dc45da06f4cb9a15f65c21c827c03">#REF!</definedName>
    <definedName name="MLNKc6ac033e82464932b889cfcce3608557">#REF!</definedName>
    <definedName name="MLNKc71a4975c7ab434d83b3383ee61e9225">#REF!</definedName>
    <definedName name="MLNKc727a8e1c6714eda85dcb34599742b8b">#REF!</definedName>
    <definedName name="MLNKc79cd6e34a834d1e92ca67ebde7883f1">#REF!</definedName>
    <definedName name="MLNKc7f40f6dc52d458fa44a028fadd57c05">#REF!</definedName>
    <definedName name="MLNKc82caa7e415c441593891b7b26cb36da">#REF!</definedName>
    <definedName name="MLNKc85d54ef3fd0450e8dbcf48d431e9ef0">#REF!</definedName>
    <definedName name="MLNKc89e3d7970d44be3bab848fb7dd975ec">#REF!</definedName>
    <definedName name="MLNKc8eb2cb6fb07412dab6ad327dfdd3608">#REF!</definedName>
    <definedName name="MLNKc95b3b5205ce45169d5153aca84eb019">#REF!</definedName>
    <definedName name="MLNKca24d2e234bd4d3fad92ca212f315409">#REF!</definedName>
    <definedName name="MLNKca6aff0aa4834f8ca4333e78a366f81e">#REF!</definedName>
    <definedName name="MLNKca8bbc8ae13140d8a808409687a22189">#REF!</definedName>
    <definedName name="MLNKcaa28074049a44f99724a077b44f9973">#REF!</definedName>
    <definedName name="MLNKcb296ba0e175461dac928bca96a12b74">#REF!</definedName>
    <definedName name="MLNKcb4df54f8e2d43cbbb2045da6570441e">#REF!</definedName>
    <definedName name="MLNKcb8642bd6c494c35a0d39e4d7d7bb37e">#REF!</definedName>
    <definedName name="MLNKcc07b2b915b747a9af20a9c640c67b6a">#REF!</definedName>
    <definedName name="MLNKcc3e98d3e74649ea82be6e5f57299744">#REF!</definedName>
    <definedName name="MLNKcc4ace54fe3645dfb7903fc8fdede1c8">#REF!</definedName>
    <definedName name="MLNKccabfb102b6843d78f3133de484db577">#REF!</definedName>
    <definedName name="MLNKcd8abe1fc2d9483aba67425211b5526d">#REF!</definedName>
    <definedName name="MLNKcd9829540eec475e8599257d7af9f92c">#REF!</definedName>
    <definedName name="MLNKcdc923b50deb44a982c8d315e0c4120b">#REF!</definedName>
    <definedName name="MLNKcdce22ae087540b7a0d2d107b753fe3e">#REF!</definedName>
    <definedName name="MLNKcdd7963aeadc413babe72caaf824bb45">#REF!</definedName>
    <definedName name="MLNKcdf61c8f2f4949e48408c6eb4d8a5d8b">#REF!</definedName>
    <definedName name="MLNKce0b4954e1aa4cefbda1a5543868b6b9">#REF!</definedName>
    <definedName name="MLNKce1bbc7cba204aefba697d9c8bdbe168">#REF!</definedName>
    <definedName name="MLNKce1f135f63dd41ccb784a9672b4637d9">#REF!</definedName>
    <definedName name="MLNKcf0a377a468048658d11166831ab2043">#REF!</definedName>
    <definedName name="MLNKcf234a3e951a4cad89ae731db46ea1b7">#REF!</definedName>
    <definedName name="MLNKcf6c5bf4fd6c446d931f164d44dbf544">#REF!</definedName>
    <definedName name="MLNKcf879a21ce7346cd8ec61d80d13225ac">#REF!</definedName>
    <definedName name="MLNKd05900f203364beda70dd2b009796af6">#REF!</definedName>
    <definedName name="MLNKd05bdb32adca4a4ca6a9874bac0994a7">#REF!</definedName>
    <definedName name="MLNKd062518aa57b4010958adf1416b981cf">#REF!</definedName>
    <definedName name="MLNKd06db301ff464eb9bff9e7729f12121e">#REF!</definedName>
    <definedName name="MLNKd096fe8321c2427492cc5d82c80fe775">#REF!</definedName>
    <definedName name="MLNKd0e54ebed224454fa0ae1151245a40a5">#REF!</definedName>
    <definedName name="MLNKd11e298b0db44f23b2c2f03458c736b0">#REF!</definedName>
    <definedName name="MLNKd18969b3d4684a2b90767e0affb09bbd">#REF!</definedName>
    <definedName name="MLNKd19114a1ce7c4b5ca5918b7b346f8858">#REF!</definedName>
    <definedName name="MLNKd1c128d529f7478ca3b1ac967d5a1f5e">#REF!</definedName>
    <definedName name="MLNKd1f8353484084f478cade8155bcc2a5b">#REF!</definedName>
    <definedName name="MLNKd214b0d5a54d48cd8c8d2b376c88a319">#REF!</definedName>
    <definedName name="MLNKd236c435973e4436a94a1e558f577cbd">#REF!</definedName>
    <definedName name="MLNKd24002c985c44827853dff8561718e5c">#REF!</definedName>
    <definedName name="MLNKd25772fbb3b040068d33248a0a72b9a1">#REF!</definedName>
    <definedName name="MLNKd2a04e4eeedc4bc0be8a9e1af70523bf">#REF!</definedName>
    <definedName name="MLNKd2ab1bd1d0e14510976ede4cc0e30646">#REF!</definedName>
    <definedName name="MLNKd2d7c772ab204b719dbd1b0e5df5790b">#REF!</definedName>
    <definedName name="MLNKd3070b4168bb4b33836b5e85cf8673a2">#REF!</definedName>
    <definedName name="MLNKd30f54fb61254cc4a643559986a71a22">#REF!</definedName>
    <definedName name="MLNKd3996deb64cc4b1aacbaf16886c67c74">#REF!</definedName>
    <definedName name="MLNKd3b14b65d24341bf8221657efbc2064f">#REF!</definedName>
    <definedName name="MLNKd4fddaf4390e48d5905bd6b43e9c175b">#REF!</definedName>
    <definedName name="MLNKd54ee578130e4ce593a1989537e0fab3">#REF!</definedName>
    <definedName name="MLNKd597a985709f42d3b0db03d3d979b7fc">#REF!</definedName>
    <definedName name="MLNKd638296677d74d0999fcdbadd1908be7">#REF!</definedName>
    <definedName name="MLNKd6459917d49a49769073cae59c25ac63">#REF!</definedName>
    <definedName name="MLNKd6fd700b29004816a4492ff9816ae565">#REF!</definedName>
    <definedName name="MLNKd7074bb4e18f47119910c7f75707b587">#REF!</definedName>
    <definedName name="MLNKd75a97d5eb9b493c95b15d73182dff50">#REF!</definedName>
    <definedName name="MLNKd78a90ab66cc4d4ca2f11b04fd01a2f4">#REF!</definedName>
    <definedName name="MLNKd80ec573312f48f3b04af354c7f22023">#REF!</definedName>
    <definedName name="MLNKd867885185884c6aab99c6246a8dfded">#REF!</definedName>
    <definedName name="MLNKd884042ad0894330992e5da81ec2cffd">#REF!</definedName>
    <definedName name="MLNKd8964e5756c544d99affb392b887eb92">#REF!</definedName>
    <definedName name="MLNKd8b34f5835f54d318fc16c49d927151c">#REF!</definedName>
    <definedName name="MLNKd8d20ccaaea048c39fcd48cfe74c0b4f">#REF!</definedName>
    <definedName name="MLNKd8ff4072773c4622b0c83769a2438ec5">#REF!</definedName>
    <definedName name="MLNKd95847544a7e4ccca32fd475760fc475">#REF!</definedName>
    <definedName name="MLNKd95a1bb8208e438aa3c3bfa2d7ae7e99">#REF!</definedName>
    <definedName name="MLNKd97cfa3b278e47e8b7d42b88fd00dd50">#REF!</definedName>
    <definedName name="MLNKd9a15ea142a14b0fa26661a307eb7c47">#REF!</definedName>
    <definedName name="MLNKd9dc13f2d3a340aa9c43dd0d78a04a4d">#REF!</definedName>
    <definedName name="MLNKd9e52f045da34df1a002e6da57db1b88">#REF!</definedName>
    <definedName name="MLNKda21786c186e4d87a69d38c92791c49d">#REF!</definedName>
    <definedName name="MLNKda6dd7c406e74816a17346c764c4bba2">#REF!</definedName>
    <definedName name="MLNKdaf4fd3f8c604159bbb081e2606ecff2">#REF!</definedName>
    <definedName name="MLNKdb1aff38dceb40b192ed86094953e697">#REF!</definedName>
    <definedName name="MLNKdb3f8278ffb247fd94e1a79aac9a635d">#REF!</definedName>
    <definedName name="MLNKdb753172b8684092b4f09c5c5ba443a6">#REF!</definedName>
    <definedName name="MLNKdbd552346d15447c87897a7ebaad316e">#REF!</definedName>
    <definedName name="MLNKdc10fce39593429c96bf71524a93b3ce">#REF!</definedName>
    <definedName name="MLNKdc85d8c0e3fd4b2b9d1ced6e92c8967e">#REF!</definedName>
    <definedName name="MLNKdc92d28815854a8ab2c5e6111e89fe11">#REF!</definedName>
    <definedName name="MLNKdcc7f8e16db447c0bb1eb9bf5adc9a4e">#REF!</definedName>
    <definedName name="MLNKdcdd9af4a86d41a5a3cf7c7fa583b5a3">#REF!</definedName>
    <definedName name="MLNKdcf49e99b17c4ca0a6b35a87994110a4">#REF!</definedName>
    <definedName name="MLNKdcfffc9c419e46f1a1b8807ef3b0ea7d">#REF!</definedName>
    <definedName name="MLNKddc3c71dd2264e8b8550fb12b1749129">#REF!</definedName>
    <definedName name="MLNKddc6f7bc0d6d4c5aa45cb1538cf05fdc">#REF!</definedName>
    <definedName name="MLNKde2590066e634cf6940e4229ebae8204">#REF!</definedName>
    <definedName name="MLNKde4ae43ab83d48d5b8eb7fb3b911ab6f">#REF!</definedName>
    <definedName name="MLNKde8b00841d2c4fd6905392590ae0496c">#REF!</definedName>
    <definedName name="MLNKde901705e1b04a6a8d9cee99d363a2a5">#REF!</definedName>
    <definedName name="MLNKded583b8e09a49c28c94267cccb3ce19">#REF!</definedName>
    <definedName name="MLNKdf9204fe0128479babdba49c2a0717c4">#REF!</definedName>
    <definedName name="MLNKdfceed80343d426aaa55fedc3524b425">#REF!</definedName>
    <definedName name="MLNKe06a282436a94d5f85a3b90b613a43e3">#REF!</definedName>
    <definedName name="MLNKe070bdf47cf34301aa4d900c726affdb">#REF!</definedName>
    <definedName name="MLNKe097aca64c5d468890b2a9b538c5eae1">#REF!</definedName>
    <definedName name="MLNKe11bb4b8ea0f46dfac7db8a609fd82f2">#REF!</definedName>
    <definedName name="MLNKe16fb8cdd67d4f9c8f53e890f1e4086d">#REF!</definedName>
    <definedName name="MLNKe18ba5d4c0214fb68e1fed427c2b8389">#REF!</definedName>
    <definedName name="MLNKe1967ec322e447cd80b22a2287d12e72">#REF!</definedName>
    <definedName name="MLNKe1b0f51d07c7441498e246c4b07a075a">#REF!</definedName>
    <definedName name="MLNKe268d983b74d4a328512940b826532c5">#REF!</definedName>
    <definedName name="MLNKe2be126c2e2241bfb997650885761773">#REF!</definedName>
    <definedName name="MLNKe2ed17321bf14ac39821675da96cbb64">#REF!</definedName>
    <definedName name="MLNKe2f88702d2744f2ea2de19a56ecc20d4">#REF!</definedName>
    <definedName name="MLNKe38adeebdb2048aaae93e7540d12c6d7">#REF!</definedName>
    <definedName name="MLNKe3caa6ed665e49268fb745265c0ed9ac">#REF!</definedName>
    <definedName name="MLNKe413ae76ac2842fd8c9f5692bba30418">#REF!</definedName>
    <definedName name="MLNKe4dbd13a8f664e26a623e7f24fd3b4b7">#REF!</definedName>
    <definedName name="MLNKe5041710e87d450fa5d5819430fa1887">#REF!</definedName>
    <definedName name="MLNKe5d97c7e7c244300a57e853161f25dff">#REF!</definedName>
    <definedName name="MLNKe5db7518d1f94fc1b831b0a57c6be714">#REF!</definedName>
    <definedName name="MLNKe5e3b1913fce444b83cb1f567fa0f6ab">#REF!</definedName>
    <definedName name="MLNKe5ed8b85980d46fc844564088c5c9078">#REF!</definedName>
    <definedName name="MLNKe6068e0369c7470786d84aa6cc04702a">#REF!</definedName>
    <definedName name="MLNKe62ab8d3517645faa5eff09b16643830">#REF!</definedName>
    <definedName name="MLNKe62ae034dbe74a5bb769e9fd0c1dd5b4">#REF!</definedName>
    <definedName name="MLNKe6577c5446e64e13926c4fed4340c717">#REF!</definedName>
    <definedName name="MLNKe6947a8b56b0403a86ccb3bbc9417946">#REF!</definedName>
    <definedName name="MLNKe6b667ae9bc9451c956b49e1d77a3909">#REF!</definedName>
    <definedName name="MLNKe6c5034f70bd4298aadfad62e7492f5a">#REF!</definedName>
    <definedName name="MLNKe6ddeadc88a04fa9878daee818c897e9">#REF!</definedName>
    <definedName name="MLNKe703440f92aa4a15a387c8008e61314f">#REF!</definedName>
    <definedName name="MLNKe755b5e3525f434ebb4fd93d7dc13e69">#REF!</definedName>
    <definedName name="MLNKe762a070e43148d5b0cbdfc7e2f7643c">#REF!</definedName>
    <definedName name="MLNKe76d1c30b4eb4a0da8027774517610e8">#REF!</definedName>
    <definedName name="MLNKe79b3d09bf3c4683af4faf301a21f8af">#REF!</definedName>
    <definedName name="MLNKe7c3ffc4ff4c42459699ffb4822e0663">#REF!</definedName>
    <definedName name="MLNKe7dfaa028a7e4e5a9331949607cab2cb">#REF!</definedName>
    <definedName name="MLNKe7fdb00ed8cb44f0a27564e5eba8a592">#REF!</definedName>
    <definedName name="MLNKe83b3c61549d4f47b59e11acd5f83c34">#REF!</definedName>
    <definedName name="MLNKe84f8f460d3c49b2bbf4dd4421cbb32e">#REF!</definedName>
    <definedName name="MLNKe85c15e0c5ba4bd2ba4b7ea03be29b0e">#REF!</definedName>
    <definedName name="MLNKe8f5753ec7c94717b91d289a1f8a864d">#REF!</definedName>
    <definedName name="MLNKe9029c4816b74aa9a7ed77bfc215f8a6">#REF!</definedName>
    <definedName name="MLNKe932919ee6864ed697057fe983ea2156">#REF!</definedName>
    <definedName name="MLNKe9995d9c321243318f925ccbc206d07b">#REF!</definedName>
    <definedName name="MLNKea2c55a764514f12a9ebde99b5170901">#REF!</definedName>
    <definedName name="MLNKeab50b6d91f94a4abdf1574d52642ae1">#REF!</definedName>
    <definedName name="MLNKeb2fcdfb3ab040758a3a7734893ca885">#REF!</definedName>
    <definedName name="MLNKec10569efce84a13bda8f67f6d3ee18b">#REF!</definedName>
    <definedName name="MLNKec2e35445e9f495280baf4f26a20e12b">#REF!</definedName>
    <definedName name="MLNKec332e7fd23d499b8e4655d8952db79c">#REF!</definedName>
    <definedName name="MLNKec4b54afabfc4a8eb1883b3b2bf12276">#REF!</definedName>
    <definedName name="MLNKec8292a983194e47b997b350f994955b">#REF!</definedName>
    <definedName name="MLNKec9fd3bd86b9472a834e8b390d0266d9">#REF!</definedName>
    <definedName name="MLNKecc09cb0f0864dc7b79c87bb5d6e5009">#REF!</definedName>
    <definedName name="MLNKeccd459f2e484acca574097f67043bff">#REF!</definedName>
    <definedName name="MLNKed2517cdc41444469905593e9834ea52">#REF!</definedName>
    <definedName name="MLNKed572b6599e3465cb118258854e40531">#REF!</definedName>
    <definedName name="MLNKed5f0db2dd4744288cb8f9def3b86b32">#REF!</definedName>
    <definedName name="MLNKed9079135c8f4c638b8d1b01ede3425b">#REF!</definedName>
    <definedName name="MLNKedb5ce10b058453faa4fc97c53267f47">#REF!</definedName>
    <definedName name="MLNKedea584549c747889e18394ee2ee7bd7">#REF!</definedName>
    <definedName name="MLNKee18a590882e4dcea5469708b54410ce">#REF!</definedName>
    <definedName name="MLNKee3f92f405114693806989f4e1157675">#REF!</definedName>
    <definedName name="MLNKee6009809ac8423dbe78d75c47656b17">#REF!</definedName>
    <definedName name="MLNKeef75b8390164aabaa2282bee54dcf42">#REF!</definedName>
    <definedName name="MLNKef030e42b2494b37ae8602dc38fe1625">#REF!</definedName>
    <definedName name="MLNKef712a82e4e24dd58e1726ab22b17c27">#REF!</definedName>
    <definedName name="MLNKefb24792760f4103a52f98ff4de7561c">#REF!</definedName>
    <definedName name="MLNKf00f9967138b487c87729c51464a6c74">#REF!</definedName>
    <definedName name="MLNKf01187a2bc5b42efa47ebf16d55d0485">#REF!</definedName>
    <definedName name="MLNKf048c6e0057a4d3d92b1ce3e0ad776bc">#REF!</definedName>
    <definedName name="MLNKf0710e7eec8c4f30815059d62d7e1a53">#REF!</definedName>
    <definedName name="MLNKf087359c90a24419b50c2cb8c6bf0beb">#REF!</definedName>
    <definedName name="MLNKf09238bdc5394acab42c7479b694e9cd">#REF!</definedName>
    <definedName name="MLNKf0bc3e3241c640a8811271723bf7a7df">#REF!</definedName>
    <definedName name="MLNKf0e4655034a2433ab35213b4ea397271">#REF!</definedName>
    <definedName name="MLNKf0eaf42dcca84d0d8051f321bb4d411f">#REF!</definedName>
    <definedName name="MLNKf228051e3b254850b0e48e72a4047515">#REF!</definedName>
    <definedName name="MLNKf39e3ff66a374738b374999b837c8202">#REF!</definedName>
    <definedName name="MLNKf3aa2f8ecefb4ab6bcaa788a8ff993ed">#REF!</definedName>
    <definedName name="MLNKf3c04c79290142e8a9fec2d0a9a538ef">#REF!</definedName>
    <definedName name="MLNKf41f77e430bd4074b8eeaaf55b72fa84">#REF!</definedName>
    <definedName name="MLNKf4743a4ee4cd411f91d538d32364806c">#REF!</definedName>
    <definedName name="MLNKf48fb274dee04d22a187af3c2c7801f5">#REF!</definedName>
    <definedName name="MLNKf4924655eff44353ba75d6fd36db3921">#REF!</definedName>
    <definedName name="MLNKf4bf3663699446d2a3d18e50aafb6fdd">#REF!</definedName>
    <definedName name="MLNKf4e7a9db08894582b383dc2c7a37dc81">#REF!</definedName>
    <definedName name="MLNKf4f49617a600426197a792e140cba238">#REF!</definedName>
    <definedName name="MLNKf5175e2bcf794df8ba3ae441f6a3db2a">#REF!</definedName>
    <definedName name="MLNKf5ab857f9fd6455dab9427251dcd2ed0">#REF!</definedName>
    <definedName name="MLNKf5b0ca48849c4406ae54c772bdaaaed1">#REF!</definedName>
    <definedName name="MLNKf6304eac40544184aaf5e1f94e8d10fe">#REF!</definedName>
    <definedName name="MLNKf633c73184ff4664a3a11555edbf5d0c">#REF!</definedName>
    <definedName name="MLNKf64264e50e8a491ab112625a031c54d9">#REF!</definedName>
    <definedName name="MLNKf6ac64467e9e484a8df8d1f2e261ab52">#REF!</definedName>
    <definedName name="MLNKf6ccc57de6e340aaa0594ee9597ee343">#REF!</definedName>
    <definedName name="MLNKf75669d420d941b3b72c01b9742b0a34">#REF!</definedName>
    <definedName name="MLNKf77df9d6d88c48518ad3db3cda454da3">#REF!</definedName>
    <definedName name="MLNKf7a0738d07e2440e8203e1b2db3804be">#REF!</definedName>
    <definedName name="MLNKf7ff639c55f44a93a7b52b4923b84015">#REF!</definedName>
    <definedName name="MLNKf870711ba38a48b68d4aa4027c071d56">#REF!</definedName>
    <definedName name="MLNKf898965410904702a60eb89ffb56e0ff">#REF!</definedName>
    <definedName name="MLNKf8a979ee68634d5f89a7d4f033ff7165">#REF!</definedName>
    <definedName name="MLNKf8c92c2e7e1e4736ab002eb619e9649c">#REF!</definedName>
    <definedName name="MLNKf938643c914748649b4d18908fafbd4a">#REF!</definedName>
    <definedName name="MLNKf968d5ac853345f086ff748bf0919d80">#REF!</definedName>
    <definedName name="MLNKf98010dc089e42a7b9d710b609357fe1">#REF!</definedName>
    <definedName name="MLNKf994fa8cd4004e9694ad6fb2cfc6c3e0">#REF!</definedName>
    <definedName name="MLNKf9ac0706f003479b89ea50800809b339">#REF!</definedName>
    <definedName name="MLNKf9d01827df0b4ba5934b8db022b64536">#REF!</definedName>
    <definedName name="MLNKf9d1c48e0c15458ca46bc1eac6ef5411">#REF!</definedName>
    <definedName name="MLNKfa23492246604f43989463863396459c">#REF!</definedName>
    <definedName name="MLNKfa37da4145274d3391873cfef1849048">#REF!</definedName>
    <definedName name="MLNKfaefaca850a74c2586d7d88f2f62d721">#REF!</definedName>
    <definedName name="MLNKfaf34e5ebce0419d85a66aa1a0e7687d">#REF!</definedName>
    <definedName name="MLNKfb4d13d310374fddba71ca2aec4db1d1">#REF!</definedName>
    <definedName name="MLNKfb87b0c7d3de40e390d5dc590c5ed629">#REF!</definedName>
    <definedName name="MLNKfbaf3bf9d6cc44fc8658f6aa65c601e1">#REF!</definedName>
    <definedName name="MLNKfc647d780bb94a398ef7a2dd7d439e7d">#REF!</definedName>
    <definedName name="MLNKfc894c9cba7446a9900995bf89e41c8f">#REF!</definedName>
    <definedName name="MLNKfca08f0deeba4686bd2849213dd31eb7">#REF!</definedName>
    <definedName name="MLNKfcb7271d57fa446d908df30266c393ff">#REF!</definedName>
    <definedName name="MLNKfcf4caed770e41859a552e7e8052c219">#REF!</definedName>
    <definedName name="MLNKfd0c738365244d4e9fd33906adb251a3">#REF!</definedName>
    <definedName name="MLNKfdca48fae27c4135a9165b612c333034">#REF!</definedName>
    <definedName name="MLNKfdf93ff39b61443ea482587f381e18e5">#REF!</definedName>
    <definedName name="MLNKfe91eb181d674acfb866254c1024b9f1">#REF!</definedName>
    <definedName name="MLNKfeb959b148ba4a24ab26db6ddb6d30b6">#REF!</definedName>
    <definedName name="MLNKfeceea57d9c041e8a1805740c1118e25">#REF!</definedName>
    <definedName name="MLNKff5c39ef64a7480086bd2d2cc0a5eced">#REF!</definedName>
    <definedName name="MLNKff638a25daa8411a8a1b9f2c9bbb212f">#REF!</definedName>
    <definedName name="MLNKff7382205d8949adacd29b4c2c18b5db">#REF!</definedName>
    <definedName name="MLNKffa223e8d8bd4b259a3d4ed4762d4f85">#REF!</definedName>
    <definedName name="MLNKffffb5c1252a46bc959eaa2903477927">#REF!</definedName>
    <definedName name="mm" localSheetId="25">{"ReportTop",#N/A,FALSE,"report top"}</definedName>
    <definedName name="mm" localSheetId="20">{"ReportTop",#N/A,FALSE,"report top"}</definedName>
    <definedName name="mm">{"ReportTop",#N/A,FALSE,"report top"}</definedName>
    <definedName name="mmjj" localSheetId="25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 localSheetId="20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m" localSheetId="25">{"documentation1",#N/A,FALSE,"Documentation";"documentation2",#N/A,FALSE,"Documentation"}</definedName>
    <definedName name="mmm" localSheetId="20">{"documentation1",#N/A,FALSE,"Documentation";"documentation2",#N/A,FALSE,"Documentation"}</definedName>
    <definedName name="mmm">{"documentation1",#N/A,FALSE,"Documentation";"documentation2",#N/A,FALSE,"Documentation"}</definedName>
    <definedName name="mmmm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m" localSheetId="25">{#N/A,#N/A,TRUE,"Fiber_Optic_Cable_Input ";#N/A,#N/A,TRUE,"Specialty_Fiber_Devices_Input";#N/A,#N/A,TRUE,"Optical_Fiber_Apparatus_Input"}</definedName>
    <definedName name="mmmmm" localSheetId="20">{#N/A,#N/A,TRUE,"Fiber_Optic_Cable_Input ";#N/A,#N/A,TRUE,"Specialty_Fiber_Devices_Input";#N/A,#N/A,TRUE,"Optical_Fiber_Apparatus_Input"}</definedName>
    <definedName name="mmmmm">{#N/A,#N/A,TRUE,"Fiber_Optic_Cable_Input ";#N/A,#N/A,TRUE,"Specialty_Fiber_Devices_Input";#N/A,#N/A,TRUE,"Optical_Fiber_Apparatus_Input"}</definedName>
    <definedName name="mmmmmm" localSheetId="25">{#N/A,#N/A,TRUE,"Falcons_Standalone";#N/A,#N/A,TRUE,"Target_Input";#N/A,#N/A,TRUE,"Target_Calendarized"}</definedName>
    <definedName name="mmmmmm" localSheetId="20">{#N/A,#N/A,TRUE,"Falcons_Standalone";#N/A,#N/A,TRUE,"Target_Input";#N/A,#N/A,TRUE,"Target_Calendarized"}</definedName>
    <definedName name="mmmmmm">{#N/A,#N/A,TRUE,"Falcons_Standalone";#N/A,#N/A,TRUE,"Target_Input";#N/A,#N/A,TRUE,"Target_Calendarized"}</definedName>
    <definedName name="mmmmmmm" localSheetId="25">{#N/A,#N/A,TRUE,"FOC_Product_Assumptions"}</definedName>
    <definedName name="mmmmmmm" localSheetId="20">{#N/A,#N/A,TRUE,"FOC_Product_Assumptions"}</definedName>
    <definedName name="mmmmmmm">{#N/A,#N/A,TRUE,"FOC_Product_Assumptions"}</definedName>
    <definedName name="mmmmmmmm" localSheetId="25">{#N/A,#N/A,FALSE,"Consolidated Shipley";#N/A,#N/A,FALSE,"Consolidated PWB";#N/A,#N/A,FALSE,"Consolidated Micro"}</definedName>
    <definedName name="mmmmmmmm" localSheetId="20">{#N/A,#N/A,FALSE,"Consolidated Shipley";#N/A,#N/A,FALSE,"Consolidated PWB";#N/A,#N/A,FALSE,"Consolidated Micro"}</definedName>
    <definedName name="mmmmmmmm">{#N/A,#N/A,FALSE,"Consolidated Shipley";#N/A,#N/A,FALSE,"Consolidated PWB";#N/A,#N/A,FALSE,"Consolidated Micro"}</definedName>
    <definedName name="mn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o" localSheetId="25">{#N/A,#N/A,TRUE,"KEY DATA";#N/A,#N/A,TRUE,"KEY DATA Base Case";#N/A,#N/A,TRUE,"JULY";#N/A,#N/A,TRUE,"AUG";#N/A,#N/A,TRUE,"SEPT";#N/A,#N/A,TRUE,"3Q"}</definedName>
    <definedName name="mo" localSheetId="20">{#N/A,#N/A,TRUE,"KEY DATA";#N/A,#N/A,TRUE,"KEY DATA Base Case";#N/A,#N/A,TRUE,"JULY";#N/A,#N/A,TRUE,"AUG";#N/A,#N/A,TRUE,"SEPT";#N/A,#N/A,TRUE,"3Q"}</definedName>
    <definedName name="mo">{#N/A,#N/A,TRUE,"KEY DATA";#N/A,#N/A,TRUE,"KEY DATA Base Case";#N/A,#N/A,TRUE,"JULY";#N/A,#N/A,TRUE,"AUG";#N/A,#N/A,TRUE,"SEPT";#N/A,#N/A,TRUE,"3Q"}</definedName>
    <definedName name="Monkey" localSheetId="25">{#N/A,#N/A,FALSE,"IPO";#N/A,#N/A,FALSE,"DCF";#N/A,#N/A,FALSE,"LBO";#N/A,#N/A,FALSE,"MULT_VAL";#N/A,#N/A,FALSE,"Status Quo";#N/A,#N/A,FALSE,"Recap"}</definedName>
    <definedName name="Monkey" localSheetId="20">{#N/A,#N/A,FALSE,"IPO";#N/A,#N/A,FALSE,"DCF";#N/A,#N/A,FALSE,"LBO";#N/A,#N/A,FALSE,"MULT_VAL";#N/A,#N/A,FALSE,"Status Quo";#N/A,#N/A,FALSE,"Recap"}</definedName>
    <definedName name="Monkey">{#N/A,#N/A,FALSE,"IPO";#N/A,#N/A,FALSE,"DCF";#N/A,#N/A,FALSE,"LBO";#N/A,#N/A,FALSE,"MULT_VAL";#N/A,#N/A,FALSE,"Status Quo";#N/A,#N/A,FALSE,"Recap"}</definedName>
    <definedName name="Moses" localSheetId="25">{"FCB_ALL",#N/A,FALSE,"FCB"}</definedName>
    <definedName name="Moses" localSheetId="20">{"FCB_ALL",#N/A,FALSE,"FCB"}</definedName>
    <definedName name="Moses">{"FCB_ALL",#N/A,FALSE,"FCB"}</definedName>
    <definedName name="Mults02" localSheetId="25">{#N/A,#N/A,FALSE,"Projections";#N/A,#N/A,FALSE,"Multiples Valuation";#N/A,#N/A,FALSE,"LBO";#N/A,#N/A,FALSE,"Multiples_Sensitivity";#N/A,#N/A,FALSE,"Summary"}</definedName>
    <definedName name="Mults02" localSheetId="20">{#N/A,#N/A,FALSE,"Projections";#N/A,#N/A,FALSE,"Multiples Valuation";#N/A,#N/A,FALSE,"LBO";#N/A,#N/A,FALSE,"Multiples_Sensitivity";#N/A,#N/A,FALSE,"Summary"}</definedName>
    <definedName name="Mults02">{#N/A,#N/A,FALSE,"Projections";#N/A,#N/A,FALSE,"Multiples Valuation";#N/A,#N/A,FALSE,"LBO";#N/A,#N/A,FALSE,"Multiples_Sensitivity";#N/A,#N/A,FALSE,"Summary"}</definedName>
    <definedName name="MW" localSheetId="25">{#N/A,#N/A,FALSE,"Job Sched"}</definedName>
    <definedName name="MW" localSheetId="20">{#N/A,#N/A,FALSE,"Job Sched"}</definedName>
    <definedName name="MW">{#N/A,#N/A,FALSE,"Job Sched"}</definedName>
    <definedName name="n" localSheetId="25">{#N/A,#N/A,FALSE,"Consolidated Shipley";#N/A,#N/A,FALSE,"Consolidated PWB";#N/A,#N/A,FALSE,"Consolidated Micro"}</definedName>
    <definedName name="n" localSheetId="20">{#N/A,#N/A,FALSE,"Consolidated Shipley";#N/A,#N/A,FALSE,"Consolidated PWB";#N/A,#N/A,FALSE,"Consolidated Micro"}</definedName>
    <definedName name="n">{#N/A,#N/A,FALSE,"Consolidated Shipley";#N/A,#N/A,FALSE,"Consolidated PWB";#N/A,#N/A,FALSE,"Consolidated Micro"}</definedName>
    <definedName name="NA" localSheetId="25">{#N/A,#N/A,FALSE,"Consol P&amp;L ";#N/A,#N/A,FALSE,"CP P&amp;L";#N/A,#N/A,FALSE,"ADS P&amp;L";#N/A,#N/A,FALSE,"Corp P&amp;L"}</definedName>
    <definedName name="NA" localSheetId="20">{#N/A,#N/A,FALSE,"Consol P&amp;L ";#N/A,#N/A,FALSE,"CP P&amp;L";#N/A,#N/A,FALSE,"ADS P&amp;L";#N/A,#N/A,FALSE,"Corp P&amp;L"}</definedName>
    <definedName name="NA">{#N/A,#N/A,FALSE,"Consol P&amp;L ";#N/A,#N/A,FALSE,"CP P&amp;L";#N/A,#N/A,FALSE,"ADS P&amp;L";#N/A,#N/A,FALSE,"Corp P&amp;L"}</definedName>
    <definedName name="NAIRB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RB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tEssS" localSheetId="25">{"'WST RETAIL PRICE LIST Apr 9 (2)'!$B$1:$C$177"}</definedName>
    <definedName name="NatEssS" localSheetId="20">{"'WST RETAIL PRICE LIST Apr 9 (2)'!$B$1:$C$177"}</definedName>
    <definedName name="NatEssS">{"'WST RETAIL PRICE LIST Apr 9 (2)'!$B$1:$C$177"}</definedName>
    <definedName name="NatEssS2" localSheetId="25">{"'WST RETAIL PRICE LIST Apr 9 (2)'!$B$1:$C$177"}</definedName>
    <definedName name="NatEssS2" localSheetId="20">{"'WST RETAIL PRICE LIST Apr 9 (2)'!$B$1:$C$177"}</definedName>
    <definedName name="NatEssS2">{"'WST RETAIL PRICE LIST Apr 9 (2)'!$B$1:$C$177"}</definedName>
    <definedName name="new" localSheetId="25">{"bs",#N/A,FALSE,"SCF"}</definedName>
    <definedName name="new" localSheetId="20">{"bs",#N/A,FALSE,"SCF"}</definedName>
    <definedName name="new">{"bs",#N/A,FALSE,"SCF"}</definedName>
    <definedName name="new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new.summary">{#N/A,#N/A,TRUE,"Notes";#N/A,#N/A,TRUE,"Cap Struct";#N/A,#N/A,TRUE,"OBS";#N/A,#N/A,TRUE,"bal Sheet";#N/A,#N/A,TRUE,"Inc stmt";#N/A,#N/A,TRUE,"csh flw";#N/A,#N/A,TRUE,"debt";#N/A,#N/A,TRUE,"detail 96,97";#N/A,#N/A,TRUE,"Covenants"}</definedName>
    <definedName name="new_name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new1.summary">{#N/A,#N/A,TRUE,"Notes";#N/A,#N/A,TRUE,"Cap Struct";#N/A,#N/A,TRUE,"OBS";#N/A,#N/A,TRUE,"bal Sheet";#N/A,#N/A,TRUE,"Inc stmt";#N/A,#N/A,TRUE,"csh flw";#N/A,#N/A,TRUE,"debt";#N/A,#N/A,TRUE,"detail 96,97";#N/A,#N/A,TRUE,"Covenants"}</definedName>
    <definedName name="newbel" localSheetId="25">{"'Directory'!$A$72:$E$91"}</definedName>
    <definedName name="newbel" localSheetId="20">{"'Directory'!$A$72:$E$91"}</definedName>
    <definedName name="newbel">{"'Directory'!$A$72:$E$91"}</definedName>
    <definedName name="newbls" localSheetId="25">{"'Directory'!$A$72:$E$91"}</definedName>
    <definedName name="newbls" localSheetId="20">{"'Directory'!$A$72:$E$91"}</definedName>
    <definedName name="newbls">{"'Directory'!$A$72:$E$91"}</definedName>
    <definedName name="Newcapexp">#REF!</definedName>
    <definedName name="newdata" localSheetId="25">{"PAGE 1",#N/A,FALSE,"WEST_OT"}</definedName>
    <definedName name="newdata" localSheetId="20">{"PAGE 1",#N/A,FALSE,"WEST_OT"}</definedName>
    <definedName name="newdata">{"PAGE 1",#N/A,FALSE,"WEST_OT"}</definedName>
    <definedName name="newdata2" localSheetId="25">{"PAGE 1",#N/A,FALSE,"WEST_OT"}</definedName>
    <definedName name="newdata2" localSheetId="20">{"PAGE 1",#N/A,FALSE,"WEST_OT"}</definedName>
    <definedName name="newdata2">{"PAGE 1",#N/A,FALSE,"WEST_OT"}</definedName>
    <definedName name="newname" localSheetId="25">{#N/A,#N/A,FALSE,"Consol P&amp;L ";#N/A,#N/A,FALSE,"CP P&amp;L";#N/A,#N/A,FALSE,"ADS P&amp;L";#N/A,#N/A,FALSE,"Corp P&amp;L"}</definedName>
    <definedName name="newname" localSheetId="20">{#N/A,#N/A,FALSE,"Consol P&amp;L ";#N/A,#N/A,FALSE,"CP P&amp;L";#N/A,#N/A,FALSE,"ADS P&amp;L";#N/A,#N/A,FALSE,"Corp P&amp;L"}</definedName>
    <definedName name="newname">{#N/A,#N/A,FALSE,"Consol P&amp;L ";#N/A,#N/A,FALSE,"CP P&amp;L";#N/A,#N/A,FALSE,"ADS P&amp;L";#N/A,#N/A,FALSE,"Corp P&amp;L"}</definedName>
    <definedName name="NewRange">#REF!</definedName>
    <definedName name="newt" localSheetId="25">{"'Directory'!$A$72:$E$91"}</definedName>
    <definedName name="newt" localSheetId="20">{"'Directory'!$A$72:$E$91"}</definedName>
    <definedName name="newt">{"'Directory'!$A$72:$E$91"}</definedName>
    <definedName name="newview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localSheetId="25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 localSheetId="20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25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localSheetId="20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localSheetId="25">{"'Directory'!$A$72:$E$91"}</definedName>
    <definedName name="newwcom" localSheetId="20">{"'Directory'!$A$72:$E$91"}</definedName>
    <definedName name="newwcom">{"'Directory'!$A$72:$E$91"}</definedName>
    <definedName name="nic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N" localSheetId="25">{"revenue detail 1",#N/A,FALSE,"Revenue Detail";"revenue detail 2",#N/A,FALSE,"Revenue Detail";"revenue detail 3",#N/A,FALSE,"Revenue Detail";"revenue detail 4",#N/A,FALSE,"Revenue Detail"}</definedName>
    <definedName name="NN" localSheetId="20">{"revenue detail 1",#N/A,FALSE,"Revenue Detail";"revenue detail 2",#N/A,FALSE,"Revenue Detail";"revenue detail 3",#N/A,FALSE,"Revenue Detail";"revenue detail 4",#N/A,FALSE,"Revenue Detail"}</definedName>
    <definedName name="NN">{"revenue detail 1",#N/A,FALSE,"Revenue Detail";"revenue detail 2",#N/A,FALSE,"Revenue Detail";"revenue detail 3",#N/A,FALSE,"Revenue Detail";"revenue detail 4",#N/A,FALSE,"Revenue Detail"}</definedName>
    <definedName name="nnn" localSheetId="25">{#N/A,#N/A,FALSE,"Consolidated Shipley";#N/A,#N/A,FALSE,"Consolidated PWB";#N/A,#N/A,FALSE,"Consolidated Micro"}</definedName>
    <definedName name="nnn" localSheetId="20">{#N/A,#N/A,FALSE,"Consolidated Shipley";#N/A,#N/A,FALSE,"Consolidated PWB";#N/A,#N/A,FALSE,"Consolidated Micro"}</definedName>
    <definedName name="nnn">{#N/A,#N/A,FALSE,"Consolidated Shipley";#N/A,#N/A,FALSE,"Consolidated PWB";#N/A,#N/A,FALSE,"Consolidated Micro"}</definedName>
    <definedName name="nnnn" localSheetId="25">{#N/A,#N/A,FALSE,"Consolidated Shipley";#N/A,#N/A,FALSE,"Consolidated PWB";#N/A,#N/A,FALSE,"Consolidated Micro"}</definedName>
    <definedName name="nnnn" localSheetId="20">{#N/A,#N/A,FALSE,"Consolidated Shipley";#N/A,#N/A,FALSE,"Consolidated PWB";#N/A,#N/A,FALSE,"Consolidated Micro"}</definedName>
    <definedName name="nnnn">{#N/A,#N/A,FALSE,"Consolidated Shipley";#N/A,#N/A,FALSE,"Consolidated PWB";#N/A,#N/A,FALSE,"Consolidated Micro"}</definedName>
    <definedName name="nnnnn" localSheetId="25">{"gross_margin1",#N/A,FALSE,"Gross Margin Detail";"gross_margin2",#N/A,FALSE,"Gross Margin Detail"}</definedName>
    <definedName name="nnnnn" localSheetId="20">{"gross_margin1",#N/A,FALSE,"Gross Margin Detail";"gross_margin2",#N/A,FALSE,"Gross Margin Detail"}</definedName>
    <definedName name="nnnnn">{"gross_margin1",#N/A,FALSE,"Gross Margin Detail";"gross_margin2",#N/A,FALSE,"Gross Margin Detail"}</definedName>
    <definedName name="nnnnnn" localSheetId="25">{"historical acquirer",#N/A,FALSE,"Historical Performance";"historical target",#N/A,FALSE,"Historical Performance"}</definedName>
    <definedName name="nnnnnn" localSheetId="20">{"historical acquirer",#N/A,FALSE,"Historical Performance";"historical target",#N/A,FALSE,"Historical Performance"}</definedName>
    <definedName name="nnnnnn">{"historical acquirer",#N/A,FALSE,"Historical Performance";"historical target",#N/A,FALSE,"Historical Performance"}</definedName>
    <definedName name="nnnnnnn" localSheetId="25">{#N/A,#N/A,TRUE,"TS";#N/A,#N/A,TRUE,"Combo";#N/A,#N/A,TRUE,"FAIR";#N/A,#N/A,TRUE,"RBC";#N/A,#N/A,TRUE,"xxxx"}</definedName>
    <definedName name="nnnnnnn" localSheetId="20">{#N/A,#N/A,TRUE,"TS";#N/A,#N/A,TRUE,"Combo";#N/A,#N/A,TRUE,"FAIR";#N/A,#N/A,TRUE,"RBC";#N/A,#N/A,TRUE,"xxxx"}</definedName>
    <definedName name="nnnnnnn">{#N/A,#N/A,TRUE,"TS";#N/A,#N/A,TRUE,"Combo";#N/A,#N/A,TRUE,"FAIR";#N/A,#N/A,TRUE,"RBC";#N/A,#N/A,TRUE,"xxxx"}</definedName>
    <definedName name="NO" localSheetId="25">{"'Sheet1'!$A$1:$J$121"}</definedName>
    <definedName name="NO" localSheetId="20">{"'Sheet1'!$A$1:$J$121"}</definedName>
    <definedName name="NO">{"'Sheet1'!$A$1:$J$121"}</definedName>
    <definedName name="noidea" localSheetId="25">{#N/A,#N/A,FALSE,"Calc";#N/A,#N/A,FALSE,"Sensitivity";#N/A,#N/A,FALSE,"LT Earn.Dil.";#N/A,#N/A,FALSE,"Dil. AVP"}</definedName>
    <definedName name="noidea" localSheetId="20">{#N/A,#N/A,FALSE,"Calc";#N/A,#N/A,FALSE,"Sensitivity";#N/A,#N/A,FALSE,"LT Earn.Dil.";#N/A,#N/A,FALSE,"Dil. AVP"}</definedName>
    <definedName name="noidea">{#N/A,#N/A,FALSE,"Calc";#N/A,#N/A,FALSE,"Sensitivity";#N/A,#N/A,FALSE,"LT Earn.Dil.";#N/A,#N/A,FALSE,"Dil. AVP"}</definedName>
    <definedName name="noidea1" localSheetId="25">{#N/A,#N/A,FALSE,"Calc";#N/A,#N/A,FALSE,"Sensitivity";#N/A,#N/A,FALSE,"LT Earn.Dil.";#N/A,#N/A,FALSE,"Dil. AVP"}</definedName>
    <definedName name="noidea1" localSheetId="20">{#N/A,#N/A,FALSE,"Calc";#N/A,#N/A,FALSE,"Sensitivity";#N/A,#N/A,FALSE,"LT Earn.Dil.";#N/A,#N/A,FALSE,"Dil. AVP"}</definedName>
    <definedName name="noidea1">{#N/A,#N/A,FALSE,"Calc";#N/A,#N/A,FALSE,"Sensitivity";#N/A,#N/A,FALSE,"LT Earn.Dil.";#N/A,#N/A,FALSE,"Dil. AVP"}</definedName>
    <definedName name="NOIDEA2" localSheetId="25">{#N/A,#N/A,FALSE,"Calc";#N/A,#N/A,FALSE,"Sensitivity";#N/A,#N/A,FALSE,"LT Earn.Dil.";#N/A,#N/A,FALSE,"Dil. AVP"}</definedName>
    <definedName name="NOIDEA2" localSheetId="20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idea3" localSheetId="25">{#N/A,#N/A,FALSE,"Calc";#N/A,#N/A,FALSE,"Sensitivity";#N/A,#N/A,FALSE,"LT Earn.Dil.";#N/A,#N/A,FALSE,"Dil. AVP"}</definedName>
    <definedName name="noidea3" localSheetId="20">{#N/A,#N/A,FALSE,"Calc";#N/A,#N/A,FALSE,"Sensitivity";#N/A,#N/A,FALSE,"LT Earn.Dil.";#N/A,#N/A,FALSE,"Dil. AVP"}</definedName>
    <definedName name="noidea3">{#N/A,#N/A,FALSE,"Calc";#N/A,#N/A,FALSE,"Sensitivity";#N/A,#N/A,FALSE,"LT Earn.Dil.";#N/A,#N/A,FALSE,"Dil. AVP"}</definedName>
    <definedName name="noidea4" localSheetId="25">{#N/A,#N/A,FALSE,"Calc";#N/A,#N/A,FALSE,"Sensitivity";#N/A,#N/A,FALSE,"LT Earn.Dil.";#N/A,#N/A,FALSE,"Dil. AVP"}</definedName>
    <definedName name="noidea4" localSheetId="20">{#N/A,#N/A,FALSE,"Calc";#N/A,#N/A,FALSE,"Sensitivity";#N/A,#N/A,FALSE,"LT Earn.Dil.";#N/A,#N/A,FALSE,"Dil. AVP"}</definedName>
    <definedName name="noidea4">{#N/A,#N/A,FALSE,"Calc";#N/A,#N/A,FALSE,"Sensitivity";#N/A,#N/A,FALSE,"LT Earn.Dil.";#N/A,#N/A,FALSE,"Dil. AVP"}</definedName>
    <definedName name="noidea5" localSheetId="25">{#N/A,#N/A,FALSE,"Calc";#N/A,#N/A,FALSE,"Sensitivity";#N/A,#N/A,FALSE,"LT Earn.Dil.";#N/A,#N/A,FALSE,"Dil. AVP"}</definedName>
    <definedName name="noidea5" localSheetId="20">{#N/A,#N/A,FALSE,"Calc";#N/A,#N/A,FALSE,"Sensitivity";#N/A,#N/A,FALSE,"LT Earn.Dil.";#N/A,#N/A,FALSE,"Dil. AVP"}</definedName>
    <definedName name="noidea5">{#N/A,#N/A,FALSE,"Calc";#N/A,#N/A,FALSE,"Sensitivity";#N/A,#N/A,FALSE,"LT Earn.Dil.";#N/A,#N/A,FALSE,"Dil. AVP"}</definedName>
    <definedName name="noidea6" localSheetId="25">{#N/A,#N/A,FALSE,"Calc";#N/A,#N/A,FALSE,"Sensitivity";#N/A,#N/A,FALSE,"LT Earn.Dil.";#N/A,#N/A,FALSE,"Dil. AVP"}</definedName>
    <definedName name="noidea6" localSheetId="20">{#N/A,#N/A,FALSE,"Calc";#N/A,#N/A,FALSE,"Sensitivity";#N/A,#N/A,FALSE,"LT Earn.Dil.";#N/A,#N/A,FALSE,"Dil. AVP"}</definedName>
    <definedName name="noidea6">{#N/A,#N/A,FALSE,"Calc";#N/A,#N/A,FALSE,"Sensitivity";#N/A,#N/A,FALSE,"LT Earn.Dil.";#N/A,#N/A,FALSE,"Dil. AVP"}</definedName>
    <definedName name="noidea7" localSheetId="25">{#N/A,#N/A,FALSE,"Calc";#N/A,#N/A,FALSE,"Sensitivity";#N/A,#N/A,FALSE,"LT Earn.Dil.";#N/A,#N/A,FALSE,"Dil. AVP"}</definedName>
    <definedName name="noidea7" localSheetId="20">{#N/A,#N/A,FALSE,"Calc";#N/A,#N/A,FALSE,"Sensitivity";#N/A,#N/A,FALSE,"LT Earn.Dil.";#N/A,#N/A,FALSE,"Dil. AVP"}</definedName>
    <definedName name="noidea7">{#N/A,#N/A,FALSE,"Calc";#N/A,#N/A,FALSE,"Sensitivity";#N/A,#N/A,FALSE,"LT Earn.Dil.";#N/A,#N/A,FALSE,"Dil. AVP"}</definedName>
    <definedName name="Nope" localSheetId="25">{"'Bellville Acetylene'!$A$1:$L$99"}</definedName>
    <definedName name="Nope" localSheetId="20">{"'Bellville Acetylene'!$A$1:$L$99"}</definedName>
    <definedName name="Nope">{"'Bellville Acetylene'!$A$1:$L$99"}</definedName>
    <definedName name="NoteTextNames" localSheetId="25">{"Text 9";"Text 10";"Text 11";"Text 12"}</definedName>
    <definedName name="NoteTextNames" localSheetId="20">{"Text 9";"Text 10";"Text 11";"Text 12"}</definedName>
    <definedName name="NoteTextNames">{"Text 9";"Text 10";"Text 11";"Text 12"}</definedName>
    <definedName name="ns" localSheetId="25">{"bs",#N/A,FALSE,"SCF"}</definedName>
    <definedName name="ns" localSheetId="20">{"bs",#N/A,FALSE,"SCF"}</definedName>
    <definedName name="ns">{"bs",#N/A,FALSE,"SCF"}</definedName>
    <definedName name="nwnwn" localSheetId="25">{"GTI monthly IS",#N/A,FALSE,"gti";#N/A,#N/A,FALSE,"gti"}</definedName>
    <definedName name="nwnwn" localSheetId="20">{"GTI monthly IS",#N/A,FALSE,"gti";#N/A,#N/A,FALSE,"gti"}</definedName>
    <definedName name="nwnwn">{"GTI monthly IS",#N/A,FALSE,"gti";#N/A,#N/A,FALSE,"gti"}</definedName>
    <definedName name="ok" localSheetId="25">{#N/A,#N/A,FALSE,"AD_Purch";#N/A,#N/A,FALSE,"Projections";#N/A,#N/A,FALSE,"DCF";#N/A,#N/A,FALSE,"Mkt Val"}</definedName>
    <definedName name="ok" localSheetId="20">{#N/A,#N/A,FALSE,"AD_Purch";#N/A,#N/A,FALSE,"Projections";#N/A,#N/A,FALSE,"DCF";#N/A,#N/A,FALSE,"Mkt Val"}</definedName>
    <definedName name="ok">{#N/A,#N/A,FALSE,"AD_Purch";#N/A,#N/A,FALSE,"Projections";#N/A,#N/A,FALSE,"DCF";#N/A,#N/A,FALSE,"Mkt Val"}</definedName>
    <definedName name="oku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25">{"Period 5 Income Statements",#N/A,FALSE,"Income Statement";"Period 5 Balance Sheets",#N/A,FALSE,"Balance Sheet";"Period 5 Cashflow Statements",#N/A,FALSE,"Cashflow Statement";"Period 5 Financial Ratios",#N/A,FALSE,"Financial Ratios"}</definedName>
    <definedName name="old" localSheetId="20">{"Period 5 Income Statements",#N/A,FALSE,"Income Statement";"Period 5 Balance Sheets",#N/A,FALSE,"Balance Sheet";"Period 5 Cashflow Statements",#N/A,FALSE,"Cashflow Statement";"Period 5 Financial Ratios",#N/A,FALSE,"Financial Ratios"}</definedName>
    <definedName name="old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 localSheetId="25">{"PAGE 1",#N/A,FALSE,"WEST_OT"}</definedName>
    <definedName name="olddata" localSheetId="20">{"PAGE 1",#N/A,FALSE,"WEST_OT"}</definedName>
    <definedName name="olddata">{"PAGE 1",#N/A,FALSE,"WEST_OT"}</definedName>
    <definedName name="olddata1" localSheetId="25">{"PAGE 1",#N/A,FALSE,"WEST_OT"}</definedName>
    <definedName name="olddata1" localSheetId="20">{"PAGE 1",#N/A,FALSE,"WEST_OT"}</definedName>
    <definedName name="olddata1">{"PAGE 1",#N/A,FALSE,"WEST_OT"}</definedName>
    <definedName name="olddata2" localSheetId="25">{"PAGE 1",#N/A,FALSE,"WEST_OT"}</definedName>
    <definedName name="olddata2" localSheetId="20">{"PAGE 1",#N/A,FALSE,"WEST_OT"}</definedName>
    <definedName name="olddata2">{"PAGE 1",#N/A,FALSE,"WEST_OT"}</definedName>
    <definedName name="olddata3" localSheetId="25">{"PAGE 1",#N/A,FALSE,"WEST_OT"}</definedName>
    <definedName name="olddata3" localSheetId="20">{"PAGE 1",#N/A,FALSE,"WEST_OT"}</definedName>
    <definedName name="olddata3">{"PAGE 1",#N/A,FALSE,"WEST_OT"}</definedName>
    <definedName name="ONYX19970501222055">#REF!</definedName>
    <definedName name="ONYX19970501222155">#REF!</definedName>
    <definedName name="OOO" localSheetId="25">{"Total Credit",#N/A,FALSE,"Credit";"Appraisal",#N/A,FALSE,"Credit";"Customer Service",#N/A,FALSE,"Credit";"Home Office",#N/A,FALSE,"Credit";"Quality Control",#N/A,FALSE,"Credit";"Risk Mgmt",#N/A,FALSE,"Credit"}</definedName>
    <definedName name="OOO" localSheetId="20">{"Total Credit",#N/A,FALSE,"Credit";"Appraisal",#N/A,FALSE,"Credit";"Customer Service",#N/A,FALSE,"Credit";"Home Office",#N/A,FALSE,"Credit";"Quality Control",#N/A,FALSE,"Credit";"Risk Mgmt",#N/A,FALSE,"Credit"}</definedName>
    <definedName name="OOO">{"Total Credit",#N/A,FALSE,"Credit";"Appraisal",#N/A,FALSE,"Credit";"Customer Service",#N/A,FALSE,"Credit";"Home Office",#N/A,FALSE,"Credit";"Quality Control",#N/A,FALSE,"Credit";"Risk Mgmt",#N/A,FALSE,"Credit"}</definedName>
    <definedName name="Order__1">0</definedName>
    <definedName name="Order2">0</definedName>
    <definedName name="OrderTable">#REF!</definedName>
    <definedName name="p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kh" localSheetId="25">{#N/A,#N/A,FALSE,"Heat";#N/A,#N/A,FALSE,"DCF";#N/A,#N/A,FALSE,"LBO";#N/A,#N/A,FALSE,"A";#N/A,#N/A,FALSE,"C";#N/A,#N/A,FALSE,"impd";#N/A,#N/A,FALSE,"Accr-Dilu"}</definedName>
    <definedName name="p.kh" localSheetId="20">{#N/A,#N/A,FALSE,"Heat";#N/A,#N/A,FALSE,"DCF";#N/A,#N/A,FALSE,"LBO";#N/A,#N/A,FALSE,"A";#N/A,#N/A,FALSE,"C";#N/A,#N/A,FALSE,"impd";#N/A,#N/A,FALSE,"Accr-Dilu"}</definedName>
    <definedName name="p.kh">{#N/A,#N/A,FALSE,"Heat";#N/A,#N/A,FALSE,"DCF";#N/A,#N/A,FALSE,"LBO";#N/A,#N/A,FALSE,"A";#N/A,#N/A,FALSE,"C";#N/A,#N/A,FALSE,"impd";#N/A,#N/A,FALSE,"Accr-Dilu"}</definedName>
    <definedName name="pabl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bl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C">0</definedName>
    <definedName name="Paste">#REF!</definedName>
    <definedName name="patty" localSheetId="25">{"PAGE 1",#N/A,FALSE,"WEST_OT"}</definedName>
    <definedName name="patty" localSheetId="20">{"PAGE 1",#N/A,FALSE,"WEST_OT"}</definedName>
    <definedName name="patty">{"PAGE 1",#N/A,FALSE,"WEST_OT"}</definedName>
    <definedName name="peace">0</definedName>
    <definedName name="Perf" localSheetId="25">{"GTI monthly IS",#N/A,FALSE,"gti";#N/A,#N/A,FALSE,"gti"}</definedName>
    <definedName name="Perf" localSheetId="20">{"GTI monthly IS",#N/A,FALSE,"gti";#N/A,#N/A,FALSE,"gti"}</definedName>
    <definedName name="Perf">{"GTI monthly IS",#N/A,FALSE,"gti";#N/A,#N/A,FALSE,"gti"}</definedName>
    <definedName name="perm" localSheetId="25">{"PAGE 1",#N/A,FALSE,"WEST_OT"}</definedName>
    <definedName name="perm" localSheetId="20">{"PAGE 1",#N/A,FALSE,"WEST_OT"}</definedName>
    <definedName name="perm">{"PAGE 1",#N/A,FALSE,"WEST_OT"}</definedName>
    <definedName name="perm1" localSheetId="25">{"PAGE 1",#N/A,FALSE,"WEST_OT"}</definedName>
    <definedName name="perm1" localSheetId="20">{"PAGE 1",#N/A,FALSE,"WEST_OT"}</definedName>
    <definedName name="perm1">{"PAGE 1",#N/A,FALSE,"WEST_OT"}</definedName>
    <definedName name="perm3" localSheetId="25">{"PAGE 1",#N/A,FALSE,"WEST_OT"}</definedName>
    <definedName name="perm3" localSheetId="20">{"PAGE 1",#N/A,FALSE,"WEST_OT"}</definedName>
    <definedName name="perm3">{"PAGE 1",#N/A,FALSE,"WEST_OT"}</definedName>
    <definedName name="perm4" localSheetId="25">{"PAGE 1",#N/A,FALSE,"WEST_OT"}</definedName>
    <definedName name="perm4" localSheetId="20">{"PAGE 1",#N/A,FALSE,"WEST_OT"}</definedName>
    <definedName name="perm4">{"PAGE 1",#N/A,FALSE,"WEST_OT"}</definedName>
    <definedName name="perm5" localSheetId="25">{"PAGE 2",#N/A,FALSE,"WEST_OT"}</definedName>
    <definedName name="perm5" localSheetId="20">{"PAGE 2",#N/A,FALSE,"WEST_OT"}</definedName>
    <definedName name="perm5">{"PAGE 2",#N/A,FALSE,"WEST_OT"}</definedName>
    <definedName name="perm6" localSheetId="25">{"PAGE 2",#N/A,FALSE,"WEST_OT"}</definedName>
    <definedName name="perm6" localSheetId="20">{"PAGE 2",#N/A,FALSE,"WEST_OT"}</definedName>
    <definedName name="perm6">{"PAGE 2",#N/A,FALSE,"WEST_OT"}</definedName>
    <definedName name="perm7" localSheetId="25">{"PAGE 1",#N/A,FALSE,"WEST_OT"}</definedName>
    <definedName name="perm7" localSheetId="20">{"PAGE 1",#N/A,FALSE,"WEST_OT"}</definedName>
    <definedName name="perm7">{"PAGE 1",#N/A,FALSE,"WEST_OT"}</definedName>
    <definedName name="perra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a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L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5YRP" localSheetId="25">{"ebitda",#N/A,FALSE,"EBITDA";"consolidated",#N/A,FALSE,"CCC PL";"divisions",#N/A,FALSE,"Divisions"}</definedName>
    <definedName name="PL5YRP" localSheetId="20">{"ebitda",#N/A,FALSE,"EBITDA";"consolidated",#N/A,FALSE,"CCC PL";"divisions",#N/A,FALSE,"Divisions"}</definedName>
    <definedName name="PL5YRP">{"ebitda",#N/A,FALSE,"EBITDA";"consolidated",#N/A,FALSE,"CCC PL";"divisions",#N/A,FALSE,"Divisions"}</definedName>
    <definedName name="planning" localSheetId="25">{#N/A,#N/A,FALSE,"BalSheet 0899";#N/A,#N/A,FALSE,"ytdpl899";#N/A,#N/A,FALSE,"Aug PL";#N/A,#N/A,FALSE,"Minority Int";#N/A,#N/A,FALSE,"Equity Roll Forward";#N/A,#N/A,FALSE,"Book Equity Test"}</definedName>
    <definedName name="planning" localSheetId="20">{#N/A,#N/A,FALSE,"BalSheet 0899";#N/A,#N/A,FALSE,"ytdpl899";#N/A,#N/A,FALSE,"Aug PL";#N/A,#N/A,FALSE,"Minority Int";#N/A,#N/A,FALSE,"Equity Roll Forward";#N/A,#N/A,FALSE,"Book Equity Test"}</definedName>
    <definedName name="planning">{#N/A,#N/A,FALSE,"BalSheet 0899";#N/A,#N/A,FALSE,"ytdpl899";#N/A,#N/A,FALSE,"Aug PL";#N/A,#N/A,FALSE,"Minority Int";#N/A,#N/A,FALSE,"Equity Roll Forward";#N/A,#N/A,FALSE,"Book Equity Test"}</definedName>
    <definedName name="ploi" localSheetId="25">{#N/A,#N/A,FALSE,"Assump2";#N/A,#N/A,FALSE,"Income2";#N/A,#N/A,FALSE,"Balance2";#N/A,#N/A,FALSE,"DCF Filter";#N/A,#N/A,FALSE,"Trans Assump2";#N/A,#N/A,FALSE,"Combined Income2";#N/A,#N/A,FALSE,"Combined Balance2"}</definedName>
    <definedName name="ploi" localSheetId="20">{#N/A,#N/A,FALSE,"Assump2";#N/A,#N/A,FALSE,"Income2";#N/A,#N/A,FALSE,"Balance2";#N/A,#N/A,FALSE,"DCF Filter";#N/A,#N/A,FALSE,"Trans Assump2";#N/A,#N/A,FALSE,"Combined Income2";#N/A,#N/A,FALSE,"Combined Balance2"}</definedName>
    <definedName name="ploi">{#N/A,#N/A,FALSE,"Assump2";#N/A,#N/A,FALSE,"Income2";#N/A,#N/A,FALSE,"Balance2";#N/A,#N/A,FALSE,"DCF Filter";#N/A,#N/A,FALSE,"Trans Assump2";#N/A,#N/A,FALSE,"Combined Income2";#N/A,#N/A,FALSE,"Combined Balance2"}</definedName>
    <definedName name="po" localSheetId="25">{#N/A,#N/A,FALSE,"Calc";#N/A,#N/A,FALSE,"Sensitivity";#N/A,#N/A,FALSE,"LT Earn.Dil.";#N/A,#N/A,FALSE,"Dil. AVP"}</definedName>
    <definedName name="po" localSheetId="20">{#N/A,#N/A,FALSE,"Calc";#N/A,#N/A,FALSE,"Sensitivity";#N/A,#N/A,FALSE,"LT Earn.Dil.";#N/A,#N/A,FALSE,"Dil. AVP"}</definedName>
    <definedName name="po">{#N/A,#N/A,FALSE,"Calc";#N/A,#N/A,FALSE,"Sensitivity";#N/A,#N/A,FALSE,"LT Earn.Dil.";#N/A,#N/A,FALSE,"Dil. AVP"}</definedName>
    <definedName name="poi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p">#REF!</definedName>
    <definedName name="PPP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PP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PP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pre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miumPaidSUmmary" localSheetId="25">{#N/A,#N/A,FALSE,"Projections";#N/A,#N/A,FALSE,"Multiples Valuation";#N/A,#N/A,FALSE,"LBO";#N/A,#N/A,FALSE,"Multiples_Sensitivity";#N/A,#N/A,FALSE,"Summary"}</definedName>
    <definedName name="PremiumPaidSUmmary" localSheetId="20">{#N/A,#N/A,FALSE,"Projections";#N/A,#N/A,FALSE,"Multiples Valuation";#N/A,#N/A,FALSE,"LBO";#N/A,#N/A,FALSE,"Multiples_Sensitivity";#N/A,#N/A,FALSE,"Summary"}</definedName>
    <definedName name="PremiumPaidSUmmary">{#N/A,#N/A,FALSE,"Projections";#N/A,#N/A,FALSE,"Multiples Valuation";#N/A,#N/A,FALSE,"LBO";#N/A,#N/A,FALSE,"Multiples_Sensitivity";#N/A,#N/A,FALSE,"Summary"}</definedName>
    <definedName name="presentación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ción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odForm">#REF!</definedName>
    <definedName name="profimp2" localSheetId="25">{"PAGE 1",#N/A,FALSE,"WEST_OT"}</definedName>
    <definedName name="profimp2" localSheetId="20">{"PAGE 1",#N/A,FALSE,"WEST_OT"}</definedName>
    <definedName name="profimp2">{"PAGE 1",#N/A,FALSE,"WEST_OT"}</definedName>
    <definedName name="profimp3" localSheetId="25">{"PAGE 2",#N/A,FALSE,"WEST_OT"}</definedName>
    <definedName name="profimp3" localSheetId="20">{"PAGE 2",#N/A,FALSE,"WEST_OT"}</definedName>
    <definedName name="profimp3">{"PAGE 2",#N/A,FALSE,"WEST_OT"}</definedName>
    <definedName name="profimp5" localSheetId="25">{"PAGE 1",#N/A,FALSE,"WEST_OT"}</definedName>
    <definedName name="profimp5" localSheetId="20">{"PAGE 1",#N/A,FALSE,"WEST_OT"}</definedName>
    <definedName name="profimp5">{"PAGE 1",#N/A,FALSE,"WEST_OT"}</definedName>
    <definedName name="profimptest" localSheetId="25">{"PAGE 2",#N/A,FALSE,"WEST_OT"}</definedName>
    <definedName name="profimptest" localSheetId="20">{"PAGE 2",#N/A,FALSE,"WEST_OT"}</definedName>
    <definedName name="profimptest">{"PAGE 2",#N/A,FALSE,"WEST_OT"}</definedName>
    <definedName name="Profit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fit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fit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roperty">40406.4520138889</definedName>
    <definedName name="prout" localSheetId="25">{"comp1",#N/A,FALSE,"COMPS";"footnotes",#N/A,FALSE,"COMPS"}</definedName>
    <definedName name="prout" localSheetId="20">{"comp1",#N/A,FALSE,"COMPS";"footnotes",#N/A,FALSE,"COMPS"}</definedName>
    <definedName name="prout">{"comp1",#N/A,FALSE,"COMPS";"footnotes",#N/A,FALSE,"COMPS"}</definedName>
    <definedName name="PUB_FileID">"L10003787.xls"</definedName>
    <definedName name="PUB_UserID">"MAYERX"</definedName>
    <definedName name="pvdsk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 localSheetId="25">{"CSheet",#N/A,FALSE,"C";"SmCap",#N/A,FALSE,"VAL1";"GulfCoast",#N/A,FALSE,"VAL1";"nav",#N/A,FALSE,"NAV";"Summary",#N/A,FALSE,"NAV"}</definedName>
    <definedName name="q" localSheetId="20">{"CSheet",#N/A,FALSE,"C";"SmCap",#N/A,FALSE,"VAL1";"GulfCoast",#N/A,FALSE,"VAL1";"nav",#N/A,FALSE,"NAV";"Summary",#N/A,FALSE,"NAV"}</definedName>
    <definedName name="q">{"CSheet",#N/A,FALSE,"C";"SmCap",#N/A,FALSE,"VAL1";"GulfCoast",#N/A,FALSE,"VAL1";"nav",#N/A,FALSE,"NAV";"Summary",#N/A,FALSE,"NAV"}</definedName>
    <definedName name="q4NIvsplan" localSheetId="25">{#N/A,#N/A,FALSE,"BalSheet 0899";#N/A,#N/A,FALSE,"ytdpl899";#N/A,#N/A,FALSE,"Aug PL";#N/A,#N/A,FALSE,"Minority Int";#N/A,#N/A,FALSE,"Equity Roll Forward";#N/A,#N/A,FALSE,"Book Equity Test"}</definedName>
    <definedName name="q4NIvsplan" localSheetId="20">{#N/A,#N/A,FALSE,"BalSheet 0899";#N/A,#N/A,FALSE,"ytdpl899";#N/A,#N/A,FALSE,"Aug PL";#N/A,#N/A,FALSE,"Minority Int";#N/A,#N/A,FALSE,"Equity Roll Forward";#N/A,#N/A,FALSE,"Book Equity Test"}</definedName>
    <definedName name="q4NIvsplan">{#N/A,#N/A,FALSE,"BalSheet 0899";#N/A,#N/A,FALSE,"ytdpl899";#N/A,#N/A,FALSE,"Aug PL";#N/A,#N/A,FALSE,"Minority Int";#N/A,#N/A,FALSE,"Equity Roll Forward";#N/A,#N/A,FALSE,"Book Equity Test"}</definedName>
    <definedName name="qe5yh" localSheetId="25">{#N/A,#N/A,FALSE,"Summary";#N/A,#N/A,FALSE,"Projections";#N/A,#N/A,FALSE,"Mkt Mults";#N/A,#N/A,FALSE,"DCF";#N/A,#N/A,FALSE,"Accr Dil";#N/A,#N/A,FALSE,"PIC LBO";#N/A,#N/A,FALSE,"MULT10_4";#N/A,#N/A,FALSE,"CBI LBO"}</definedName>
    <definedName name="qe5yh" localSheetId="20">{#N/A,#N/A,FALSE,"Summary";#N/A,#N/A,FALSE,"Projections";#N/A,#N/A,FALSE,"Mkt Mults";#N/A,#N/A,FALSE,"DCF";#N/A,#N/A,FALSE,"Accr Dil";#N/A,#N/A,FALSE,"PIC LBO";#N/A,#N/A,FALSE,"MULT10_4";#N/A,#N/A,FALSE,"CBI LBO"}</definedName>
    <definedName name="qe5yh">{#N/A,#N/A,FALSE,"Summary";#N/A,#N/A,FALSE,"Projections";#N/A,#N/A,FALSE,"Mkt Mults";#N/A,#N/A,FALSE,"DCF";#N/A,#N/A,FALSE,"Accr Dil";#N/A,#N/A,FALSE,"PIC LBO";#N/A,#N/A,FALSE,"MULT10_4";#N/A,#N/A,FALSE,"CBI LBO"}</definedName>
    <definedName name="QofE2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localSheetId="25">{"incomemth",#N/A,TRUE,"forecast00";"incomepercentmth",#N/A,TRUE,"forecast00";"balancemth",#N/A,TRUE,"forecast00";"cashmth",#N/A,TRUE,"forecast00";"covenantmth",#N/A,TRUE,"forecast00"}</definedName>
    <definedName name="qp" localSheetId="20">{"incomemth",#N/A,TRUE,"forecast00";"incomepercentmth",#N/A,TRUE,"forecast00";"balancemth",#N/A,TRUE,"forecast00";"cashmth",#N/A,TRUE,"forecast00";"covenantmth",#N/A,TRUE,"forecast00"}</definedName>
    <definedName name="qp">{"incomemth",#N/A,TRUE,"forecast00";"incomepercentmth",#N/A,TRUE,"forecast00";"balancemth",#N/A,TRUE,"forecast00";"cashmth",#N/A,TRUE,"forecast00";"covenantmth",#N/A,TRUE,"forecast00"}</definedName>
    <definedName name="qq" localSheetId="25">{"incomemth",#N/A,TRUE,"forecast00";"incomepercentmth",#N/A,TRUE,"forecast00";"balancemth",#N/A,TRUE,"forecast00";"cashmth",#N/A,TRUE,"forecast00";"covenantmth",#N/A,TRUE,"forecast00"}</definedName>
    <definedName name="qq" localSheetId="20">{"incomemth",#N/A,TRUE,"forecast00";"incomepercentmth",#N/A,TRUE,"forecast00";"balancemth",#N/A,TRUE,"forecast00";"cashmth",#N/A,TRUE,"forecast00";"covenantmth",#N/A,TRUE,"forecast00"}</definedName>
    <definedName name="qq">{"incomemth",#N/A,TRUE,"forecast00";"incomepercentmth",#N/A,TRUE,"forecast00";"balancemth",#N/A,TRUE,"forecast00";"cashmth",#N/A,TRUE,"forecast00";"covenantmth",#N/A,TRUE,"forecast00"}</definedName>
    <definedName name="QQQ" localSheetId="25">{"NHEC",#N/A,FALSE,"NHEC"}</definedName>
    <definedName name="QQQ" localSheetId="20">{"NHEC",#N/A,FALSE,"NHEC"}</definedName>
    <definedName name="QQQ">{"NHEC",#N/A,FALSE,"NHEC"}</definedName>
    <definedName name="qw" localSheetId="25">{"'下期集計（10.27迄・速報値）'!$Q$16"}</definedName>
    <definedName name="qw" localSheetId="20">{"'下期集計（10.27迄・速報値）'!$Q$16"}</definedName>
    <definedName name="qw">{"'下期集計（10.27迄・速報値）'!$Q$16"}</definedName>
    <definedName name="qwe" localSheetId="25">{"incomemth",#N/A,TRUE,"forecast00";"incomepercentmth",#N/A,TRUE,"forecast00";"balancemth",#N/A,TRUE,"forecast00";"cashmth",#N/A,TRUE,"forecast00";"covenantmth",#N/A,TRUE,"forecast00"}</definedName>
    <definedName name="qwe" localSheetId="20">{"incomemth",#N/A,TRUE,"forecast00";"incomepercentmth",#N/A,TRUE,"forecast00";"balancemth",#N/A,TRUE,"forecast00";"cashmth",#N/A,TRUE,"forecast00";"covenantmth",#N/A,TRUE,"forecast00"}</definedName>
    <definedName name="qwe">{"incomemth",#N/A,TRUE,"forecast00";"incomepercentmth",#N/A,TRUE,"forecast00";"balancemth",#N/A,TRUE,"forecast00";"cashmth",#N/A,TRUE,"forecast00";"covenantmth",#N/A,TRUE,"forecast00"}</definedName>
    <definedName name="qwerty" localSheetId="25">{#N/A,#N/A,TRUE,"FOC_Product_Assumptions"}</definedName>
    <definedName name="qwerty" localSheetId="20">{#N/A,#N/A,TRUE,"FOC_Product_Assumptions"}</definedName>
    <definedName name="qwerty">{#N/A,#N/A,TRUE,"FOC_Product_Assumptions"}</definedName>
    <definedName name="qwpp" localSheetId="25">{"incomemth",#N/A,TRUE,"forecast00";"incomepercentmth",#N/A,TRUE,"forecast00";"balancemth",#N/A,TRUE,"forecast00";"cashmth",#N/A,TRUE,"forecast00";"covenantmth",#N/A,TRUE,"forecast00"}</definedName>
    <definedName name="qwpp" localSheetId="20">{"incomemth",#N/A,TRUE,"forecast00";"incomepercentmth",#N/A,TRUE,"forecast00";"balancemth",#N/A,TRUE,"forecast00";"cashmth",#N/A,TRUE,"forecast00";"covenantmth",#N/A,TRUE,"forecast00"}</definedName>
    <definedName name="qwpp">{"incomemth",#N/A,TRUE,"forecast00";"incomepercentmth",#N/A,TRUE,"forecast00";"balancemth",#N/A,TRUE,"forecast00";"cashmth",#N/A,TRUE,"forecast00";"covenantmth",#N/A,TRUE,"forecast00"}</definedName>
    <definedName name="qwq">"c4444"</definedName>
    <definedName name="ra" localSheetId="25">{"bs",#N/A,FALSE,"SCF"}</definedName>
    <definedName name="ra" localSheetId="20">{"bs",#N/A,FALSE,"SCF"}</definedName>
    <definedName name="ra">{"bs",#N/A,FALSE,"SCF"}</definedName>
    <definedName name="raag" localSheetId="25">{"reagan is",#N/A,FALSE,"CONS IS";"reagan na",#N/A,FALSE,"NOTE PAYMENTS";"reagan bs",#N/A,FALSE,"CONS BS";"reagan cf",#N/A,FALSE,"CONS BS";"reagan ds",#N/A,FALSE,"CONS BS"}</definedName>
    <definedName name="raag" localSheetId="20">{"reagan is",#N/A,FALSE,"CONS IS";"reagan na",#N/A,FALSE,"NOTE PAYMENTS";"reagan bs",#N/A,FALSE,"CONS BS";"reagan cf",#N/A,FALSE,"CONS BS";"reagan ds",#N/A,FALSE,"CONS BS"}</definedName>
    <definedName name="raag">{"reagan is",#N/A,FALSE,"CONS IS";"reagan na",#N/A,FALSE,"NOTE PAYMENTS";"reagan bs",#N/A,FALSE,"CONS BS";"reagan cf",#N/A,FALSE,"CONS BS";"reagan ds",#N/A,FALSE,"CONS BS"}</definedName>
    <definedName name="ramon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mon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Change">#REF!</definedName>
    <definedName name="ＲＡＲＯＡ" localSheetId="25">{"'下期集計（10.27迄・速報値）'!$Q$16"}</definedName>
    <definedName name="ＲＡＲＯＡ" localSheetId="20">{"'下期集計（10.27迄・速報値）'!$Q$16"}</definedName>
    <definedName name="ＲＡＲＯＡ">{"'下期集計（10.27迄・速報値）'!$Q$16"}</definedName>
    <definedName name="RawsFIT" localSheetId="25">{#N/A,#N/A,TRUE,"Summary";#N/A,#N/A,TRUE,"Assumptions";#N/A,#N/A,TRUE,"Comparison";#N/A,#N/A,TRUE,"Financials";#N/A,#N/A,TRUE,"Plan v. Act"}</definedName>
    <definedName name="RawsFIT" localSheetId="20">{#N/A,#N/A,TRUE,"Summary";#N/A,#N/A,TRUE,"Assumptions";#N/A,#N/A,TRUE,"Comparison";#N/A,#N/A,TRUE,"Financials";#N/A,#N/A,TRUE,"Plan v. Act"}</definedName>
    <definedName name="RawsFIT">{#N/A,#N/A,TRUE,"Summary";#N/A,#N/A,TRUE,"Assumptions";#N/A,#N/A,TRUE,"Comparison";#N/A,#N/A,TRUE,"Financials";#N/A,#N/A,TRUE,"Plan v. Act"}</definedName>
    <definedName name="ray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>#REF!</definedName>
    <definedName name="reag10" localSheetId="25">{"reagan is",#N/A,FALSE,"CONS IS";"reagan na",#N/A,FALSE,"NOTE PAYMENTS";"reagan bs",#N/A,FALSE,"CONS BS";"reagan cf",#N/A,FALSE,"CONS BS";"reagan ds",#N/A,FALSE,"CONS BS"}</definedName>
    <definedName name="reag10" localSheetId="20">{"reagan is",#N/A,FALSE,"CONS IS";"reagan na",#N/A,FALSE,"NOTE PAYMENTS";"reagan bs",#N/A,FALSE,"CONS BS";"reagan cf",#N/A,FALSE,"CONS BS";"reagan ds",#N/A,FALSE,"CONS BS"}</definedName>
    <definedName name="reag10">{"reagan is",#N/A,FALSE,"CONS IS";"reagan na",#N/A,FALSE,"NOTE PAYMENTS";"reagan bs",#N/A,FALSE,"CONS BS";"reagan cf",#N/A,FALSE,"CONS BS";"reagan ds",#N/A,FALSE,"CONS BS"}</definedName>
    <definedName name="reag5" localSheetId="25">{"reagan is",#N/A,FALSE,"CONS IS";"reagan na",#N/A,FALSE,"NOTE PAYMENTS";"reagan bs",#N/A,FALSE,"CONS BS";"reagan cf",#N/A,FALSE,"CONS BS";"reagan ds",#N/A,FALSE,"CONS BS"}</definedName>
    <definedName name="reag5" localSheetId="20">{"reagan is",#N/A,FALSE,"CONS IS";"reagan na",#N/A,FALSE,"NOTE PAYMENTS";"reagan bs",#N/A,FALSE,"CONS BS";"reagan cf",#N/A,FALSE,"CONS BS";"reagan ds",#N/A,FALSE,"CONS BS"}</definedName>
    <definedName name="reag5">{"reagan is",#N/A,FALSE,"CONS IS";"reagan na",#N/A,FALSE,"NOTE PAYMENTS";"reagan bs",#N/A,FALSE,"CONS BS";"reagan cf",#N/A,FALSE,"CONS BS";"reagan ds",#N/A,FALSE,"CONS BS"}</definedName>
    <definedName name="reag55" localSheetId="25">{"reagan is",#N/A,FALSE,"CONS IS";"reagan na",#N/A,FALSE,"NOTE PAYMENTS";"reagan bs",#N/A,FALSE,"CONS BS";"reagan cf",#N/A,FALSE,"CONS BS";"reagan ds",#N/A,FALSE,"CONS BS"}</definedName>
    <definedName name="reag55" localSheetId="20">{"reagan is",#N/A,FALSE,"CONS IS";"reagan na",#N/A,FALSE,"NOTE PAYMENTS";"reagan bs",#N/A,FALSE,"CONS BS";"reagan cf",#N/A,FALSE,"CONS BS";"reagan ds",#N/A,FALSE,"CONS BS"}</definedName>
    <definedName name="reag55">{"reagan is",#N/A,FALSE,"CONS IS";"reagan na",#N/A,FALSE,"NOTE PAYMENTS";"reagan bs",#N/A,FALSE,"CONS BS";"reagan cf",#N/A,FALSE,"CONS BS";"reagan ds",#N/A,FALSE,"CONS BS"}</definedName>
    <definedName name="reaga" localSheetId="25">{"reagan is",#N/A,FALSE,"CONS IS";"reagan na",#N/A,FALSE,"NOTE PAYMENTS";"reagan bs",#N/A,FALSE,"CONS BS";"reagan cf",#N/A,FALSE,"CONS BS";"reagan ds",#N/A,FALSE,"CONS BS"}</definedName>
    <definedName name="reaga" localSheetId="20">{"reagan is",#N/A,FALSE,"CONS IS";"reagan na",#N/A,FALSE,"NOTE PAYMENTS";"reagan bs",#N/A,FALSE,"CONS BS";"reagan cf",#N/A,FALSE,"CONS BS";"reagan ds",#N/A,FALSE,"CONS BS"}</definedName>
    <definedName name="reaga">{"reagan is",#N/A,FALSE,"CONS IS";"reagan na",#N/A,FALSE,"NOTE PAYMENTS";"reagan bs",#N/A,FALSE,"CONS BS";"reagan cf",#N/A,FALSE,"CONS BS";"reagan ds",#N/A,FALSE,"CONS BS"}</definedName>
    <definedName name="reagan00" localSheetId="25">{"reagan is",#N/A,FALSE,"CONS IS";"reagan na",#N/A,FALSE,"NOTE PAYMENTS";"reagan bs",#N/A,FALSE,"CONS BS";"reagan cf",#N/A,FALSE,"CONS BS";"reagan ds",#N/A,FALSE,"CONS BS"}</definedName>
    <definedName name="reagan00" localSheetId="20">{"reagan is",#N/A,FALSE,"CONS IS";"reagan na",#N/A,FALSE,"NOTE PAYMENTS";"reagan bs",#N/A,FALSE,"CONS BS";"reagan cf",#N/A,FALSE,"CONS BS";"reagan ds",#N/A,FALSE,"CONS BS"}</definedName>
    <definedName name="reagan00">{"reagan is",#N/A,FALSE,"CONS IS";"reagan na",#N/A,FALSE,"NOTE PAYMENTS";"reagan bs",#N/A,FALSE,"CONS BS";"reagan cf",#N/A,FALSE,"CONS BS";"reagan ds",#N/A,FALSE,"CONS BS"}</definedName>
    <definedName name="reagan15" localSheetId="25">{"reagan is",#N/A,FALSE,"CONS IS";"reagan na",#N/A,FALSE,"NOTE PAYMENTS";"reagan bs",#N/A,FALSE,"CONS BS";"reagan cf",#N/A,FALSE,"CONS BS";"reagan ds",#N/A,FALSE,"CONS BS"}</definedName>
    <definedName name="reagan15" localSheetId="20">{"reagan is",#N/A,FALSE,"CONS IS";"reagan na",#N/A,FALSE,"NOTE PAYMENTS";"reagan bs",#N/A,FALSE,"CONS BS";"reagan cf",#N/A,FALSE,"CONS BS";"reagan ds",#N/A,FALSE,"CONS BS"}</definedName>
    <definedName name="reagan15">{"reagan is",#N/A,FALSE,"CONS IS";"reagan na",#N/A,FALSE,"NOTE PAYMENTS";"reagan bs",#N/A,FALSE,"CONS BS";"reagan cf",#N/A,FALSE,"CONS BS";"reagan ds",#N/A,FALSE,"CONS BS"}</definedName>
    <definedName name="reagan2" localSheetId="25">{"reagan is",#N/A,FALSE,"CONS IS";"reagan na",#N/A,FALSE,"NOTE PAYMENTS";"reagan bs",#N/A,FALSE,"CONS BS";"reagan cf",#N/A,FALSE,"CONS BS";"reagan ds",#N/A,FALSE,"CONS BS"}</definedName>
    <definedName name="reagan2" localSheetId="20">{"reagan is",#N/A,FALSE,"CONS IS";"reagan na",#N/A,FALSE,"NOTE PAYMENTS";"reagan bs",#N/A,FALSE,"CONS BS";"reagan cf",#N/A,FALSE,"CONS BS";"reagan ds",#N/A,FALSE,"CONS BS"}</definedName>
    <definedName name="reagan2">{"reagan is",#N/A,FALSE,"CONS IS";"reagan na",#N/A,FALSE,"NOTE PAYMENTS";"reagan bs",#N/A,FALSE,"CONS BS";"reagan cf",#N/A,FALSE,"CONS BS";"reagan ds",#N/A,FALSE,"CONS BS"}</definedName>
    <definedName name="reagan20" localSheetId="25">{"reagan is",#N/A,FALSE,"CONS IS";"reagan na",#N/A,FALSE,"NOTE PAYMENTS";"reagan bs",#N/A,FALSE,"CONS BS";"reagan cf",#N/A,FALSE,"CONS BS";"reagan ds",#N/A,FALSE,"CONS BS"}</definedName>
    <definedName name="reagan20" localSheetId="20">{"reagan is",#N/A,FALSE,"CONS IS";"reagan na",#N/A,FALSE,"NOTE PAYMENTS";"reagan bs",#N/A,FALSE,"CONS BS";"reagan cf",#N/A,FALSE,"CONS BS";"reagan ds",#N/A,FALSE,"CONS BS"}</definedName>
    <definedName name="reagan20">{"reagan is",#N/A,FALSE,"CONS IS";"reagan na",#N/A,FALSE,"NOTE PAYMENTS";"reagan bs",#N/A,FALSE,"CONS BS";"reagan cf",#N/A,FALSE,"CONS BS";"reagan ds",#N/A,FALSE,"CONS BS"}</definedName>
    <definedName name="reagan22" localSheetId="25">{"reagan is",#N/A,FALSE,"CONS IS";"reagan na",#N/A,FALSE,"NOTE PAYMENTS";"reagan bs",#N/A,FALSE,"CONS BS";"reagan cf",#N/A,FALSE,"CONS BS";"reagan ds",#N/A,FALSE,"CONS BS"}</definedName>
    <definedName name="reagan22" localSheetId="20">{"reagan is",#N/A,FALSE,"CONS IS";"reagan na",#N/A,FALSE,"NOTE PAYMENTS";"reagan bs",#N/A,FALSE,"CONS BS";"reagan cf",#N/A,FALSE,"CONS BS";"reagan ds",#N/A,FALSE,"CONS BS"}</definedName>
    <definedName name="reagan22">{"reagan is",#N/A,FALSE,"CONS IS";"reagan na",#N/A,FALSE,"NOTE PAYMENTS";"reagan bs",#N/A,FALSE,"CONS BS";"reagan cf",#N/A,FALSE,"CONS BS";"reagan ds",#N/A,FALSE,"CONS BS"}</definedName>
    <definedName name="reagan26" localSheetId="25">{"reagan is",#N/A,FALSE,"CONS IS";"reagan na",#N/A,FALSE,"NOTE PAYMENTS";"reagan bs",#N/A,FALSE,"CONS BS";"reagan cf",#N/A,FALSE,"CONS BS";"reagan ds",#N/A,FALSE,"CONS BS"}</definedName>
    <definedName name="reagan26" localSheetId="20">{"reagan is",#N/A,FALSE,"CONS IS";"reagan na",#N/A,FALSE,"NOTE PAYMENTS";"reagan bs",#N/A,FALSE,"CONS BS";"reagan cf",#N/A,FALSE,"CONS BS";"reagan ds",#N/A,FALSE,"CONS BS"}</definedName>
    <definedName name="reagan26">{"reagan is",#N/A,FALSE,"CONS IS";"reagan na",#N/A,FALSE,"NOTE PAYMENTS";"reagan bs",#N/A,FALSE,"CONS BS";"reagan cf",#N/A,FALSE,"CONS BS";"reagan ds",#N/A,FALSE,"CONS BS"}</definedName>
    <definedName name="reagan3" localSheetId="25">{"reagan is",#N/A,FALSE,"CONS IS";"reagan na",#N/A,FALSE,"NOTE PAYMENTS";"reagan bs",#N/A,FALSE,"CONS BS";"reagan cf",#N/A,FALSE,"CONS BS";"reagan ds",#N/A,FALSE,"CONS BS"}</definedName>
    <definedName name="reagan3" localSheetId="20">{"reagan is",#N/A,FALSE,"CONS IS";"reagan na",#N/A,FALSE,"NOTE PAYMENTS";"reagan bs",#N/A,FALSE,"CONS BS";"reagan cf",#N/A,FALSE,"CONS BS";"reagan ds",#N/A,FALSE,"CONS BS"}</definedName>
    <definedName name="reagan3">{"reagan is",#N/A,FALSE,"CONS IS";"reagan na",#N/A,FALSE,"NOTE PAYMENTS";"reagan bs",#N/A,FALSE,"CONS BS";"reagan cf",#N/A,FALSE,"CONS BS";"reagan ds",#N/A,FALSE,"CONS BS"}</definedName>
    <definedName name="reagan30" localSheetId="25">{"reagan is",#N/A,FALSE,"CONS IS";"reagan na",#N/A,FALSE,"NOTE PAYMENTS";"reagan bs",#N/A,FALSE,"CONS BS";"reagan cf",#N/A,FALSE,"CONS BS";"reagan ds",#N/A,FALSE,"CONS BS"}</definedName>
    <definedName name="reagan30" localSheetId="20">{"reagan is",#N/A,FALSE,"CONS IS";"reagan na",#N/A,FALSE,"NOTE PAYMENTS";"reagan bs",#N/A,FALSE,"CONS BS";"reagan cf",#N/A,FALSE,"CONS BS";"reagan ds",#N/A,FALSE,"CONS BS"}</definedName>
    <definedName name="reagan30">{"reagan is",#N/A,FALSE,"CONS IS";"reagan na",#N/A,FALSE,"NOTE PAYMENTS";"reagan bs",#N/A,FALSE,"CONS BS";"reagan cf",#N/A,FALSE,"CONS BS";"reagan ds",#N/A,FALSE,"CONS BS"}</definedName>
    <definedName name="reagan33" localSheetId="25">{"reagan is",#N/A,FALSE,"CONS IS";"reagan na",#N/A,FALSE,"NOTE PAYMENTS";"reagan bs",#N/A,FALSE,"CONS BS";"reagan cf",#N/A,FALSE,"CONS BS";"reagan ds",#N/A,FALSE,"CONS BS"}</definedName>
    <definedName name="reagan33" localSheetId="20">{"reagan is",#N/A,FALSE,"CONS IS";"reagan na",#N/A,FALSE,"NOTE PAYMENTS";"reagan bs",#N/A,FALSE,"CONS BS";"reagan cf",#N/A,FALSE,"CONS BS";"reagan ds",#N/A,FALSE,"CONS BS"}</definedName>
    <definedName name="reagan33">{"reagan is",#N/A,FALSE,"CONS IS";"reagan na",#N/A,FALSE,"NOTE PAYMENTS";"reagan bs",#N/A,FALSE,"CONS BS";"reagan cf",#N/A,FALSE,"CONS BS";"reagan ds",#N/A,FALSE,"CONS BS"}</definedName>
    <definedName name="reagan4" localSheetId="25">{"reagan is",#N/A,FALSE,"CONS IS";"reagan na",#N/A,FALSE,"NOTE PAYMENTS";"reagan bs",#N/A,FALSE,"CONS BS";"reagan cf",#N/A,FALSE,"CONS BS";"reagan ds",#N/A,FALSE,"CONS BS"}</definedName>
    <definedName name="reagan4" localSheetId="20">{"reagan is",#N/A,FALSE,"CONS IS";"reagan na",#N/A,FALSE,"NOTE PAYMENTS";"reagan bs",#N/A,FALSE,"CONS BS";"reagan cf",#N/A,FALSE,"CONS BS";"reagan ds",#N/A,FALSE,"CONS BS"}</definedName>
    <definedName name="reagan4">{"reagan is",#N/A,FALSE,"CONS IS";"reagan na",#N/A,FALSE,"NOTE PAYMENTS";"reagan bs",#N/A,FALSE,"CONS BS";"reagan cf",#N/A,FALSE,"CONS BS";"reagan ds",#N/A,FALSE,"CONS BS"}</definedName>
    <definedName name="reagan44" localSheetId="25">{"reagan is",#N/A,FALSE,"CONS IS";"reagan na",#N/A,FALSE,"NOTE PAYMENTS";"reagan bs",#N/A,FALSE,"CONS BS";"reagan cf",#N/A,FALSE,"CONS BS";"reagan ds",#N/A,FALSE,"CONS BS"}</definedName>
    <definedName name="reagan44" localSheetId="20">{"reagan is",#N/A,FALSE,"CONS IS";"reagan na",#N/A,FALSE,"NOTE PAYMENTS";"reagan bs",#N/A,FALSE,"CONS BS";"reagan cf",#N/A,FALSE,"CONS BS";"reagan ds",#N/A,FALSE,"CONS BS"}</definedName>
    <definedName name="reagan44">{"reagan is",#N/A,FALSE,"CONS IS";"reagan na",#N/A,FALSE,"NOTE PAYMENTS";"reagan bs",#N/A,FALSE,"CONS BS";"reagan cf",#N/A,FALSE,"CONS BS";"reagan ds",#N/A,FALSE,"CONS BS"}</definedName>
    <definedName name="reagan5" localSheetId="25">{"reagan is",#N/A,FALSE,"CONS IS";"reagan na",#N/A,FALSE,"NOTE PAYMENTS";"reagan bs",#N/A,FALSE,"CONS BS";"reagan cf",#N/A,FALSE,"CONS BS";"reagan ds",#N/A,FALSE,"CONS BS"}</definedName>
    <definedName name="reagan5" localSheetId="20">{"reagan is",#N/A,FALSE,"CONS IS";"reagan na",#N/A,FALSE,"NOTE PAYMENTS";"reagan bs",#N/A,FALSE,"CONS BS";"reagan cf",#N/A,FALSE,"CONS BS";"reagan ds",#N/A,FALSE,"CONS BS"}</definedName>
    <definedName name="reagan5">{"reagan is",#N/A,FALSE,"CONS IS";"reagan na",#N/A,FALSE,"NOTE PAYMENTS";"reagan bs",#N/A,FALSE,"CONS BS";"reagan cf",#N/A,FALSE,"CONS BS";"reagan ds",#N/A,FALSE,"CONS BS"}</definedName>
    <definedName name="reagan55" localSheetId="25">{"reagan is",#N/A,FALSE,"CONS IS";"reagan na",#N/A,FALSE,"NOTE PAYMENTS";"reagan bs",#N/A,FALSE,"CONS BS";"reagan cf",#N/A,FALSE,"CONS BS";"reagan ds",#N/A,FALSE,"CONS BS"}</definedName>
    <definedName name="reagan55" localSheetId="20">{"reagan is",#N/A,FALSE,"CONS IS";"reagan na",#N/A,FALSE,"NOTE PAYMENTS";"reagan bs",#N/A,FALSE,"CONS BS";"reagan cf",#N/A,FALSE,"CONS BS";"reagan ds",#N/A,FALSE,"CONS BS"}</definedName>
    <definedName name="reagan55">{"reagan is",#N/A,FALSE,"CONS IS";"reagan na",#N/A,FALSE,"NOTE PAYMENTS";"reagan bs",#N/A,FALSE,"CONS BS";"reagan cf",#N/A,FALSE,"CONS BS";"reagan ds",#N/A,FALSE,"CONS BS"}</definedName>
    <definedName name="reagan7" localSheetId="25">{"reagan is",#N/A,FALSE,"CONS IS";"reagan na",#N/A,FALSE,"NOTE PAYMENTS";"reagan bs",#N/A,FALSE,"CONS BS";"reagan cf",#N/A,FALSE,"CONS BS";"reagan ds",#N/A,FALSE,"CONS BS"}</definedName>
    <definedName name="reagan7" localSheetId="20">{"reagan is",#N/A,FALSE,"CONS IS";"reagan na",#N/A,FALSE,"NOTE PAYMENTS";"reagan bs",#N/A,FALSE,"CONS BS";"reagan cf",#N/A,FALSE,"CONS BS";"reagan ds",#N/A,FALSE,"CONS BS"}</definedName>
    <definedName name="reagan7">{"reagan is",#N/A,FALSE,"CONS IS";"reagan na",#N/A,FALSE,"NOTE PAYMENTS";"reagan bs",#N/A,FALSE,"CONS BS";"reagan cf",#N/A,FALSE,"CONS BS";"reagan ds",#N/A,FALSE,"CONS BS"}</definedName>
    <definedName name="reagan9" localSheetId="25">{"reagan is",#N/A,FALSE,"CONS IS";"reagan na",#N/A,FALSE,"NOTE PAYMENTS";"reagan bs",#N/A,FALSE,"CONS BS";"reagan cf",#N/A,FALSE,"CONS BS";"reagan ds",#N/A,FALSE,"CONS BS"}</definedName>
    <definedName name="reagan9" localSheetId="20">{"reagan is",#N/A,FALSE,"CONS IS";"reagan na",#N/A,FALSE,"NOTE PAYMENTS";"reagan bs",#N/A,FALSE,"CONS BS";"reagan cf",#N/A,FALSE,"CONS BS";"reagan ds",#N/A,FALSE,"CONS BS"}</definedName>
    <definedName name="reagan9">{"reagan is",#N/A,FALSE,"CONS IS";"reagan na",#N/A,FALSE,"NOTE PAYMENTS";"reagan bs",#N/A,FALSE,"CONS BS";"reagan cf",#N/A,FALSE,"CONS BS";"reagan ds",#N/A,FALSE,"CONS BS"}</definedName>
    <definedName name="reagan99" localSheetId="25">{"reagan is",#N/A,FALSE,"CONS IS";"reagan na",#N/A,FALSE,"NOTE PAYMENTS";"reagan bs",#N/A,FALSE,"CONS BS";"reagan cf",#N/A,FALSE,"CONS BS";"reagan ds",#N/A,FALSE,"CONS BS"}</definedName>
    <definedName name="reagan99" localSheetId="20">{"reagan is",#N/A,FALSE,"CONS IS";"reagan na",#N/A,FALSE,"NOTE PAYMENTS";"reagan bs",#N/A,FALSE,"CONS BS";"reagan cf",#N/A,FALSE,"CONS BS";"reagan ds",#N/A,FALSE,"CONS BS"}</definedName>
    <definedName name="reagan99">{"reagan is",#N/A,FALSE,"CONS IS";"reagan na",#N/A,FALSE,"NOTE PAYMENTS";"reagan bs",#N/A,FALSE,"CONS BS";"reagan cf",#N/A,FALSE,"CONS BS";"reagan ds",#N/A,FALSE,"CONS BS"}</definedName>
    <definedName name="RedefinePrintTableRange">#REF!</definedName>
    <definedName name="redo" localSheetId="25">{#N/A,#N/A,FALSE,"ACQ_GRAPHS";#N/A,#N/A,FALSE,"T_1 GRAPHS";#N/A,#N/A,FALSE,"T_2 GRAPHS";#N/A,#N/A,FALSE,"COMB_GRAPHS"}</definedName>
    <definedName name="redo" localSheetId="20">{#N/A,#N/A,FALSE,"ACQ_GRAPHS";#N/A,#N/A,FALSE,"T_1 GRAPHS";#N/A,#N/A,FALSE,"T_2 GRAPHS";#N/A,#N/A,FALSE,"COMB_GRAPHS"}</definedName>
    <definedName name="redo">{#N/A,#N/A,FALSE,"ACQ_GRAPHS";#N/A,#N/A,FALSE,"T_1 GRAPHS";#N/A,#N/A,FALSE,"T_2 GRAPHS";#N/A,#N/A,FALSE,"COMB_GRAPHS"}</definedName>
    <definedName name="reeag" localSheetId="25">{"reagan is",#N/A,FALSE,"CONS IS";"reagan na",#N/A,FALSE,"NOTE PAYMENTS";"reagan bs",#N/A,FALSE,"CONS BS";"reagan cf",#N/A,FALSE,"CONS BS";"reagan ds",#N/A,FALSE,"CONS BS"}</definedName>
    <definedName name="reeag" localSheetId="20">{"reagan is",#N/A,FALSE,"CONS IS";"reagan na",#N/A,FALSE,"NOTE PAYMENTS";"reagan bs",#N/A,FALSE,"CONS BS";"reagan cf",#N/A,FALSE,"CONS BS";"reagan ds",#N/A,FALSE,"CONS BS"}</definedName>
    <definedName name="reeag">{"reagan is",#N/A,FALSE,"CONS IS";"reagan na",#N/A,FALSE,"NOTE PAYMENTS";"reagan bs",#N/A,FALSE,"CONS BS";"reagan cf",#N/A,FALSE,"CONS BS";"reagan ds",#N/A,FALSE,"CONS BS"}</definedName>
    <definedName name="Related" localSheetId="25">{#N/A,#N/A,FALSE,"Job Sched"}</definedName>
    <definedName name="Related" localSheetId="20">{#N/A,#N/A,FALSE,"Job Sched"}</definedName>
    <definedName name="Related">{#N/A,#N/A,FALSE,"Job Sched"}</definedName>
    <definedName name="ReportGroup">0</definedName>
    <definedName name="Resource" localSheetId="25">{#N/A,#N/A,FALSE,"TESTING";#N/A,#N/A,FALSE,"TESTING"}</definedName>
    <definedName name="Resource" localSheetId="20">{#N/A,#N/A,FALSE,"TESTING";#N/A,#N/A,FALSE,"TESTING"}</definedName>
    <definedName name="Resource">{#N/A,#N/A,FALSE,"TESTING";#N/A,#N/A,FALSE,"TESTING"}</definedName>
    <definedName name="resources" localSheetId="25">{#N/A,#N/A,FALSE,"Assessment";#N/A,#N/A,FALSE,"Staffing";#N/A,#N/A,FALSE,"Hires";#N/A,#N/A,FALSE,"Assumptions"}</definedName>
    <definedName name="resources" localSheetId="20">{#N/A,#N/A,FALSE,"Assessment";#N/A,#N/A,FALSE,"Staffing";#N/A,#N/A,FALSE,"Hires";#N/A,#N/A,FALSE,"Assumptions"}</definedName>
    <definedName name="resources">{#N/A,#N/A,FALSE,"Assessment";#N/A,#N/A,FALSE,"Staffing";#N/A,#N/A,FALSE,"Hires";#N/A,#N/A,FALSE,"Assumptions"}</definedName>
    <definedName name="Retail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ega">#REF!</definedName>
    <definedName name="retyu" localSheetId="25">{#N/A,#N/A,FALSE,"AD_Purchase";#N/A,#N/A,FALSE,"Credit";#N/A,#N/A,FALSE,"PF Acquisition";#N/A,#N/A,FALSE,"PF Offering"}</definedName>
    <definedName name="retyu" localSheetId="20">{#N/A,#N/A,FALSE,"AD_Purchase";#N/A,#N/A,FALSE,"Credit";#N/A,#N/A,FALSE,"PF Acquisition";#N/A,#N/A,FALSE,"PF Offering"}</definedName>
    <definedName name="retyu">{#N/A,#N/A,FALSE,"AD_Purchase";#N/A,#N/A,FALSE,"Credit";#N/A,#N/A,FALSE,"PF Acquisition";#N/A,#N/A,FALSE,"PF Offering"}</definedName>
    <definedName name="rfgg" localSheetId="25">{#N/A,#N/A,FALSE,"sum-don";#N/A,#N/A,FALSE,"inc-don"}</definedName>
    <definedName name="rfgg" localSheetId="20">{#N/A,#N/A,FALSE,"sum-don";#N/A,#N/A,FALSE,"inc-don"}</definedName>
    <definedName name="rfgg">{#N/A,#N/A,FALSE,"sum-don";#N/A,#N/A,FALSE,"inc-don"}</definedName>
    <definedName name="rhs" localSheetId="25">{#N/A,#N/A,TRUE,"KEY DATA";#N/A,#N/A,TRUE,"KEY DATA Base Case";#N/A,#N/A,TRUE,"JULY";#N/A,#N/A,TRUE,"AUG";#N/A,#N/A,TRUE,"SEPT";#N/A,#N/A,TRUE,"3Q"}</definedName>
    <definedName name="rhs" localSheetId="20">{#N/A,#N/A,TRUE,"KEY DATA";#N/A,#N/A,TRUE,"KEY DATA Base Case";#N/A,#N/A,TRUE,"JULY";#N/A,#N/A,TRUE,"AUG";#N/A,#N/A,TRUE,"SEPT";#N/A,#N/A,TRUE,"3Q"}</definedName>
    <definedName name="rhs">{#N/A,#N/A,TRUE,"KEY DATA";#N/A,#N/A,TRUE,"KEY DATA Base Case";#N/A,#N/A,TRUE,"JULY";#N/A,#N/A,TRUE,"AUG";#N/A,#N/A,TRUE,"SEPT";#N/A,#N/A,TRUE,"3Q"}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0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ngComments">#REF!</definedName>
    <definedName name="rngDialogType">#REF!</definedName>
    <definedName name="rngEndDate">#REF!</definedName>
    <definedName name="rngLastQuery">#REF!</definedName>
    <definedName name="rngLastRefreshOffline">#REF!</definedName>
    <definedName name="rngPassword">#REF!</definedName>
    <definedName name="rngPivotLocation">#REF!</definedName>
    <definedName name="rngProtected">#REF!</definedName>
    <definedName name="rngPWD">#REF!</definedName>
    <definedName name="rngQuery">#REF!</definedName>
    <definedName name="rngQueryType">#REF!</definedName>
    <definedName name="rngRangeName">#REF!</definedName>
    <definedName name="rngRefreshedDate">#REF!</definedName>
    <definedName name="rngScenarios">#REF!</definedName>
    <definedName name="rngShow">#REF!</definedName>
    <definedName name="rngStartDate">#REF!</definedName>
    <definedName name="rngStoredProcedure">#REF!</definedName>
    <definedName name="rngUID">#REF!</definedName>
    <definedName name="rngUnplugged">#REF!</definedName>
    <definedName name="rngVersion">#REF!</definedName>
    <definedName name="romi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mi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RR" localSheetId="25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RR" localSheetId="20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RR">{"TOTAL",#N/A,FALSE,"Total";"Total East",#N/A,FALSE,"East";"Total Central",#N/A,FALSE,"Central";"Total West",#N/A,FALSE,"West";"NHEC",#N/A,FALSE,"NHEC";"Total Wholesale",#N/A,FALSE,"Wholesale";"Total Credit",#N/A,FALSE,"Credit";"Total Admin",#N/A,FALSE,"Admin"}</definedName>
    <definedName name="RscGrpLKP">#REF!</definedName>
    <definedName name="rt" localSheetId="25">{#N/A,#N/A,FALSE,"Second";#N/A,#N/A,FALSE,"ownership";#N/A,#N/A,FALSE,"Valuation";#N/A,#N/A,FALSE,"Eqiv";#N/A,#N/A,FALSE,"Mults";#N/A,#N/A,FALSE,"ISCG Graphics"}</definedName>
    <definedName name="rt" localSheetId="20">{#N/A,#N/A,FALSE,"Second";#N/A,#N/A,FALSE,"ownership";#N/A,#N/A,FALSE,"Valuation";#N/A,#N/A,FALSE,"Eqiv";#N/A,#N/A,FALSE,"Mults";#N/A,#N/A,FALSE,"ISCG Graphics"}</definedName>
    <definedName name="rt">{#N/A,#N/A,FALSE,"Second";#N/A,#N/A,FALSE,"ownership";#N/A,#N/A,FALSE,"Valuation";#N/A,#N/A,FALSE,"Eqiv";#N/A,#N/A,FALSE,"Mults";#N/A,#N/A,FALSE,"ISCG Graphics"}</definedName>
    <definedName name="rty" localSheetId="25">{#N/A,#N/A,TRUE,"Pro Forma";#N/A,#N/A,TRUE,"PF_Bal";#N/A,#N/A,TRUE,"PF_INC";#N/A,#N/A,TRUE,"CBE";#N/A,#N/A,TRUE,"SWK"}</definedName>
    <definedName name="rty" localSheetId="20">{#N/A,#N/A,TRUE,"Pro Forma";#N/A,#N/A,TRUE,"PF_Bal";#N/A,#N/A,TRUE,"PF_INC";#N/A,#N/A,TRUE,"CBE";#N/A,#N/A,TRUE,"SWK"}</definedName>
    <definedName name="rty">{#N/A,#N/A,TRUE,"Pro Forma";#N/A,#N/A,TRUE,"PF_Bal";#N/A,#N/A,TRUE,"PF_INC";#N/A,#N/A,TRUE,"CBE";#N/A,#N/A,TRUE,"SWK"}</definedName>
    <definedName name="russ" localSheetId="25">{"'Inventory &amp; Anal-Cur Wkbk'!$A$7:$AP$71"}</definedName>
    <definedName name="russ" localSheetId="20">{"'Inventory &amp; Anal-Cur Wkbk'!$A$7:$AP$71"}</definedName>
    <definedName name="russ">{"'Inventory &amp; Anal-Cur Wkbk'!$A$7:$AP$71"}</definedName>
    <definedName name="rustey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y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 localSheetId="25">{#N/A,#N/A,TRUE,"MAIN FT TERM";#N/A,#N/A,TRUE,"MCI  FT TERM ";#N/A,#N/A,TRUE,"OC12 EQV"}</definedName>
    <definedName name="s" localSheetId="20">{#N/A,#N/A,TRUE,"MAIN FT TERM";#N/A,#N/A,TRUE,"MCI  FT TERM ";#N/A,#N/A,TRUE,"OC12 EQV"}</definedName>
    <definedName name="s">{#N/A,#N/A,TRUE,"MAIN FT TERM";#N/A,#N/A,TRUE,"MCI  FT TERM ";#N/A,#N/A,TRUE,"OC12 EQV"}</definedName>
    <definedName name="sa" localSheetId="25">{"bs",#N/A,FALSE,"SCF"}</definedName>
    <definedName name="sa" localSheetId="20">{"bs",#N/A,FALSE,"SCF"}</definedName>
    <definedName name="sa">{"bs",#N/A,FALSE,"SCF"}</definedName>
    <definedName name="saa" localSheetId="25">{"rtn",#N/A,FALSE,"RTN";"tables",#N/A,FALSE,"RTN";"cf",#N/A,FALSE,"CF";"stats",#N/A,FALSE,"Stats";"prop",#N/A,FALSE,"Prop"}</definedName>
    <definedName name="saa" localSheetId="20">{"rtn",#N/A,FALSE,"RTN";"tables",#N/A,FALSE,"RTN";"cf",#N/A,FALSE,"CF";"stats",#N/A,FALSE,"Stats";"prop",#N/A,FALSE,"Prop"}</definedName>
    <definedName name="saa">{"rtn",#N/A,FALSE,"RTN";"tables",#N/A,FALSE,"RTN";"cf",#N/A,FALSE,"CF";"stats",#N/A,FALSE,"Stats";"prop",#N/A,FALSE,"Prop"}</definedName>
    <definedName name="sad" localSheetId="25">{"by_month",#N/A,TRUE,"template";"destec_month",#N/A,TRUE,"template";"by_quarter",#N/A,TRUE,"template";"destec_quarter",#N/A,TRUE,"template";"by_year",#N/A,TRUE,"template";"destec_annual",#N/A,TRUE,"template"}</definedName>
    <definedName name="sad" localSheetId="20">{"by_month",#N/A,TRUE,"template";"destec_month",#N/A,TRUE,"template";"by_quarter",#N/A,TRUE,"template";"destec_quarter",#N/A,TRUE,"template";"by_year",#N/A,TRUE,"template";"destec_annual",#N/A,TRUE,"template"}</definedName>
    <definedName name="sad">{"by_month",#N/A,TRUE,"template";"destec_month",#N/A,TRUE,"template";"by_quarter",#N/A,TRUE,"template";"destec_quarter",#N/A,TRUE,"template";"by_year",#N/A,TRUE,"template";"destec_annual",#N/A,TRUE,"template"}</definedName>
    <definedName name="sadf" localSheetId="25">{"incomemth",#N/A,TRUE,"forecast00";"incomepercentmth",#N/A,TRUE,"forecast00";"balancemth",#N/A,TRUE,"forecast00";"cashmth",#N/A,TRUE,"forecast00";"covenantmth",#N/A,TRUE,"forecast00"}</definedName>
    <definedName name="sadf" localSheetId="20">{"incomemth",#N/A,TRUE,"forecast00";"incomepercentmth",#N/A,TRUE,"forecast00";"balancemth",#N/A,TRUE,"forecast00";"cashmth",#N/A,TRUE,"forecast00";"covenantmth",#N/A,TRUE,"forecast00"}</definedName>
    <definedName name="sadf">{"incomemth",#N/A,TRUE,"forecast00";"incomepercentmth",#N/A,TRUE,"forecast00";"balancemth",#N/A,TRUE,"forecast00";"cashmth",#N/A,TRUE,"forecast00";"covenantmth",#N/A,TRUE,"forecast00"}</definedName>
    <definedName name="saf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saf">{#N/A,#N/A,FALSE,"Projections";#N/A,#N/A,FALSE,"Contribution_Stock";#N/A,#N/A,FALSE,"PF_Combo_Stock";#N/A,#N/A,FALSE,"Projections";#N/A,#N/A,FALSE,"Contribution_Cash";#N/A,#N/A,FALSE,"PF_Combo_Cash";#N/A,#N/A,FALSE,"IPO_Cash"}</definedName>
    <definedName name="SAPBEXdnldView">"DB11NIDFBNCC1K4T7XXO9RQ18"</definedName>
    <definedName name="SAPBEXhrIndnt">1</definedName>
    <definedName name="SAPBEXrevision">1</definedName>
    <definedName name="SAPBEXsysID">"PW2"</definedName>
    <definedName name="SAPBEXwbID">"3HJAM0C8PHGQV7UK9SXG1J1DV"</definedName>
    <definedName name="SAPsysID">"708C5W7SBKP804JT78WJ0JNKI"</definedName>
    <definedName name="SAPwbID">"ARS"</definedName>
    <definedName name="sas" localSheetId="25">{"Outflow 1",#N/A,FALSE,"Outflows-Inflows";"Outflow 2",#N/A,FALSE,"Outflows-Inflows";"Inflow 1",#N/A,FALSE,"Outflows-Inflows";"Inflow 2",#N/A,FALSE,"Outflows-Inflows"}</definedName>
    <definedName name="sas" localSheetId="20">{"Outflow 1",#N/A,FALSE,"Outflows-Inflows";"Outflow 2",#N/A,FALSE,"Outflows-Inflows";"Inflow 1",#N/A,FALSE,"Outflows-Inflows";"Inflow 2",#N/A,FALSE,"Outflows-Inflows"}</definedName>
    <definedName name="sas">{"Outflow 1",#N/A,FALSE,"Outflows-Inflows";"Outflow 2",#N/A,FALSE,"Outflows-Inflows";"Inflow 1",#N/A,FALSE,"Outflows-Inflows";"Inflow 2",#N/A,FALSE,"Outflows-Inflows"}</definedName>
    <definedName name="sb" localSheetId="25">{"bs",#N/A,FALSE,"SCF"}</definedName>
    <definedName name="sb" localSheetId="20">{"bs",#N/A,FALSE,"SCF"}</definedName>
    <definedName name="sb">{"bs",#N/A,FALSE,"SCF"}</definedName>
    <definedName name="scot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d" localSheetId="25">{"bs",#N/A,FALSE,"SCF"}</definedName>
    <definedName name="sd" localSheetId="20">{"bs",#N/A,FALSE,"SCF"}</definedName>
    <definedName name="sd">{"bs",#N/A,FALSE,"SCF"}</definedName>
    <definedName name="sda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sdsad" localSheetId="25">{#N/A,#N/A,TRUE,"Falcons_Standalone";#N/A,#N/A,TRUE,"Target_Input";#N/A,#N/A,TRUE,"Target_Calendarized"}</definedName>
    <definedName name="sdasdsad" localSheetId="20">{#N/A,#N/A,TRUE,"Falcons_Standalone";#N/A,#N/A,TRUE,"Target_Input";#N/A,#N/A,TRUE,"Target_Calendarized"}</definedName>
    <definedName name="sdasdsad">{#N/A,#N/A,TRUE,"Falcons_Standalone";#N/A,#N/A,TRUE,"Target_Input";#N/A,#N/A,TRUE,"Target_Calendarized"}</definedName>
    <definedName name="sddd" localSheetId="25">{"bs",#N/A,FALSE,"SCF"}</definedName>
    <definedName name="sddd" localSheetId="20">{"bs",#N/A,FALSE,"SCF"}</definedName>
    <definedName name="sddd">{"bs",#N/A,FALSE,"SCF"}</definedName>
    <definedName name="sdf" localSheetId="25">{#N/A,#N/A,FALSE,"Aging Summary";#N/A,#N/A,FALSE,"Ratio Analysis";#N/A,#N/A,FALSE,"Test 120 Day Accts";#N/A,#N/A,FALSE,"Tickmarks"}</definedName>
    <definedName name="sdf" localSheetId="20">{#N/A,#N/A,FALSE,"Aging Summary";#N/A,#N/A,FALSE,"Ratio Analysis";#N/A,#N/A,FALSE,"Test 120 Day Accts";#N/A,#N/A,FALSE,"Tickmarks"}</definedName>
    <definedName name="sdf">{#N/A,#N/A,FALSE,"Aging Summary";#N/A,#N/A,FALSE,"Ratio Analysis";#N/A,#N/A,FALSE,"Test 120 Day Accts";#N/A,#N/A,FALSE,"Tickmarks"}</definedName>
    <definedName name="sdfass" localSheetId="25">{"Outflow 1",#N/A,FALSE,"Outflows-Inflows";"Outflow 2",#N/A,FALSE,"Outflows-Inflows";"Inflow 1",#N/A,FALSE,"Outflows-Inflows";"Inflow 2",#N/A,FALSE,"Outflows-Inflows"}</definedName>
    <definedName name="sdfass" localSheetId="20">{"Outflow 1",#N/A,FALSE,"Outflows-Inflows";"Outflow 2",#N/A,FALSE,"Outflows-Inflows";"Inflow 1",#N/A,FALSE,"Outflows-Inflows";"Inflow 2",#N/A,FALSE,"Outflows-Inflows"}</definedName>
    <definedName name="sdfass">{"Outflow 1",#N/A,FALSE,"Outflows-Inflows";"Outflow 2",#N/A,FALSE,"Outflows-Inflows";"Inflow 1",#N/A,FALSE,"Outflows-Inflows";"Inflow 2",#N/A,FALSE,"Outflows-Inflows"}</definedName>
    <definedName name="sdfdsa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rsta" localSheetId="25">{"var_page",#N/A,FALSE,"template"}</definedName>
    <definedName name="sdfgrsta" localSheetId="20">{"var_page",#N/A,FALSE,"template"}</definedName>
    <definedName name="sdfgrsta">{"var_page",#N/A,FALSE,"template"}</definedName>
    <definedName name="sdfj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localSheetId="25">{#N/A,#N/A,FALSE,"Projections";#N/A,#N/A,FALSE,"Multiples Valuation";#N/A,#N/A,FALSE,"LBO";#N/A,#N/A,FALSE,"Multiples_Sensitivity";#N/A,#N/A,FALSE,"Summary"}</definedName>
    <definedName name="sdfs" localSheetId="20">{#N/A,#N/A,FALSE,"Projections";#N/A,#N/A,FALSE,"Multiples Valuation";#N/A,#N/A,FALSE,"LBO";#N/A,#N/A,FALSE,"Multiples_Sensitivity";#N/A,#N/A,FALSE,"Summary"}</definedName>
    <definedName name="sdfs">{#N/A,#N/A,FALSE,"Projections";#N/A,#N/A,FALSE,"Multiples Valuation";#N/A,#N/A,FALSE,"LBO";#N/A,#N/A,FALSE,"Multiples_Sensitivity";#N/A,#N/A,FALSE,"Summary"}</definedName>
    <definedName name="sdfsdf" localSheetId="25">{#N/A,#N/A,TRUE,"Acquirer_Cases_Input";#N/A,#N/A,TRUE,"Acquirer_Input";#N/A,#N/A,TRUE,"Acquirer"}</definedName>
    <definedName name="sdfsdf" localSheetId="20">{#N/A,#N/A,TRUE,"Acquirer_Cases_Input";#N/A,#N/A,TRUE,"Acquirer_Input";#N/A,#N/A,TRUE,"Acquirer"}</definedName>
    <definedName name="sdfsdf">{#N/A,#N/A,TRUE,"Acquirer_Cases_Input";#N/A,#N/A,TRUE,"Acquirer_Input";#N/A,#N/A,TRUE,"Acquirer"}</definedName>
    <definedName name="sdgdfghfhgfjhgfjhjjjg" localSheetId="25">{"general",#N/A,FALSE,"Assumptions"}</definedName>
    <definedName name="sdgdfghfhgfjhgfjhjjjg" localSheetId="20">{"general",#N/A,FALSE,"Assumptions"}</definedName>
    <definedName name="sdgdfghfhgfjhgfjhjjjg">{"general",#N/A,FALSE,"Assumptions"}</definedName>
    <definedName name="sdhdhfdfhh" localSheetId="25">{#N/A,#N/A,FALSE,"Balance Sheet";#N/A,#N/A,FALSE,"Income Statement";#N/A,#N/A,FALSE,"Changes in Financial Position"}</definedName>
    <definedName name="sdhdhfdfhh" localSheetId="20">{#N/A,#N/A,FALSE,"Balance Sheet";#N/A,#N/A,FALSE,"Income Statement";#N/A,#N/A,FALSE,"Changes in Financial Position"}</definedName>
    <definedName name="sdhdhfdfhh">{#N/A,#N/A,FALSE,"Balance Sheet";#N/A,#N/A,FALSE,"Income Statement";#N/A,#N/A,FALSE,"Changes in Financial Position"}</definedName>
    <definedName name="se" localSheetId="25">{"consolidated",#N/A,FALSE,"Sheet1";"cms",#N/A,FALSE,"Sheet1";"fse",#N/A,FALSE,"Sheet1"}</definedName>
    <definedName name="se" localSheetId="20">{"consolidated",#N/A,FALSE,"Sheet1";"cms",#N/A,FALSE,"Sheet1";"fse",#N/A,FALSE,"Sheet1"}</definedName>
    <definedName name="se">{"consolidated",#N/A,FALSE,"Sheet1";"cms",#N/A,FALSE,"Sheet1";"fse",#N/A,FALSE,"Sheet1"}</definedName>
    <definedName name="sencount">1</definedName>
    <definedName name="sf" localSheetId="25">{"bs",#N/A,FALSE,"SCF"}</definedName>
    <definedName name="sf" localSheetId="20">{"bs",#N/A,FALSE,"SCF"}</definedName>
    <definedName name="sf">{"bs",#N/A,FALSE,"SCF"}</definedName>
    <definedName name="sfgasd" localSheetId="25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localSheetId="20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GR">#REF!</definedName>
    <definedName name="Sheet2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25">{#N/A,#N/A,FALSE,"Projections";#N/A,#N/A,FALSE,"Multiples Valuation";#N/A,#N/A,FALSE,"LBO";#N/A,#N/A,FALSE,"Multiples_Sensitivity";#N/A,#N/A,FALSE,"Summary"}</definedName>
    <definedName name="Sheet3" localSheetId="20">{#N/A,#N/A,FALSE,"Projections";#N/A,#N/A,FALSE,"Multiples Valuation";#N/A,#N/A,FALSE,"LBO";#N/A,#N/A,FALSE,"Multiples_Sensitivity";#N/A,#N/A,FALSE,"Summary"}</definedName>
    <definedName name="Sheet3">{#N/A,#N/A,FALSE,"Projections";#N/A,#N/A,FALSE,"Multiples Valuation";#N/A,#N/A,FALSE,"LBO";#N/A,#N/A,FALSE,"Multiples_Sensitivity";#N/A,#N/A,FALSE,"Summary"}</definedName>
    <definedName name="Sheet4" localSheetId="25">{#N/A,#N/A,FALSE,"Projections";#N/A,#N/A,FALSE,"Multiples Valuation";#N/A,#N/A,FALSE,"LBO";#N/A,#N/A,FALSE,"Multiples_Sensitivity";#N/A,#N/A,FALSE,"Summary"}</definedName>
    <definedName name="Sheet4" localSheetId="20">{#N/A,#N/A,FALSE,"Projections";#N/A,#N/A,FALSE,"Multiples Valuation";#N/A,#N/A,FALSE,"LBO";#N/A,#N/A,FALSE,"Multiples_Sensitivity";#N/A,#N/A,FALSE,"Summary"}</definedName>
    <definedName name="Sheet4">{#N/A,#N/A,FALSE,"Projections";#N/A,#N/A,FALSE,"Multiples Valuation";#N/A,#N/A,FALSE,"LBO";#N/A,#N/A,FALSE,"Multiples_Sensitivity";#N/A,#N/A,FALSE,"Summary"}</definedName>
    <definedName name="Sheet6" localSheetId="25">{#N/A,#N/A,FALSE,"Projections";#N/A,#N/A,FALSE,"Multiples Valuation";#N/A,#N/A,FALSE,"LBO";#N/A,#N/A,FALSE,"Multiples_Sensitivity";#N/A,#N/A,FALSE,"Summary"}</definedName>
    <definedName name="Sheet6" localSheetId="20">{#N/A,#N/A,FALSE,"Projections";#N/A,#N/A,FALSE,"Multiples Valuation";#N/A,#N/A,FALSE,"LBO";#N/A,#N/A,FALSE,"Multiples_Sensitivity";#N/A,#N/A,FALSE,"Summary"}</definedName>
    <definedName name="Sheet6">{#N/A,#N/A,FALSE,"Projections";#N/A,#N/A,FALSE,"Multiples Valuation";#N/A,#N/A,FALSE,"LBO";#N/A,#N/A,FALSE,"Multiples_Sensitivity";#N/A,#N/A,FALSE,"Summary"}</definedName>
    <definedName name="SHIT">#REF!</definedName>
    <definedName name="short">#REF!</definedName>
    <definedName name="SleepmasterIncome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localSheetId="2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0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r_Year">#REF!</definedName>
    <definedName name="Slicer_Year1">#REF!</definedName>
    <definedName name="sll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PS" localSheetId="25">{#N/A,#N/A,FALSE,"AD_Purchase";#N/A,#N/A,FALSE,"Credit";#N/A,#N/A,FALSE,"PF Acquisition";#N/A,#N/A,FALSE,"PF Offering"}</definedName>
    <definedName name="SMPS" localSheetId="20">{#N/A,#N/A,FALSE,"AD_Purchase";#N/A,#N/A,FALSE,"Credit";#N/A,#N/A,FALSE,"PF Acquisition";#N/A,#N/A,FALSE,"PF Offering"}</definedName>
    <definedName name="SMPS">{#N/A,#N/A,FALSE,"AD_Purchase";#N/A,#N/A,FALSE,"Credit";#N/A,#N/A,FALSE,"PF Acquisition";#N/A,#N/A,FALSE,"PF Offering"}</definedName>
    <definedName name="solver_adj">#REF!</definedName>
    <definedName name="solver_cvg">0.001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opt">#REF!</definedName>
    <definedName name="solver_pre">0.000001</definedName>
    <definedName name="solver_rel1">2</definedName>
    <definedName name="solver_rhs1">2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</definedName>
    <definedName name="SortV2">#REF!</definedName>
    <definedName name="SpecialPrice">#REF!</definedName>
    <definedName name="sq" localSheetId="25">{"bs",#N/A,FALSE,"SCF"}</definedName>
    <definedName name="sq" localSheetId="20">{"bs",#N/A,FALSE,"SCF"}</definedName>
    <definedName name="sq">{"bs",#N/A,FALSE,"SCF"}</definedName>
    <definedName name="ss" localSheetId="25">{"bs",#N/A,FALSE,"SCF"}</definedName>
    <definedName name="ss" localSheetId="20">{"bs",#N/A,FALSE,"SCF"}</definedName>
    <definedName name="ss">{"bs",#N/A,FALSE,"SCF"}</definedName>
    <definedName name="ssr" localSheetId="25">{"bs",#N/A,FALSE,"SCF"}</definedName>
    <definedName name="ssr" localSheetId="20">{"bs",#N/A,FALSE,"SCF"}</definedName>
    <definedName name="ssr">{"bs",#N/A,FALSE,"SCF"}</definedName>
    <definedName name="SSS" localSheetId="25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" localSheetId="20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ssss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s" localSheetId="25">{"bs",#N/A,FALSE,"SCF"}</definedName>
    <definedName name="sssss" localSheetId="20">{"bs",#N/A,FALSE,"SCF"}</definedName>
    <definedName name="sssss">{"bs",#N/A,FALSE,"SCF"}</definedName>
    <definedName name="staffing2" localSheetId="25">{#N/A,#N/A,FALSE,"Assessment";#N/A,#N/A,FALSE,"Staffing";#N/A,#N/A,FALSE,"Hires";#N/A,#N/A,FALSE,"Assumptions"}</definedName>
    <definedName name="staffing2" localSheetId="20">{#N/A,#N/A,FALSE,"Assessment";#N/A,#N/A,FALSE,"Staffing";#N/A,#N/A,FALSE,"Hires";#N/A,#N/A,FALSE,"Assumptions"}</definedName>
    <definedName name="staffing2">{#N/A,#N/A,FALSE,"Assessment";#N/A,#N/A,FALSE,"Staffing";#N/A,#N/A,FALSE,"Hires";#N/A,#N/A,FALSE,"Assumptions"}</definedName>
    <definedName name="Staffing3" localSheetId="25">{#N/A,#N/A,FALSE,"Assessment";#N/A,#N/A,FALSE,"Staffing";#N/A,#N/A,FALSE,"Hires";#N/A,#N/A,FALSE,"Assumptions"}</definedName>
    <definedName name="Staffing3" localSheetId="20">{#N/A,#N/A,FALSE,"Assessment";#N/A,#N/A,FALSE,"Staffing";#N/A,#N/A,FALSE,"Hires";#N/A,#N/A,FALSE,"Assumptions"}</definedName>
    <definedName name="Staffing3">{#N/A,#N/A,FALSE,"Assessment";#N/A,#N/A,FALSE,"Staffing";#N/A,#N/A,FALSE,"Hires";#N/A,#N/A,FALSE,"Assumptions"}</definedName>
    <definedName name="Stop" localSheetId="25">{"bs",#N/A,FALSE,"SCF"}</definedName>
    <definedName name="Stop" localSheetId="20">{"bs",#N/A,FALSE,"SCF"}</definedName>
    <definedName name="Stop">{"bs",#N/A,FALSE,"SCF"}</definedName>
    <definedName name="stud13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ummary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localSheetId="25">{"page1",#N/A,FALSE,"GIRLBO";"page2",#N/A,FALSE,"GIRLBO";"page3",#N/A,FALSE,"GIRLBO";"page4",#N/A,FALSE,"GIRLBO";"page5",#N/A,FALSE,"GIRLBO"}</definedName>
    <definedName name="SUMMARY_BOOK" localSheetId="20">{"page1",#N/A,FALSE,"GIRLBO";"page2",#N/A,FALSE,"GIRLBO";"page3",#N/A,FALSE,"GIRLBO";"page4",#N/A,FALSE,"GIRLBO";"page5",#N/A,FALSE,"GIRLBO"}</definedName>
    <definedName name="SUMMARY_BOOK">{"page1",#N/A,FALSE,"GIRLBO";"page2",#N/A,FALSE,"GIRLBO";"page3",#N/A,FALSE,"GIRLBO";"page4",#N/A,FALSE,"GIRLBO";"page5",#N/A,FALSE,"GIRLBO"}</definedName>
    <definedName name="summary2" localSheetId="25">{#N/A,#N/A,FALSE,"FACTSHEETS";#N/A,#N/A,FALSE,"pump";#N/A,#N/A,FALSE,"filter"}</definedName>
    <definedName name="summary2" localSheetId="20">{#N/A,#N/A,FALSE,"FACTSHEETS";#N/A,#N/A,FALSE,"pump";#N/A,#N/A,FALSE,"filter"}</definedName>
    <definedName name="summary2">{#N/A,#N/A,FALSE,"FACTSHEETS";#N/A,#N/A,FALSE,"pump";#N/A,#N/A,FALSE,"filter"}</definedName>
    <definedName name="summaryty" localSheetId="25">{#N/A,#N/A,TRUE,"KEY DATA";#N/A,#N/A,TRUE,"KEY DATA Base Case";#N/A,#N/A,TRUE,"JULY";#N/A,#N/A,TRUE,"AUG";#N/A,#N/A,TRUE,"SEPT";#N/A,#N/A,TRUE,"3Q"}</definedName>
    <definedName name="summaryty" localSheetId="20">{#N/A,#N/A,TRUE,"KEY DATA";#N/A,#N/A,TRUE,"KEY DATA Base Case";#N/A,#N/A,TRUE,"JULY";#N/A,#N/A,TRUE,"AUG";#N/A,#N/A,TRUE,"SEPT";#N/A,#N/A,TRUE,"3Q"}</definedName>
    <definedName name="summaryty">{#N/A,#N/A,TRUE,"KEY DATA";#N/A,#N/A,TRUE,"KEY DATA Base Case";#N/A,#N/A,TRUE,"JULY";#N/A,#N/A,TRUE,"AUG";#N/A,#N/A,TRUE,"SEPT";#N/A,#N/A,TRUE,"3Q"}</definedName>
    <definedName name="summaryty." localSheetId="25">{#N/A,#N/A,TRUE,"KEY DATA";#N/A,#N/A,TRUE,"KEY DATA Base Case";#N/A,#N/A,TRUE,"JULY";#N/A,#N/A,TRUE,"AUG";#N/A,#N/A,TRUE,"SEPT";#N/A,#N/A,TRUE,"3Q"}</definedName>
    <definedName name="summaryty." localSheetId="20">{#N/A,#N/A,TRUE,"KEY DATA";#N/A,#N/A,TRUE,"KEY DATA Base Case";#N/A,#N/A,TRUE,"JULY";#N/A,#N/A,TRUE,"AUG";#N/A,#N/A,TRUE,"SEPT";#N/A,#N/A,TRUE,"3Q"}</definedName>
    <definedName name="summaryty.">{#N/A,#N/A,TRUE,"KEY DATA";#N/A,#N/A,TRUE,"KEY DATA Base Case";#N/A,#N/A,TRUE,"JULY";#N/A,#N/A,TRUE,"AUG";#N/A,#N/A,TRUE,"SEPT";#N/A,#N/A,TRUE,"3Q"}</definedName>
    <definedName name="sumval" localSheetId="25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20">{#N/A,#N/A,FALSE,"CONSOLIDATED";#N/A,#N/A,FALSE,"OCEAN";#N/A,#N/A,FALSE,"UNDERWATER";#N/A,#N/A,FALSE,"ELEC. WARFARE";#N/A,#N/A,FALSE,"POLARIS";#N/A,#N/A,FALSE,"CORPORATE";#N/A,#N/A,FALSE,"ELIMINATING";#N/A,#N/A,FALSE,"By Quarters"}</definedName>
    <definedName name="sumval">{#N/A,#N/A,FALSE,"CONSOLIDATED";#N/A,#N/A,FALSE,"OCEAN";#N/A,#N/A,FALSE,"UNDERWATER";#N/A,#N/A,FALSE,"ELEC. WARFARE";#N/A,#N/A,FALSE,"POLARIS";#N/A,#N/A,FALSE,"CORPORATE";#N/A,#N/A,FALSE,"ELIMINATING";#N/A,#N/A,FALSE,"By Quarters"}</definedName>
    <definedName name="Super" localSheetId="25">{#N/A,#N/A,FALSE,"IPO";#N/A,#N/A,FALSE,"DCF";#N/A,#N/A,FALSE,"LBO";#N/A,#N/A,FALSE,"MULT_VAL";#N/A,#N/A,FALSE,"Status Quo";#N/A,#N/A,FALSE,"Recap"}</definedName>
    <definedName name="Super" localSheetId="20">{#N/A,#N/A,FALSE,"IPO";#N/A,#N/A,FALSE,"DCF";#N/A,#N/A,FALSE,"LBO";#N/A,#N/A,FALSE,"MULT_VAL";#N/A,#N/A,FALSE,"Status Quo";#N/A,#N/A,FALSE,"Recap"}</definedName>
    <definedName name="Super">{#N/A,#N/A,FALSE,"IPO";#N/A,#N/A,FALSE,"DCF";#N/A,#N/A,FALSE,"LBO";#N/A,#N/A,FALSE,"MULT_VAL";#N/A,#N/A,FALSE,"Status Quo";#N/A,#N/A,FALSE,"Recap"}</definedName>
    <definedName name="supp" localSheetId="25">{#N/A,#N/A,FALSE,"Comp Balance";#N/A,#N/A,FALSE,"Sum Balance ";#N/A,#N/A,FALSE,"Balance Trend";#N/A,#N/A,FALSE,"Comp PL";#N/A,#N/A,FALSE,"PL";#N/A,#N/A,FALSE,"Sum PL";#N/A,#N/A,FALSE,"PL Trend";#N/A,#N/A,FALSE,"Change"}</definedName>
    <definedName name="supp" localSheetId="20">{#N/A,#N/A,FALSE,"Comp Balance";#N/A,#N/A,FALSE,"Sum Balance ";#N/A,#N/A,FALSE,"Balance Trend";#N/A,#N/A,FALSE,"Comp PL";#N/A,#N/A,FALSE,"PL";#N/A,#N/A,FALSE,"Sum PL";#N/A,#N/A,FALSE,"PL Trend";#N/A,#N/A,FALSE,"Change"}</definedName>
    <definedName name="supp">{#N/A,#N/A,FALSE,"Comp Balance";#N/A,#N/A,FALSE,"Sum Balance ";#N/A,#N/A,FALSE,"Balance Trend";#N/A,#N/A,FALSE,"Comp PL";#N/A,#N/A,FALSE,"PL";#N/A,#N/A,FALSE,"Sum PL";#N/A,#N/A,FALSE,"PL Trend";#N/A,#N/A,FALSE,"Change"}</definedName>
    <definedName name="SUPPLIER" localSheetId="25">{#N/A,#N/A,FALSE,"IS";#N/A,#N/A,FALSE,"BS";#N/A,#N/A,FALSE,"RMA";#N/A,#N/A,FALSE,"INCOME";#N/A,#N/A,FALSE,"DCF";#N/A,#N/A,FALSE,"MARKET"}</definedName>
    <definedName name="SUPPLIER" localSheetId="20">{#N/A,#N/A,FALSE,"IS";#N/A,#N/A,FALSE,"BS";#N/A,#N/A,FALSE,"RMA";#N/A,#N/A,FALSE,"INCOME";#N/A,#N/A,FALSE,"DCF";#N/A,#N/A,FALSE,"MARKET"}</definedName>
    <definedName name="SUPPLIER">{#N/A,#N/A,FALSE,"IS";#N/A,#N/A,FALSE,"BS";#N/A,#N/A,FALSE,"RMA";#N/A,#N/A,FALSE,"INCOME";#N/A,#N/A,FALSE,"DCF";#N/A,#N/A,FALSE,"MARKET"}</definedName>
    <definedName name="SV_AUTO_CONN_CATALOG">"x3v6"</definedName>
    <definedName name="SV_AUTO_CONN_SERVER">"BELMONTX3SRV\X3V6"</definedName>
    <definedName name="SV_ENCPT_AUTO_CONN_PASSWORD">"083096084083070083098111118114101052048058058082088"</definedName>
    <definedName name="SV_ENCPT_AUTO_CONN_USER">"095094088070084088102113113114120107110112092115104119"</definedName>
    <definedName name="SV_ENCPT_LOGON_PWD">"078104085088070"</definedName>
    <definedName name="SV_ENCPT_LOGON_USER">"095094088070084084080096087083073084"</definedName>
    <definedName name="sw" localSheetId="25">{"bs",#N/A,FALSE,"SCF"}</definedName>
    <definedName name="sw" localSheetId="20">{"bs",#N/A,FALSE,"SCF"}</definedName>
    <definedName name="sw">{"bs",#N/A,FALSE,"SCF"}</definedName>
    <definedName name="t" localSheetId="25">{"'下期集計（10.27迄・速報値）'!$Q$16"}</definedName>
    <definedName name="t" localSheetId="20">{"'下期集計（10.27迄・速報値）'!$Q$16"}</definedName>
    <definedName name="t">{"'下期集計（10.27迄・速報値）'!$Q$16"}</definedName>
    <definedName name="TargetDCF2" localSheetId="25">{#N/A,#N/A,FALSE,"Sheet1"}</definedName>
    <definedName name="TargetDCF2" localSheetId="20">{#N/A,#N/A,FALSE,"Sheet1"}</definedName>
    <definedName name="TargetDCF2">{#N/A,#N/A,FALSE,"Sheet1"}</definedName>
    <definedName name="targets3" localSheetId="25">{"'NWC03'!$C$81"}</definedName>
    <definedName name="targets3" localSheetId="20">{"'NWC03'!$C$81"}</definedName>
    <definedName name="targets3">{"'NWC03'!$C$81"}</definedName>
    <definedName name="targets4" localSheetId="25">{"'NWC03'!$C$81"}</definedName>
    <definedName name="targets4" localSheetId="20">{"'NWC03'!$C$81"}</definedName>
    <definedName name="targets4">{"'NWC03'!$C$81"}</definedName>
    <definedName name="tbl_ProdInfo">#REF!</definedName>
    <definedName name="temp" localSheetId="25">{#N/A,#N/A,FALSE,"PL MAR";#N/A,#N/A,FALSE,"Trend99";#N/A,#N/A,FALSE,"Bal Sheets ";#N/A,#N/A,FALSE,"YTD"}</definedName>
    <definedName name="temp" localSheetId="20">{#N/A,#N/A,FALSE,"PL MAR";#N/A,#N/A,FALSE,"Trend99";#N/A,#N/A,FALSE,"Bal Sheets ";#N/A,#N/A,FALSE,"YTD"}</definedName>
    <definedName name="temp">{#N/A,#N/A,FALSE,"PL MAR";#N/A,#N/A,FALSE,"Trend99";#N/A,#N/A,FALSE,"Bal Sheets ";#N/A,#N/A,FALSE,"YTD"}</definedName>
    <definedName name="temp." localSheetId="25">{#N/A,#N/A,TRUE,"KEY DATA";#N/A,#N/A,TRUE,"KEY DATA Base Case";#N/A,#N/A,TRUE,"JULY";#N/A,#N/A,TRUE,"AUG";#N/A,#N/A,TRUE,"SEPT";#N/A,#N/A,TRUE,"3Q"}</definedName>
    <definedName name="temp." localSheetId="20">{#N/A,#N/A,TRUE,"KEY DATA";#N/A,#N/A,TRUE,"KEY DATA Base Case";#N/A,#N/A,TRUE,"JULY";#N/A,#N/A,TRUE,"AUG";#N/A,#N/A,TRUE,"SEPT";#N/A,#N/A,TRUE,"3Q"}</definedName>
    <definedName name="temp.">{#N/A,#N/A,TRUE,"KEY DATA";#N/A,#N/A,TRUE,"KEY DATA Base Case";#N/A,#N/A,TRUE,"JULY";#N/A,#N/A,TRUE,"AUG";#N/A,#N/A,TRUE,"SEPT";#N/A,#N/A,TRUE,"3Q"}</definedName>
    <definedName name="Temp_2" localSheetId="25">{#N/A,#N/A,FALSE,"Assessment";#N/A,#N/A,FALSE,"Staffing";#N/A,#N/A,FALSE,"Hires";#N/A,#N/A,FALSE,"Assumptions"}</definedName>
    <definedName name="Temp_2" localSheetId="20">{#N/A,#N/A,FALSE,"Assessment";#N/A,#N/A,FALSE,"Staffing";#N/A,#N/A,FALSE,"Hires";#N/A,#N/A,FALSE,"Assumptions"}</definedName>
    <definedName name="Temp_2">{#N/A,#N/A,FALSE,"Assessment";#N/A,#N/A,FALSE,"Staffing";#N/A,#N/A,FALSE,"Hires";#N/A,#N/A,FALSE,"Assumptions"}</definedName>
    <definedName name="Temp_3" localSheetId="25">{#N/A,#N/A,FALSE,"Assessment";#N/A,#N/A,FALSE,"Staffing";#N/A,#N/A,FALSE,"Hires";#N/A,#N/A,FALSE,"Assumptions"}</definedName>
    <definedName name="Temp_3" localSheetId="20">{#N/A,#N/A,FALSE,"Assessment";#N/A,#N/A,FALSE,"Staffing";#N/A,#N/A,FALSE,"Hires";#N/A,#N/A,FALSE,"Assumptions"}</definedName>
    <definedName name="Temp_3">{#N/A,#N/A,FALSE,"Assessment";#N/A,#N/A,FALSE,"Staffing";#N/A,#N/A,FALSE,"Hires";#N/A,#N/A,FALSE,"Assumptions"}</definedName>
    <definedName name="temp1" localSheetId="25">{"PAGE 1",#N/A,FALSE,"WEST_OT"}</definedName>
    <definedName name="temp1" localSheetId="20">{"PAGE 1",#N/A,FALSE,"WEST_OT"}</definedName>
    <definedName name="temp1">{"PAGE 1",#N/A,FALSE,"WEST_OT"}</definedName>
    <definedName name="temp12" localSheetId="25">{#N/A,#N/A,TRUE,"KEY DATA";#N/A,#N/A,TRUE,"KEY DATA Base Case";#N/A,#N/A,TRUE,"JULY";#N/A,#N/A,TRUE,"AUG";#N/A,#N/A,TRUE,"SEPT";#N/A,#N/A,TRUE,"3Q"}</definedName>
    <definedName name="temp12" localSheetId="20">{#N/A,#N/A,TRUE,"KEY DATA";#N/A,#N/A,TRUE,"KEY DATA Base Case";#N/A,#N/A,TRUE,"JULY";#N/A,#N/A,TRUE,"AUG";#N/A,#N/A,TRUE,"SEPT";#N/A,#N/A,TRUE,"3Q"}</definedName>
    <definedName name="temp12">{#N/A,#N/A,TRUE,"KEY DATA";#N/A,#N/A,TRUE,"KEY DATA Base Case";#N/A,#N/A,TRUE,"JULY";#N/A,#N/A,TRUE,"AUG";#N/A,#N/A,TRUE,"SEPT";#N/A,#N/A,TRUE,"3Q"}</definedName>
    <definedName name="temp12." localSheetId="25">{#N/A,#N/A,TRUE,"KEY DATA";#N/A,#N/A,TRUE,"KEY DATA Base Case";#N/A,#N/A,TRUE,"JULY";#N/A,#N/A,TRUE,"AUG";#N/A,#N/A,TRUE,"SEPT";#N/A,#N/A,TRUE,"3Q"}</definedName>
    <definedName name="temp12." localSheetId="20">{#N/A,#N/A,TRUE,"KEY DATA";#N/A,#N/A,TRUE,"KEY DATA Base Case";#N/A,#N/A,TRUE,"JULY";#N/A,#N/A,TRUE,"AUG";#N/A,#N/A,TRUE,"SEPT";#N/A,#N/A,TRUE,"3Q"}</definedName>
    <definedName name="temp12.">{#N/A,#N/A,TRUE,"KEY DATA";#N/A,#N/A,TRUE,"KEY DATA Base Case";#N/A,#N/A,TRUE,"JULY";#N/A,#N/A,TRUE,"AUG";#N/A,#N/A,TRUE,"SEPT";#N/A,#N/A,TRUE,"3Q"}</definedName>
    <definedName name="temp2" localSheetId="25">{"PAGE 1",#N/A,FALSE,"WEST_OT"}</definedName>
    <definedName name="temp2" localSheetId="20">{"PAGE 1",#N/A,FALSE,"WEST_OT"}</definedName>
    <definedName name="temp2">{"PAGE 1",#N/A,FALSE,"WEST_OT"}</definedName>
    <definedName name="temp3" localSheetId="25">{"PAGE 1",#N/A,FALSE,"WEST_OT"}</definedName>
    <definedName name="temp3" localSheetId="20">{"PAGE 1",#N/A,FALSE,"WEST_OT"}</definedName>
    <definedName name="temp3">{"PAGE 1",#N/A,FALSE,"WEST_OT"}</definedName>
    <definedName name="tempq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localSheetId="25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 localSheetId="20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localSheetId="25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 localSheetId="20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localSheetId="2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 localSheetId="20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localSheetId="25">{#N/A,#N/A,TRUE,"FD IV Portfolio Summary ";#N/A,#N/A,TRUE,"Western";#N/A,#N/A,TRUE,"Kranson";#N/A,#N/A,TRUE,"ARC";#N/A,#N/A,TRUE,"Precise";#N/A,#N/A,TRUE,"WNA"}</definedName>
    <definedName name="tempq6" localSheetId="20">{#N/A,#N/A,TRUE,"FD IV Portfolio Summary ";#N/A,#N/A,TRUE,"Western";#N/A,#N/A,TRUE,"Kranson";#N/A,#N/A,TRUE,"ARC";#N/A,#N/A,TRUE,"Precise";#N/A,#N/A,TRUE,"WNA"}</definedName>
    <definedName name="tempq6">{#N/A,#N/A,TRUE,"FD IV Portfolio Summary ";#N/A,#N/A,TRUE,"Western";#N/A,#N/A,TRUE,"Kranson";#N/A,#N/A,TRUE,"ARC";#N/A,#N/A,TRUE,"Precise";#N/A,#N/A,TRUE,"WNA"}</definedName>
    <definedName name="tempq7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localSheetId="25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 localSheetId="20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radyne" localSheetId="25">{#N/A,#N/A,FALSE,"Consol P&amp;L ";#N/A,#N/A,FALSE,"CP P&amp;L";#N/A,#N/A,FALSE,"ADS P&amp;L";#N/A,#N/A,FALSE,"Corp P&amp;L"}</definedName>
    <definedName name="teradyne" localSheetId="20">{#N/A,#N/A,FALSE,"Consol P&amp;L ";#N/A,#N/A,FALSE,"CP P&amp;L";#N/A,#N/A,FALSE,"ADS P&amp;L";#N/A,#N/A,FALSE,"Corp P&amp;L"}</definedName>
    <definedName name="teradyne">{#N/A,#N/A,FALSE,"Consol P&amp;L ";#N/A,#N/A,FALSE,"CP P&amp;L";#N/A,#N/A,FALSE,"ADS P&amp;L";#N/A,#N/A,FALSE,"Corp P&amp;L"}</definedName>
    <definedName name="teradyne2" localSheetId="25">{#N/A,#N/A,FALSE,"Consol P&amp;L ";#N/A,#N/A,FALSE,"CP P&amp;L";#N/A,#N/A,FALSE,"ADS P&amp;L";#N/A,#N/A,FALSE,"Corp P&amp;L"}</definedName>
    <definedName name="teradyne2" localSheetId="20">{#N/A,#N/A,FALSE,"Consol P&amp;L ";#N/A,#N/A,FALSE,"CP P&amp;L";#N/A,#N/A,FALSE,"ADS P&amp;L";#N/A,#N/A,FALSE,"Corp P&amp;L"}</definedName>
    <definedName name="teradyne2">{#N/A,#N/A,FALSE,"Consol P&amp;L ";#N/A,#N/A,FALSE,"CP P&amp;L";#N/A,#N/A,FALSE,"ADS P&amp;L";#N/A,#N/A,FALSE,"Corp P&amp;L"}</definedName>
    <definedName name="teradyne7" localSheetId="25">{#N/A,#N/A,FALSE,"Consol P&amp;L ";#N/A,#N/A,FALSE,"CP P&amp;L";#N/A,#N/A,FALSE,"ADS P&amp;L";#N/A,#N/A,FALSE,"Corp P&amp;L"}</definedName>
    <definedName name="teradyne7" localSheetId="20">{#N/A,#N/A,FALSE,"Consol P&amp;L ";#N/A,#N/A,FALSE,"CP P&amp;L";#N/A,#N/A,FALSE,"ADS P&amp;L";#N/A,#N/A,FALSE,"Corp P&amp;L"}</definedName>
    <definedName name="teradyne7">{#N/A,#N/A,FALSE,"Consol P&amp;L ";#N/A,#N/A,FALSE,"CP P&amp;L";#N/A,#N/A,FALSE,"ADS P&amp;L";#N/A,#N/A,FALSE,"Corp P&amp;L"}</definedName>
    <definedName name="tesg4" localSheetId="25">{"PAGE 1",#N/A,FALSE,"WEST_OT"}</definedName>
    <definedName name="tesg4" localSheetId="20">{"PAGE 1",#N/A,FALSE,"WEST_OT"}</definedName>
    <definedName name="tesg4">{"PAGE 1",#N/A,FALSE,"WEST_OT"}</definedName>
    <definedName name="test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1" localSheetId="25">{#N/A,#N/A,TRUE,"MAIN FT TERM";#N/A,#N/A,TRUE,"MCI  FT TERM ";#N/A,#N/A,TRUE,"OC12 EQV"}</definedName>
    <definedName name="test1" localSheetId="20">{#N/A,#N/A,TRUE,"MAIN FT TERM";#N/A,#N/A,TRUE,"MCI  FT TERM ";#N/A,#N/A,TRUE,"OC12 EQV"}</definedName>
    <definedName name="test1">{#N/A,#N/A,TRUE,"MAIN FT TERM";#N/A,#N/A,TRUE,"MCI  FT TERM ";#N/A,#N/A,TRUE,"OC12 EQV"}</definedName>
    <definedName name="test10" localSheetId="25">{"PAGE 1",#N/A,FALSE,"WEST_OT"}</definedName>
    <definedName name="test10" localSheetId="20">{"PAGE 1",#N/A,FALSE,"WEST_OT"}</definedName>
    <definedName name="test10">{"PAGE 1",#N/A,FALSE,"WEST_OT"}</definedName>
    <definedName name="test11" localSheetId="25">{"PAGE 1",#N/A,FALSE,"WEST_OT"}</definedName>
    <definedName name="test11" localSheetId="20">{"PAGE 1",#N/A,FALSE,"WEST_OT"}</definedName>
    <definedName name="test11">{"PAGE 1",#N/A,FALSE,"WEST_OT"}</definedName>
    <definedName name="test12" localSheetId="25">{"PAGE 2",#N/A,FALSE,"WEST_OT"}</definedName>
    <definedName name="test12" localSheetId="20">{"PAGE 2",#N/A,FALSE,"WEST_OT"}</definedName>
    <definedName name="test12">{"PAGE 2",#N/A,FALSE,"WEST_OT"}</definedName>
    <definedName name="test13" localSheetId="25">{"PAGE 2",#N/A,FALSE,"WEST_OT"}</definedName>
    <definedName name="test13" localSheetId="20">{"PAGE 2",#N/A,FALSE,"WEST_OT"}</definedName>
    <definedName name="test13">{"PAGE 2",#N/A,FALSE,"WEST_OT"}</definedName>
    <definedName name="test14" localSheetId="25">{"PAGE 1",#N/A,FALSE,"WEST_OT"}</definedName>
    <definedName name="test14" localSheetId="20">{"PAGE 1",#N/A,FALSE,"WEST_OT"}</definedName>
    <definedName name="test14">{"PAGE 1",#N/A,FALSE,"WEST_OT"}</definedName>
    <definedName name="test15" localSheetId="25">{"PAGE 1",#N/A,FALSE,"WEST_OT"}</definedName>
    <definedName name="test15" localSheetId="20">{"PAGE 1",#N/A,FALSE,"WEST_OT"}</definedName>
    <definedName name="test15">{"PAGE 1",#N/A,FALSE,"WEST_OT"}</definedName>
    <definedName name="test2" localSheetId="25">{#N/A,#N/A,TRUE,"MAIN FT TERM";#N/A,#N/A,TRUE,"MCI  FT TERM ";#N/A,#N/A,TRUE,"OC12 EQV"}</definedName>
    <definedName name="test2" localSheetId="20">{#N/A,#N/A,TRUE,"MAIN FT TERM";#N/A,#N/A,TRUE,"MCI  FT TERM ";#N/A,#N/A,TRUE,"OC12 EQV"}</definedName>
    <definedName name="test2">{#N/A,#N/A,TRUE,"MAIN FT TERM";#N/A,#N/A,TRUE,"MCI  FT TERM ";#N/A,#N/A,TRUE,"OC12 EQV"}</definedName>
    <definedName name="test20" localSheetId="25">{"PAGE 1",#N/A,FALSE,"WEST_OT"}</definedName>
    <definedName name="test20" localSheetId="20">{"PAGE 1",#N/A,FALSE,"WEST_OT"}</definedName>
    <definedName name="test20">{"PAGE 1",#N/A,FALSE,"WEST_OT"}</definedName>
    <definedName name="test21" localSheetId="25">{"PAGE 1",#N/A,FALSE,"WEST_OT"}</definedName>
    <definedName name="test21" localSheetId="20">{"PAGE 1",#N/A,FALSE,"WEST_OT"}</definedName>
    <definedName name="test21">{"PAGE 1",#N/A,FALSE,"WEST_OT"}</definedName>
    <definedName name="test22" localSheetId="25">{"PAGE 1",#N/A,FALSE,"WEST_OT"}</definedName>
    <definedName name="test22" localSheetId="20">{"PAGE 1",#N/A,FALSE,"WEST_OT"}</definedName>
    <definedName name="test22">{"PAGE 1",#N/A,FALSE,"WEST_OT"}</definedName>
    <definedName name="test23" localSheetId="25">{"PAGE 1",#N/A,FALSE,"WEST_OT"}</definedName>
    <definedName name="test23" localSheetId="20">{"PAGE 1",#N/A,FALSE,"WEST_OT"}</definedName>
    <definedName name="test23">{"PAGE 1",#N/A,FALSE,"WEST_OT"}</definedName>
    <definedName name="test24" localSheetId="25">{"PAGE 1",#N/A,FALSE,"WEST_OT"}</definedName>
    <definedName name="test24" localSheetId="20">{"PAGE 1",#N/A,FALSE,"WEST_OT"}</definedName>
    <definedName name="test24">{"PAGE 1",#N/A,FALSE,"WEST_OT"}</definedName>
    <definedName name="test25" localSheetId="25">{"PAGE 1",#N/A,FALSE,"WEST_OT"}</definedName>
    <definedName name="test25" localSheetId="20">{"PAGE 1",#N/A,FALSE,"WEST_OT"}</definedName>
    <definedName name="test25">{"PAGE 1",#N/A,FALSE,"WEST_OT"}</definedName>
    <definedName name="test26" localSheetId="25">{"PAGE 1",#N/A,FALSE,"WEST_OT"}</definedName>
    <definedName name="test26" localSheetId="20">{"PAGE 1",#N/A,FALSE,"WEST_OT"}</definedName>
    <definedName name="test26">{"PAGE 1",#N/A,FALSE,"WEST_OT"}</definedName>
    <definedName name="test27" localSheetId="25">{"PAGE 1",#N/A,FALSE,"WEST_OT"}</definedName>
    <definedName name="test27" localSheetId="20">{"PAGE 1",#N/A,FALSE,"WEST_OT"}</definedName>
    <definedName name="test27">{"PAGE 1",#N/A,FALSE,"WEST_OT"}</definedName>
    <definedName name="test28" localSheetId="25">{"PAGE 1",#N/A,FALSE,"WEST_OT"}</definedName>
    <definedName name="test28" localSheetId="20">{"PAGE 1",#N/A,FALSE,"WEST_OT"}</definedName>
    <definedName name="test28">{"PAGE 1",#N/A,FALSE,"WEST_OT"}</definedName>
    <definedName name="test29" localSheetId="25">{"PAGE 1",#N/A,FALSE,"WEST_OT"}</definedName>
    <definedName name="test29" localSheetId="20">{"PAGE 1",#N/A,FALSE,"WEST_OT"}</definedName>
    <definedName name="test29">{"PAGE 1",#N/A,FALSE,"WEST_OT"}</definedName>
    <definedName name="test3" localSheetId="25">{"PAGE 1",#N/A,FALSE,"WEST_OT"}</definedName>
    <definedName name="test3" localSheetId="20">{"PAGE 1",#N/A,FALSE,"WEST_OT"}</definedName>
    <definedName name="test3">{"PAGE 1",#N/A,FALSE,"WEST_OT"}</definedName>
    <definedName name="test30" localSheetId="25">{"PAGE 2",#N/A,FALSE,"WEST_OT"}</definedName>
    <definedName name="test30" localSheetId="20">{"PAGE 2",#N/A,FALSE,"WEST_OT"}</definedName>
    <definedName name="test30">{"PAGE 2",#N/A,FALSE,"WEST_OT"}</definedName>
    <definedName name="test31" localSheetId="25">{"PAGE 1",#N/A,FALSE,"WEST_OT"}</definedName>
    <definedName name="test31" localSheetId="20">{"PAGE 1",#N/A,FALSE,"WEST_OT"}</definedName>
    <definedName name="test31">{"PAGE 1",#N/A,FALSE,"WEST_OT"}</definedName>
    <definedName name="test32" localSheetId="25">{"PAGE 1",#N/A,FALSE,"WEST_OT"}</definedName>
    <definedName name="test32" localSheetId="20">{"PAGE 1",#N/A,FALSE,"WEST_OT"}</definedName>
    <definedName name="test32">{"PAGE 1",#N/A,FALSE,"WEST_OT"}</definedName>
    <definedName name="test33" localSheetId="25">{"PAGE 1",#N/A,FALSE,"WEST_OT"}</definedName>
    <definedName name="test33" localSheetId="20">{"PAGE 1",#N/A,FALSE,"WEST_OT"}</definedName>
    <definedName name="test33">{"PAGE 1",#N/A,FALSE,"WEST_OT"}</definedName>
    <definedName name="test34" localSheetId="25">{"PAGE 1",#N/A,FALSE,"WEST_OT"}</definedName>
    <definedName name="test34" localSheetId="20">{"PAGE 1",#N/A,FALSE,"WEST_OT"}</definedName>
    <definedName name="test34">{"PAGE 1",#N/A,FALSE,"WEST_OT"}</definedName>
    <definedName name="test35" localSheetId="25">{"PAGE 1",#N/A,FALSE,"WEST_OT"}</definedName>
    <definedName name="test35" localSheetId="20">{"PAGE 1",#N/A,FALSE,"WEST_OT"}</definedName>
    <definedName name="test35">{"PAGE 1",#N/A,FALSE,"WEST_OT"}</definedName>
    <definedName name="test36" localSheetId="25">{"PAGE 1",#N/A,FALSE,"WEST_OT"}</definedName>
    <definedName name="test36" localSheetId="20">{"PAGE 1",#N/A,FALSE,"WEST_OT"}</definedName>
    <definedName name="test36">{"PAGE 1",#N/A,FALSE,"WEST_OT"}</definedName>
    <definedName name="test37" localSheetId="25">{"PAGE 2",#N/A,FALSE,"WEST_OT"}</definedName>
    <definedName name="test37" localSheetId="20">{"PAGE 2",#N/A,FALSE,"WEST_OT"}</definedName>
    <definedName name="test37">{"PAGE 2",#N/A,FALSE,"WEST_OT"}</definedName>
    <definedName name="test38" localSheetId="25">{"PAGE 1",#N/A,FALSE,"WEST_OT"}</definedName>
    <definedName name="test38" localSheetId="20">{"PAGE 1",#N/A,FALSE,"WEST_OT"}</definedName>
    <definedName name="test38">{"PAGE 1",#N/A,FALSE,"WEST_OT"}</definedName>
    <definedName name="test39" localSheetId="25">{"PAGE 1",#N/A,FALSE,"WEST_OT"}</definedName>
    <definedName name="test39" localSheetId="20">{"PAGE 1",#N/A,FALSE,"WEST_OT"}</definedName>
    <definedName name="test39">{"PAGE 1",#N/A,FALSE,"WEST_OT"}</definedName>
    <definedName name="test4" localSheetId="25">{"PAGE 1",#N/A,FALSE,"WEST_OT"}</definedName>
    <definedName name="test4" localSheetId="20">{"PAGE 1",#N/A,FALSE,"WEST_OT"}</definedName>
    <definedName name="test4">{"PAGE 1",#N/A,FALSE,"WEST_OT"}</definedName>
    <definedName name="test40" localSheetId="25">{"PAGE 2",#N/A,FALSE,"WEST_OT"}</definedName>
    <definedName name="test40" localSheetId="20">{"PAGE 2",#N/A,FALSE,"WEST_OT"}</definedName>
    <definedName name="test40">{"PAGE 2",#N/A,FALSE,"WEST_OT"}</definedName>
    <definedName name="test41" localSheetId="25">{"PAGE 1",#N/A,FALSE,"WEST_OT"}</definedName>
    <definedName name="test41" localSheetId="20">{"PAGE 1",#N/A,FALSE,"WEST_OT"}</definedName>
    <definedName name="test41">{"PAGE 1",#N/A,FALSE,"WEST_OT"}</definedName>
    <definedName name="test42" localSheetId="25">{"PAGE 1",#N/A,FALSE,"WEST_OT"}</definedName>
    <definedName name="test42" localSheetId="20">{"PAGE 1",#N/A,FALSE,"WEST_OT"}</definedName>
    <definedName name="test42">{"PAGE 1",#N/A,FALSE,"WEST_OT"}</definedName>
    <definedName name="test43" localSheetId="25">{"PAGE 2",#N/A,FALSE,"WEST_OT"}</definedName>
    <definedName name="test43" localSheetId="20">{"PAGE 2",#N/A,FALSE,"WEST_OT"}</definedName>
    <definedName name="test43">{"PAGE 2",#N/A,FALSE,"WEST_OT"}</definedName>
    <definedName name="test44" localSheetId="25">{"PAGE 2",#N/A,FALSE,"WEST_OT"}</definedName>
    <definedName name="test44" localSheetId="20">{"PAGE 2",#N/A,FALSE,"WEST_OT"}</definedName>
    <definedName name="test44">{"PAGE 2",#N/A,FALSE,"WEST_OT"}</definedName>
    <definedName name="test45" localSheetId="25">{"PAGE 1",#N/A,FALSE,"WEST_OT"}</definedName>
    <definedName name="test45" localSheetId="20">{"PAGE 1",#N/A,FALSE,"WEST_OT"}</definedName>
    <definedName name="test45">{"PAGE 1",#N/A,FALSE,"WEST_OT"}</definedName>
    <definedName name="test46" localSheetId="25">{"PAGE 1",#N/A,FALSE,"WEST_OT"}</definedName>
    <definedName name="test46" localSheetId="20">{"PAGE 1",#N/A,FALSE,"WEST_OT"}</definedName>
    <definedName name="test46">{"PAGE 1",#N/A,FALSE,"WEST_OT"}</definedName>
    <definedName name="test5" localSheetId="25">{"PAGE 1",#N/A,FALSE,"WEST_OT"}</definedName>
    <definedName name="test5" localSheetId="20">{"PAGE 1",#N/A,FALSE,"WEST_OT"}</definedName>
    <definedName name="test5">{"PAGE 1",#N/A,FALSE,"WEST_OT"}</definedName>
    <definedName name="test6" localSheetId="25">{"PAGE 2",#N/A,FALSE,"WEST_OT"}</definedName>
    <definedName name="test6" localSheetId="20">{"PAGE 2",#N/A,FALSE,"WEST_OT"}</definedName>
    <definedName name="test6">{"PAGE 2",#N/A,FALSE,"WEST_OT"}</definedName>
    <definedName name="test7" localSheetId="25">{"PAGE 2",#N/A,FALSE,"WEST_OT"}</definedName>
    <definedName name="test7" localSheetId="20">{"PAGE 2",#N/A,FALSE,"WEST_OT"}</definedName>
    <definedName name="test7">{"PAGE 2",#N/A,FALSE,"WEST_OT"}</definedName>
    <definedName name="test8" localSheetId="25">{"PAGE 1",#N/A,FALSE,"WEST_OT"}</definedName>
    <definedName name="test8" localSheetId="20">{"PAGE 1",#N/A,FALSE,"WEST_OT"}</definedName>
    <definedName name="test8">{"PAGE 1",#N/A,FALSE,"WEST_OT"}</definedName>
    <definedName name="test9" localSheetId="25">{"PAGE 1",#N/A,FALSE,"WEST_OT"}</definedName>
    <definedName name="test9" localSheetId="20">{"PAGE 1",#N/A,FALSE,"WEST_OT"}</definedName>
    <definedName name="test9">{"PAGE 1",#N/A,FALSE,"WEST_OT"}</definedName>
    <definedName name="testol" localSheetId="25">{#N/A,#N/A,TRUE,"MAIN FT TERM";#N/A,#N/A,TRUE,"MCI  FT TERM ";#N/A,#N/A,TRUE,"OC12 EQV"}</definedName>
    <definedName name="testol" localSheetId="20">{#N/A,#N/A,TRUE,"MAIN FT TERM";#N/A,#N/A,TRUE,"MCI  FT TERM ";#N/A,#N/A,TRUE,"OC12 EQV"}</definedName>
    <definedName name="testol">{#N/A,#N/A,TRUE,"MAIN FT TERM";#N/A,#N/A,TRUE,"MCI  FT TERM ";#N/A,#N/A,TRUE,"OC12 EQV"}</definedName>
    <definedName name="TextRefCopyRangeCount">10</definedName>
    <definedName name="tfill">#REF!</definedName>
    <definedName name="threeTomC.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reeTomC.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hreeTomC.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i" localSheetId="25">{"bs",#N/A,FALSE,"SCF"}</definedName>
    <definedName name="ti" localSheetId="20">{"bs",#N/A,FALSE,"SCF"}</definedName>
    <definedName name="ti">{"bs",#N/A,FALSE,"SCF"}</definedName>
    <definedName name="tl" localSheetId="25">{"bs",#N/A,FALSE,"SCF"}</definedName>
    <definedName name="tl" localSheetId="20">{"bs",#N/A,FALSE,"SCF"}</definedName>
    <definedName name="tl">{"bs",#N/A,FALSE,"SCF"}</definedName>
    <definedName name="todo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s1and2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ms1and2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tou" localSheetId="25">{#N/A,#N/A,TRUE,"TransPrcd 1";#N/A,#N/A,TRUE,"TransPrcd 2";#N/A,#N/A,TRUE,"TransPrcd 3"}</definedName>
    <definedName name="tou" localSheetId="20">{#N/A,#N/A,TRUE,"TransPrcd 1";#N/A,#N/A,TRUE,"TransPrcd 2";#N/A,#N/A,TRUE,"TransPrcd 3"}</definedName>
    <definedName name="tou">{#N/A,#N/A,TRUE,"TransPrcd 1";#N/A,#N/A,TRUE,"TransPrcd 2";#N/A,#N/A,TRUE,"TransPrcd 3"}</definedName>
    <definedName name="tra" localSheetId="25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 localSheetId="20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dingcompar" localSheetId="25">{#N/A,#N/A,FALSE,"Trading-Mult ";#N/A,#N/A,FALSE,"Trading-Cap";#N/A,#N/A,FALSE,"Trading-Inc";#N/A,#N/A,FALSE,"Cash Flow";#N/A,#N/A,FALSE,"M&amp;A info"}</definedName>
    <definedName name="tradingcompar" localSheetId="20">{#N/A,#N/A,FALSE,"Trading-Mult ";#N/A,#N/A,FALSE,"Trading-Cap";#N/A,#N/A,FALSE,"Trading-Inc";#N/A,#N/A,FALSE,"Cash Flow";#N/A,#N/A,FALSE,"M&amp;A info"}</definedName>
    <definedName name="tradingcompar">{#N/A,#N/A,FALSE,"Trading-Mult ";#N/A,#N/A,FALSE,"Trading-Cap";#N/A,#N/A,FALSE,"Trading-Inc";#N/A,#N/A,FALSE,"Cash Flow";#N/A,#N/A,FALSE,"M&amp;A info"}</definedName>
    <definedName name="treeList">"11100000000000000000000000000000000000000000000000000000000000000000000000000000000000000000000000000000000000000000000000000000000000000000000000000000000000000000000000000000000000000000000000000000"</definedName>
    <definedName name="trial" localSheetId="25">{"Outflow 1",#N/A,FALSE,"Outflows-Inflows";"Outflow 2",#N/A,FALSE,"Outflows-Inflows";"Inflow 1",#N/A,FALSE,"Outflows-Inflows";"Inflow 2",#N/A,FALSE,"Outflows-Inflows"}</definedName>
    <definedName name="trial" localSheetId="20">{"Outflow 1",#N/A,FALSE,"Outflows-Inflows";"Outflow 2",#N/A,FALSE,"Outflows-Inflows";"Inflow 1",#N/A,FALSE,"Outflows-Inflows";"Inflow 2",#N/A,FALSE,"Outflows-Inflows"}</definedName>
    <definedName name="trial">{"Outflow 1",#N/A,FALSE,"Outflows-Inflows";"Outflow 2",#N/A,FALSE,"Outflows-Inflows";"Inflow 1",#N/A,FALSE,"Outflows-Inflows";"Inflow 2",#N/A,FALSE,"Outflows-Inflows"}</definedName>
    <definedName name="TRYAGAIN">#REF!</definedName>
    <definedName name="tt" localSheetId="25">{"bs",#N/A,FALSE,"SCF"}</definedName>
    <definedName name="tt" localSheetId="20">{"bs",#N/A,FALSE,"SCF"}</definedName>
    <definedName name="tt">{"bs",#N/A,FALSE,"SCF"}</definedName>
    <definedName name="ttazdad">#REF!</definedName>
    <definedName name="TTT" localSheetId="25">{"Total Wholesale",#N/A,FALSE,"Wholesale";"Whsle_Admin",#N/A,FALSE,"Wholesale";"Whsle_Lombard",#N/A,FALSE,"Wholesale";"Whsle_Marlton",#N/A,FALSE,"Wholesale";"Whsle_Pleasanton",#N/A,FALSE,"Wholesale"}</definedName>
    <definedName name="TTT" localSheetId="20">{"Total Wholesale",#N/A,FALSE,"Wholesale";"Whsle_Admin",#N/A,FALSE,"Wholesale";"Whsle_Lombard",#N/A,FALSE,"Wholesale";"Whsle_Marlton",#N/A,FALSE,"Wholesale";"Whsle_Pleasanton",#N/A,FALSE,"Wholesale"}</definedName>
    <definedName name="TTT">{"Total Wholesale",#N/A,FALSE,"Wholesale";"Whsle_Admin",#N/A,FALSE,"Wholesale";"Whsle_Lombard",#N/A,FALSE,"Wholesale";"Whsle_Marlton",#N/A,FALSE,"Wholesale";"Whsle_Pleasanton",#N/A,FALSE,"Wholesale"}</definedName>
    <definedName name="tttoo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25">{#N/A,#N/A,FALSE,"Report Data";#N/A,#N/A,FALSE,"COMP POOL";#N/A,#N/A,FALSE,"COMP POOL NB95";#N/A,#N/A,FALSE,"COMP POOL NB94"}</definedName>
    <definedName name="tttt" localSheetId="20">{#N/A,#N/A,FALSE,"Report Data";#N/A,#N/A,FALSE,"COMP POOL";#N/A,#N/A,FALSE,"COMP POOL NB95";#N/A,#N/A,FALSE,"COMP POOL NB94"}</definedName>
    <definedName name="tttt">{#N/A,#N/A,FALSE,"Report Data";#N/A,#N/A,FALSE,"COMP POOL";#N/A,#N/A,FALSE,"COMP POOL NB95";#N/A,#N/A,FALSE,"COMP POOL NB94"}</definedName>
    <definedName name="tu" localSheetId="25">{"bs",#N/A,FALSE,"SCF"}</definedName>
    <definedName name="tu" localSheetId="20">{"bs",#N/A,FALSE,"SCF"}</definedName>
    <definedName name="tu">{"bs",#N/A,FALSE,"SCF"}</definedName>
    <definedName name="Tulsa" localSheetId="25">{#N/A,#N/A,FALSE,"Report Data";#N/A,#N/A,FALSE,"COMP POOL";#N/A,#N/A,FALSE,"COMP POOL NB95";#N/A,#N/A,FALSE,"COMP POOL NB94"}</definedName>
    <definedName name="Tulsa" localSheetId="20">{#N/A,#N/A,FALSE,"Report Data";#N/A,#N/A,FALSE,"COMP POOL";#N/A,#N/A,FALSE,"COMP POOL NB95";#N/A,#N/A,FALSE,"COMP POOL NB94"}</definedName>
    <definedName name="Tulsa">{#N/A,#N/A,FALSE,"Report Data";#N/A,#N/A,FALSE,"COMP POOL";#N/A,#N/A,FALSE,"COMP POOL NB95";#N/A,#N/A,FALSE,"COMP POOL NB94"}</definedName>
    <definedName name="twert" localSheetId="25">{"by_month",#N/A,TRUE,"template";"destec_month",#N/A,TRUE,"template";"by_quarter",#N/A,TRUE,"template";"destec_quarter",#N/A,TRUE,"template";"by_year",#N/A,TRUE,"template";"destec_annual",#N/A,TRUE,"template"}</definedName>
    <definedName name="twert" localSheetId="20">{"by_month",#N/A,TRUE,"template";"destec_month",#N/A,TRUE,"template";"by_quarter",#N/A,TRUE,"template";"destec_quarter",#N/A,TRUE,"template";"by_year",#N/A,TRUE,"template";"destec_annual",#N/A,TRUE,"template"}</definedName>
    <definedName name="twert">{"by_month",#N/A,TRUE,"template";"destec_month",#N/A,TRUE,"template";"by_quarter",#N/A,TRUE,"template";"destec_quarter",#N/A,TRUE,"template";"by_year",#N/A,TRUE,"template";"destec_annual",#N/A,TRUE,"template"}</definedName>
    <definedName name="ty" localSheetId="25">{"Assumptions",#N/A,TRUE,"Assumptions";"Income",#N/A,TRUE,"Income";"Balance",#N/A,TRUE,"Balance"}</definedName>
    <definedName name="ty" localSheetId="20">{"Assumptions",#N/A,TRUE,"Assumptions";"Income",#N/A,TRUE,"Income";"Balance",#N/A,TRUE,"Balance"}</definedName>
    <definedName name="ty">{"Assumptions",#N/A,TRUE,"Assumptions";"Income",#N/A,TRUE,"Income";"Balance",#N/A,TRUE,"Balance"}</definedName>
    <definedName name="tyr" localSheetId="25">{#N/A,#N/A,FALSE,"AD_Purch";#N/A,#N/A,FALSE,"Projections";#N/A,#N/A,FALSE,"DCF";#N/A,#N/A,FALSE,"Mkt Val"}</definedName>
    <definedName name="tyr" localSheetId="20">{#N/A,#N/A,FALSE,"AD_Purch";#N/A,#N/A,FALSE,"Projections";#N/A,#N/A,FALSE,"DCF";#N/A,#N/A,FALSE,"Mkt Val"}</definedName>
    <definedName name="tyr">{#N/A,#N/A,FALSE,"AD_Purch";#N/A,#N/A,FALSE,"Projections";#N/A,#N/A,FALSE,"DCF";#N/A,#N/A,FALSE,"Mkt Val"}</definedName>
    <definedName name="tyryu" localSheetId="25">{#N/A,#N/A,FALSE,"Sheet1";#N/A,#N/A,FALSE,"Summary";#N/A,#N/A,FALSE,"proj1";#N/A,#N/A,FALSE,"proj2"}</definedName>
    <definedName name="tyryu" localSheetId="20">{#N/A,#N/A,FALSE,"Sheet1";#N/A,#N/A,FALSE,"Summary";#N/A,#N/A,FALSE,"proj1";#N/A,#N/A,FALSE,"proj2"}</definedName>
    <definedName name="tyryu">{#N/A,#N/A,FALSE,"Sheet1";#N/A,#N/A,FALSE,"Summary";#N/A,#N/A,FALSE,"proj1";#N/A,#N/A,FALSE,"proj2"}</definedName>
    <definedName name="tyu" localSheetId="25">{"consolidated",#N/A,FALSE,"Sheet1";"cms",#N/A,FALSE,"Sheet1";"fse",#N/A,FALSE,"Sheet1"}</definedName>
    <definedName name="tyu" localSheetId="20">{"consolidated",#N/A,FALSE,"Sheet1";"cms",#N/A,FALSE,"Sheet1";"fse",#N/A,FALSE,"Sheet1"}</definedName>
    <definedName name="tyu">{"consolidated",#N/A,FALSE,"Sheet1";"cms",#N/A,FALSE,"Sheet1";"fse",#N/A,FALSE,"Sheet1"}</definedName>
    <definedName name="uiem123">#REF!</definedName>
    <definedName name="uiknu" localSheetId="25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20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nab" localSheetId="25">{"Opsys",#N/A,FALSE,"NPV_OPsys";"NT",#N/A,FALSE,"NPV_NT";"DevP",#N/A,FALSE,"NPV_DevPdt";"Office",#N/A,FALSE,"NPV_Office"}</definedName>
    <definedName name="unab" localSheetId="20">{"Opsys",#N/A,FALSE,"NPV_OPsys";"NT",#N/A,FALSE,"NPV_NT";"DevP",#N/A,FALSE,"NPV_DevPdt";"Office",#N/A,FALSE,"NPV_Office"}</definedName>
    <definedName name="unab">{"Opsys",#N/A,FALSE,"NPV_OPsys";"NT",#N/A,FALSE,"NPV_NT";"DevP",#N/A,FALSE,"NPV_DevPdt";"Office",#N/A,FALSE,"NPV_Office"}</definedName>
    <definedName name="United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KNOWN">39472.4140856481</definedName>
    <definedName name="UP" localSheetId="25">{"'Inventory &amp; Anal-Cur Wkbk'!$A$7:$AP$71"}</definedName>
    <definedName name="UP" localSheetId="20">{"'Inventory &amp; Anal-Cur Wkbk'!$A$7:$AP$71"}</definedName>
    <definedName name="UP">{"'Inventory &amp; Anal-Cur Wkbk'!$A$7:$AP$71"}</definedName>
    <definedName name="updated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SUMMARY" localSheetId="25">{#N/A,#N/A,FALSE,"FACTSHEETS";#N/A,#N/A,FALSE,"pump";#N/A,#N/A,FALSE,"filter"}</definedName>
    <definedName name="UPDATESUMMARY" localSheetId="20">{#N/A,#N/A,FALSE,"FACTSHEETS";#N/A,#N/A,FALSE,"pump";#N/A,#N/A,FALSE,"filter"}</definedName>
    <definedName name="UPDATESUMMARY">{#N/A,#N/A,FALSE,"FACTSHEETS";#N/A,#N/A,FALSE,"pump";#N/A,#N/A,FALSE,"filter"}</definedName>
    <definedName name="v" localSheetId="25">{#N/A,#N/A,FALSE,"Aging Summary";#N/A,#N/A,FALSE,"Ratio Analysis";#N/A,#N/A,FALSE,"Test 120 Day Accts";#N/A,#N/A,FALSE,"Tickmarks"}</definedName>
    <definedName name="v" localSheetId="20">{#N/A,#N/A,FALSE,"Aging Summary";#N/A,#N/A,FALSE,"Ratio Analysis";#N/A,#N/A,FALSE,"Test 120 Day Accts";#N/A,#N/A,FALSE,"Tickmarks"}</definedName>
    <definedName name="v">{#N/A,#N/A,FALSE,"Aging Summary";#N/A,#N/A,FALSE,"Ratio Analysis";#N/A,#N/A,FALSE,"Test 120 Day Accts";#N/A,#N/A,FALSE,"Tickmarks"}</definedName>
    <definedName name="Varanalysis2001" localSheetId="25">{#N/A,#N/A,FALSE,"BalSheet 0899";#N/A,#N/A,FALSE,"ytdpl899";#N/A,#N/A,FALSE,"Aug PL";#N/A,#N/A,FALSE,"Minority Int";#N/A,#N/A,FALSE,"Equity Roll Forward";#N/A,#N/A,FALSE,"Book Equity Test"}</definedName>
    <definedName name="Varanalysis2001" localSheetId="20">{#N/A,#N/A,FALSE,"BalSheet 0899";#N/A,#N/A,FALSE,"ytdpl899";#N/A,#N/A,FALSE,"Aug PL";#N/A,#N/A,FALSE,"Minority Int";#N/A,#N/A,FALSE,"Equity Roll Forward";#N/A,#N/A,FALSE,"Book Equity Test"}</definedName>
    <definedName name="Varanalysis2001">{#N/A,#N/A,FALSE,"BalSheet 0899";#N/A,#N/A,FALSE,"ytdpl899";#N/A,#N/A,FALSE,"Aug PL";#N/A,#N/A,FALSE,"Minority Int";#N/A,#N/A,FALSE,"Equity Roll Forward";#N/A,#N/A,FALSE,"Book Equity Test"}</definedName>
    <definedName name="Variance" localSheetId="25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" localSheetId="20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iance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bvn">"c116"</definedName>
    <definedName name="vcvc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k" localSheetId="25">{"bs",#N/A,FALSE,"SCF"}</definedName>
    <definedName name="vk" localSheetId="20">{"bs",#N/A,FALSE,"SCF"}</definedName>
    <definedName name="vk">{"bs",#N/A,FALSE,"SCF"}</definedName>
    <definedName name="vl" localSheetId="25">{"bs",#N/A,FALSE,"SCF"}</definedName>
    <definedName name="vl" localSheetId="20">{"bs",#N/A,FALSE,"SCF"}</definedName>
    <definedName name="vl">{"bs",#N/A,FALSE,"SCF"}</definedName>
    <definedName name="vsdkfj" localSheetId="25">{"bs",#N/A,FALSE,"SCF"}</definedName>
    <definedName name="vsdkfj" localSheetId="20">{"bs",#N/A,FALSE,"SCF"}</definedName>
    <definedName name="vsdkfj">{"bs",#N/A,FALSE,"SCF"}</definedName>
    <definedName name="vslv" localSheetId="25">{"bs",#N/A,FALSE,"SCF"}</definedName>
    <definedName name="vslv" localSheetId="20">{"bs",#N/A,FALSE,"SCF"}</definedName>
    <definedName name="vslv">{"bs",#N/A,FALSE,"SCF"}</definedName>
    <definedName name="vv" localSheetId="25">{"contributory1",#N/A,FALSE,"Contributory Assets Detail";"contributory2",#N/A,FALSE,"Contributory Assets Detail"}</definedName>
    <definedName name="vv" localSheetId="20">{"contributory1",#N/A,FALSE,"Contributory Assets Detail";"contributory2",#N/A,FALSE,"Contributory Assets Detail"}</definedName>
    <definedName name="vv">{"contributory1",#N/A,FALSE,"Contributory Assets Detail";"contributory2",#N/A,FALSE,"Contributory Assets Detail"}</definedName>
    <definedName name="vvcrrr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localSheetId="25">{"ReportTop",#N/A,FALSE,"report top"}</definedName>
    <definedName name="vvv" localSheetId="20">{"ReportTop",#N/A,FALSE,"report top"}</definedName>
    <definedName name="vvv">{"ReportTop",#N/A,FALSE,"report top"}</definedName>
    <definedName name="vvvv" localSheetId="25">{"documentation1",#N/A,FALSE,"Documentation";"documentation2",#N/A,FALSE,"Documentation"}</definedName>
    <definedName name="vvvv" localSheetId="20">{"documentation1",#N/A,FALSE,"Documentation";"documentation2",#N/A,FALSE,"Documentation"}</definedName>
    <definedName name="vvvv">{"documentation1",#N/A,FALSE,"Documentation";"documentation2",#N/A,FALSE,"Documentation"}</definedName>
    <definedName name="vvvvv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v" localSheetId="25">{#N/A,#N/A,TRUE,"Fiber_Optic_Cable_Input ";#N/A,#N/A,TRUE,"Specialty_Fiber_Devices_Input";#N/A,#N/A,TRUE,"Optical_Fiber_Apparatus_Input"}</definedName>
    <definedName name="vvvvvv" localSheetId="20">{#N/A,#N/A,TRUE,"Fiber_Optic_Cable_Input ";#N/A,#N/A,TRUE,"Specialty_Fiber_Devices_Input";#N/A,#N/A,TRUE,"Optical_Fiber_Apparatus_Input"}</definedName>
    <definedName name="vvvvvv">{#N/A,#N/A,TRUE,"Fiber_Optic_Cable_Input ";#N/A,#N/A,TRUE,"Specialty_Fiber_Devices_Input";#N/A,#N/A,TRUE,"Optical_Fiber_Apparatus_Input"}</definedName>
    <definedName name="vvvvvvv" localSheetId="25">{#N/A,#N/A,TRUE,"Falcons_Standalone";#N/A,#N/A,TRUE,"Target_Input";#N/A,#N/A,TRUE,"Target_Calendarized"}</definedName>
    <definedName name="vvvvvvv" localSheetId="20">{#N/A,#N/A,TRUE,"Falcons_Standalone";#N/A,#N/A,TRUE,"Target_Input";#N/A,#N/A,TRUE,"Target_Calendarized"}</definedName>
    <definedName name="vvvvvvv">{#N/A,#N/A,TRUE,"Falcons_Standalone";#N/A,#N/A,TRUE,"Target_Input";#N/A,#N/A,TRUE,"Target_Calendarized"}</definedName>
    <definedName name="vvvvvvvv" localSheetId="25">{#N/A,#N/A,TRUE,"FOC_Product_Assumptions"}</definedName>
    <definedName name="vvvvvvvv" localSheetId="20">{#N/A,#N/A,TRUE,"FOC_Product_Assumptions"}</definedName>
    <definedName name="vvvvvvvv">{#N/A,#N/A,TRUE,"FOC_Product_Assumptions"}</definedName>
    <definedName name="vvvvvvvvv" localSheetId="25">{#N/A,#N/A,FALSE,"Consolidated Shipley";#N/A,#N/A,FALSE,"Consolidated PWB";#N/A,#N/A,FALSE,"Consolidated Micro"}</definedName>
    <definedName name="vvvvvvvvv" localSheetId="20">{#N/A,#N/A,FALSE,"Consolidated Shipley";#N/A,#N/A,FALSE,"Consolidated PWB";#N/A,#N/A,FALSE,"Consolidated Micro"}</definedName>
    <definedName name="vvvvvvvvv">{#N/A,#N/A,FALSE,"Consolidated Shipley";#N/A,#N/A,FALSE,"Consolidated PWB";#N/A,#N/A,FALSE,"Consolidated Micro"}</definedName>
    <definedName name="vvvvvvvvvv" localSheetId="25">{#N/A,#N/A,FALSE,"Consolidated Shipley";#N/A,#N/A,FALSE,"Consolidated PWB";#N/A,#N/A,FALSE,"Consolidated Micro"}</definedName>
    <definedName name="vvvvvvvvvv" localSheetId="20">{#N/A,#N/A,FALSE,"Consolidated Shipley";#N/A,#N/A,FALSE,"Consolidated PWB";#N/A,#N/A,FALSE,"Consolidated Micro"}</definedName>
    <definedName name="vvvvvvvvvv">{#N/A,#N/A,FALSE,"Consolidated Shipley";#N/A,#N/A,FALSE,"Consolidated PWB";#N/A,#N/A,FALSE,"Consolidated Micro"}</definedName>
    <definedName name="vwew32" localSheetId="25">{"Assumptions",#N/A,TRUE,"Assumptions";"Income",#N/A,TRUE,"Income";"Balance",#N/A,TRUE,"Balance"}</definedName>
    <definedName name="vwew32" localSheetId="20">{"Assumptions",#N/A,TRUE,"Assumptions";"Income",#N/A,TRUE,"Income";"Balance",#N/A,TRUE,"Balance"}</definedName>
    <definedName name="vwew32">{"Assumptions",#N/A,TRUE,"Assumptions";"Income",#N/A,TRUE,"Income";"Balance",#N/A,TRUE,"Balance"}</definedName>
    <definedName name="vzssw" localSheetId="25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20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25">{"ReportTop",#N/A,FALSE,"report top"}</definedName>
    <definedName name="w" localSheetId="20">{"ReportTop",#N/A,FALSE,"report top"}</definedName>
    <definedName name="w">{"ReportTop",#N/A,FALSE,"report top"}</definedName>
    <definedName name="w5y2367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fsdfasdf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g" localSheetId="25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 localSheetId="20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g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errr" localSheetId="25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20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we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burne" localSheetId="25">{#N/A,#N/A,FALSE,"Projections";#N/A,#N/A,FALSE,"Multiples Valuation";#N/A,#N/A,FALSE,"LBO";#N/A,#N/A,FALSE,"Multiples_Sensitivity";#N/A,#N/A,FALSE,"Summary"}</definedName>
    <definedName name="Westburne" localSheetId="20">{#N/A,#N/A,FALSE,"Projections";#N/A,#N/A,FALSE,"Multiples Valuation";#N/A,#N/A,FALSE,"LBO";#N/A,#N/A,FALSE,"Multiples_Sensitivity";#N/A,#N/A,FALSE,"Summary"}</definedName>
    <definedName name="Westburne">{#N/A,#N/A,FALSE,"Projections";#N/A,#N/A,FALSE,"Multiples Valuation";#N/A,#N/A,FALSE,"LBO";#N/A,#N/A,FALSE,"Multiples_Sensitivity";#N/A,#N/A,FALSE,"Summary"}</definedName>
    <definedName name="what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 localSheetId="25">{#N/A,#N/A,TRUE,"Summary";#N/A,#N/A,TRUE,"Financials"}</definedName>
    <definedName name="What?" localSheetId="20">{#N/A,#N/A,TRUE,"Summary";#N/A,#N/A,TRUE,"Financials"}</definedName>
    <definedName name="What?">{#N/A,#N/A,TRUE,"Summary";#N/A,#N/A,TRUE,"Financials"}</definedName>
    <definedName name="What2?" localSheetId="25">{#N/A,#N/A,TRUE,"Summary";#N/A,#N/A,TRUE,"Financials";#N/A,#N/A,TRUE,"Assumptions";#N/A,#N/A,TRUE,"Pro Forma";#N/A,#N/A,TRUE,"Debt";#N/A,#N/A,TRUE,"Amortization";#N/A,#N/A,TRUE,"GG Returns"}</definedName>
    <definedName name="What2?" localSheetId="20">{#N/A,#N/A,TRUE,"Summary";#N/A,#N/A,TRUE,"Financials";#N/A,#N/A,TRUE,"Assumptions";#N/A,#N/A,TRUE,"Pro Forma";#N/A,#N/A,TRUE,"Debt";#N/A,#N/A,TRUE,"Amortization";#N/A,#N/A,TRUE,"GG Returns"}</definedName>
    <definedName name="What2?">{#N/A,#N/A,TRUE,"Summary";#N/A,#N/A,TRUE,"Financials";#N/A,#N/A,TRUE,"Assumptions";#N/A,#N/A,TRUE,"Pro Forma";#N/A,#N/A,TRUE,"Debt";#N/A,#N/A,TRUE,"Amortization";#N/A,#N/A,TRUE,"GG Returns"}</definedName>
    <definedName name="What3?" localSheetId="25">{#N/A,#N/A,TRUE,"Summary";#N/A,#N/A,TRUE,"Assumptions";#N/A,#N/A,TRUE,"Comparison";#N/A,#N/A,TRUE,"Financials";#N/A,#N/A,TRUE,"Plan v. Act"}</definedName>
    <definedName name="What3?" localSheetId="20">{#N/A,#N/A,TRUE,"Summary";#N/A,#N/A,TRUE,"Assumptions";#N/A,#N/A,TRUE,"Comparison";#N/A,#N/A,TRUE,"Financials";#N/A,#N/A,TRUE,"Plan v. Act"}</definedName>
    <definedName name="What3?">{#N/A,#N/A,TRUE,"Summary";#N/A,#N/A,TRUE,"Assumptions";#N/A,#N/A,TRUE,"Comparison";#N/A,#N/A,TRUE,"Financials";#N/A,#N/A,TRUE,"Plan v. Act"}</definedName>
    <definedName name="WHATEVER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25">{#N/A,#N/A,FALSE,"Summary";#N/A,#N/A,FALSE,"Projections";#N/A,#N/A,FALSE,"Mkt Mults";#N/A,#N/A,FALSE,"DCF";#N/A,#N/A,FALSE,"Accr Dil";#N/A,#N/A,FALSE,"PIC LBO";#N/A,#N/A,FALSE,"MULT10_4";#N/A,#N/A,FALSE,"CBI LBO"}</definedName>
    <definedName name="whatisthis" localSheetId="20">{#N/A,#N/A,FALSE,"Summary";#N/A,#N/A,FALSE,"Projections";#N/A,#N/A,FALSE,"Mkt Mults";#N/A,#N/A,FALSE,"DCF";#N/A,#N/A,FALSE,"Accr Dil";#N/A,#N/A,FALSE,"PIC LBO";#N/A,#N/A,FALSE,"MULT10_4";#N/A,#N/A,FALSE,"CBI LBO"}</definedName>
    <definedName name="whatisthis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25">{#N/A,#N/A,FALSE,"IPO";#N/A,#N/A,FALSE,"DCF";#N/A,#N/A,FALSE,"LBO";#N/A,#N/A,FALSE,"MULT_VAL";#N/A,#N/A,FALSE,"Status Quo";#N/A,#N/A,FALSE,"Recap"}</definedName>
    <definedName name="whatisthissss" localSheetId="20">{#N/A,#N/A,FALSE,"IPO";#N/A,#N/A,FALSE,"DCF";#N/A,#N/A,FALSE,"LBO";#N/A,#N/A,FALSE,"MULT_VAL";#N/A,#N/A,FALSE,"Status Quo";#N/A,#N/A,FALSE,"Recap"}</definedName>
    <definedName name="whatisthissss">{#N/A,#N/A,FALSE,"IPO";#N/A,#N/A,FALSE,"DCF";#N/A,#N/A,FALSE,"LBO";#N/A,#N/A,FALSE,"MULT_VAL";#N/A,#N/A,FALSE,"Status Quo";#N/A,#N/A,FALSE,"Recap"}</definedName>
    <definedName name="whatisthisssss" localSheetId="25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20">{#N/A,#N/A,FALSE,"Summary";#N/A,#N/A,FALSE,"Projections";#N/A,#N/A,FALSE,"Mkt Mults";#N/A,#N/A,FALSE,"DCF";#N/A,#N/A,FALSE,"Accr Dil";#N/A,#N/A,FALSE,"PIC LBO";#N/A,#N/A,FALSE,"MULT10_4";#N/A,#N/A,FALSE,"CBI LBO"}</definedName>
    <definedName name="whatisthisssss">{#N/A,#N/A,FALSE,"Summary";#N/A,#N/A,FALSE,"Projections";#N/A,#N/A,FALSE,"Mkt Mults";#N/A,#N/A,FALSE,"DCF";#N/A,#N/A,FALSE,"Accr Dil";#N/A,#N/A,FALSE,"PIC LBO";#N/A,#N/A,FALSE,"MULT10_4";#N/A,#N/A,FALSE,"CBI LBO"}</definedName>
    <definedName name="Winzip" localSheetId="25">{"bs",#N/A,FALSE,"SCF"}</definedName>
    <definedName name="Winzip" localSheetId="20">{"bs",#N/A,FALSE,"SCF"}</definedName>
    <definedName name="Winzip">{"bs",#N/A,FALSE,"SCF"}</definedName>
    <definedName name="wlll" localSheetId="25">{"bs",#N/A,FALSE,"SCF"}</definedName>
    <definedName name="wlll" localSheetId="20">{"bs",#N/A,FALSE,"SCF"}</definedName>
    <definedName name="wlll">{"bs",#N/A,FALSE,"SCF"}</definedName>
    <definedName name="wqwt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wqwt">{#N/A,#N/A,FALSE,"Projections";#N/A,#N/A,FALSE,"Contribution_Stock";#N/A,#N/A,FALSE,"PF_Combo_Stock";#N/A,#N/A,FALSE,"Projections";#N/A,#N/A,FALSE,"Contribution_Cash";#N/A,#N/A,FALSE,"PF_Combo_Cash";#N/A,#N/A,FALSE,"IPO_Cash"}</definedName>
    <definedName name="wrd.2._.pagers.3" localSheetId="25">{"Cover",#N/A,FALSE,"Cover";"Summary",#N/A,FALSE,"Summarpage"}</definedName>
    <definedName name="wrd.2._.pagers.3" localSheetId="20">{"Cover",#N/A,FALSE,"Cover";"Summary",#N/A,FALSE,"Summarpage"}</definedName>
    <definedName name="wrd.2._.pagers.3">{"Cover",#N/A,FALSE,"Cover";"Summary",#N/A,FALSE,"Summarpage"}</definedName>
    <definedName name="wrm.All." localSheetId="25">{"IncStmt",#N/A,FALSE,"P&amp;L";"PLVar",#N/A,FALSE,"P&amp;L"}</definedName>
    <definedName name="wrm.All." localSheetId="20">{"IncStmt",#N/A,FALSE,"P&amp;L";"PLVar",#N/A,FALSE,"P&amp;L"}</definedName>
    <definedName name="wrm.All.">{"IncStmt",#N/A,FALSE,"P&amp;L";"PLVar",#N/A,FALSE,"P&amp;L"}</definedName>
    <definedName name="wrm.CashFlow." localSheetId="25">{"CashFlow",#N/A,FALSE,"cashflw"}</definedName>
    <definedName name="wrm.CashFlow." localSheetId="20">{"CashFlow",#N/A,FALSE,"cashflw"}</definedName>
    <definedName name="wrm.CashFlow.">{"CashFlow",#N/A,FALSE,"cashflw"}</definedName>
    <definedName name="wrm.IncStmt." localSheetId="25">{"IncStmt",#N/A,FALSE,"P&amp;L"}</definedName>
    <definedName name="wrm.IncStmt." localSheetId="20">{"IncStmt",#N/A,FALSE,"P&amp;L"}</definedName>
    <definedName name="wrm.IncStmt.">{"IncStmt",#N/A,FALSE,"P&amp;L"}</definedName>
    <definedName name="wrm.PL1990." localSheetId="25">{"PL1990",#N/A,FALSE,"90-91"}</definedName>
    <definedName name="wrm.PL1990." localSheetId="20">{"PL1990",#N/A,FALSE,"90-91"}</definedName>
    <definedName name="wrm.PL1990.">{"PL1990",#N/A,FALSE,"90-91"}</definedName>
    <definedName name="wrm.PL1991." localSheetId="25">{"PL1991",#N/A,FALSE,"90-91"}</definedName>
    <definedName name="wrm.PL1991." localSheetId="20">{"PL1991",#N/A,FALSE,"90-91"}</definedName>
    <definedName name="wrm.PL1991.">{"PL1991",#N/A,FALSE,"90-91"}</definedName>
    <definedName name="wrm.PL1992." localSheetId="25">{"PL1992",#N/A,FALSE,"90-91"}</definedName>
    <definedName name="wrm.PL1992." localSheetId="20">{"PL1992",#N/A,FALSE,"90-91"}</definedName>
    <definedName name="wrm.PL1992.">{"PL1992",#N/A,FALSE,"90-91"}</definedName>
    <definedName name="wrm.PL1993." localSheetId="25">{"PL1993",#N/A,FALSE,"90-91"}</definedName>
    <definedName name="wrm.PL1993." localSheetId="20">{"PL1993",#N/A,FALSE,"90-91"}</definedName>
    <definedName name="wrm.PL1993.">{"PL1993",#N/A,FALSE,"90-91"}</definedName>
    <definedName name="wrm.PL1994." localSheetId="25">{"PL1994",#N/A,FALSE,"90-91"}</definedName>
    <definedName name="wrm.PL1994." localSheetId="20">{"PL1994",#N/A,FALSE,"90-91"}</definedName>
    <definedName name="wrm.PL1994.">{"PL1994",#N/A,FALSE,"90-91"}</definedName>
    <definedName name="wrm.PLVar." localSheetId="25">{"PLVar",#N/A,FALSE,"P&amp;L"}</definedName>
    <definedName name="wrm.PLVar." localSheetId="20">{"PLVar",#N/A,FALSE,"P&amp;L"}</definedName>
    <definedName name="wrm.PLVar.">{"PLVar",#N/A,FALSE,"P&amp;L"}</definedName>
    <definedName name="wrm.WorkCap." localSheetId="25">{"WorkCap",#N/A,FALSE,"cashflw"}</definedName>
    <definedName name="wrm.WorkCap." localSheetId="20">{"WorkCap",#N/A,FALSE,"cashflw"}</definedName>
    <definedName name="wrm.WorkCap.">{"WorkCap",#N/A,FALSE,"cashflw"}</definedName>
    <definedName name="wrm.Y95current." localSheetId="25">{"Y95current",#N/A,FALSE,"Sheet4"}</definedName>
    <definedName name="wrm.Y95current." localSheetId="20">{"Y95current",#N/A,FALSE,"Sheet4"}</definedName>
    <definedName name="wrm.Y95current.">{"Y95current",#N/A,FALSE,"Sheet4"}</definedName>
    <definedName name="wrm.Y95qtrs." localSheetId="25">{"Y95qtrs",#N/A,FALSE,"Sheet4"}</definedName>
    <definedName name="wrm.Y95qtrs." localSheetId="20">{"Y95qtrs",#N/A,FALSE,"Sheet4"}</definedName>
    <definedName name="wrm.Y95qtrs.">{"Y95qtrs",#N/A,FALSE,"Sheet4"}</definedName>
    <definedName name="wrn." localSheetId="25">{#N/A,#N/A,FALSE,"Japan 2003";#N/A,#N/A,FALSE,"Sheet2"}</definedName>
    <definedName name="wrn." localSheetId="20">{#N/A,#N/A,FALSE,"Japan 2003";#N/A,#N/A,FALSE,"Sheet2"}</definedName>
    <definedName name="wrn.">{#N/A,#N/A,FALSE,"Japan 2003";#N/A,#N/A,FALSE,"Sheet2"}</definedName>
    <definedName name="wrn.1." localSheetId="25">{#N/A,#N/A,FALSE,"Calc";#N/A,#N/A,FALSE,"Sensitivity";#N/A,#N/A,FALSE,"LT Earn.Dil.";#N/A,#N/A,FALSE,"Dil. AVP"}</definedName>
    <definedName name="wrn.1." localSheetId="20">{#N/A,#N/A,FALSE,"Calc";#N/A,#N/A,FALSE,"Sensitivity";#N/A,#N/A,FALSE,"LT Earn.Dil.";#N/A,#N/A,FALSE,"Dil. AVP"}</definedName>
    <definedName name="wrn.1.">{#N/A,#N/A,FALSE,"Calc";#N/A,#N/A,FALSE,"Sensitivity";#N/A,#N/A,FALSE,"LT Earn.Dil.";#N/A,#N/A,FALSE,"Dil. AVP"}</definedName>
    <definedName name="wrn.1.1" localSheetId="25">{#N/A,#N/A,FALSE,"Calc";#N/A,#N/A,FALSE,"Sensitivity";#N/A,#N/A,FALSE,"LT Earn.Dil.";#N/A,#N/A,FALSE,"Dil. AVP"}</definedName>
    <definedName name="wrn.1.1" localSheetId="20">{#N/A,#N/A,FALSE,"Calc";#N/A,#N/A,FALSE,"Sensitivity";#N/A,#N/A,FALSE,"LT Earn.Dil.";#N/A,#N/A,FALSE,"Dil. AVP"}</definedName>
    <definedName name="wrn.1.1">{#N/A,#N/A,FALSE,"Calc";#N/A,#N/A,FALSE,"Sensitivity";#N/A,#N/A,FALSE,"LT Earn.Dil.";#N/A,#N/A,FALSE,"Dil. AVP"}</definedName>
    <definedName name="wrn.1.1.2" localSheetId="25">{#N/A,#N/A,FALSE,"Calc";#N/A,#N/A,FALSE,"Sensitivity";#N/A,#N/A,FALSE,"LT Earn.Dil.";#N/A,#N/A,FALSE,"Dil. AVP"}</definedName>
    <definedName name="wrn.1.1.2" localSheetId="20">{#N/A,#N/A,FALSE,"Calc";#N/A,#N/A,FALSE,"Sensitivity";#N/A,#N/A,FALSE,"LT Earn.Dil.";#N/A,#N/A,FALSE,"Dil. AVP"}</definedName>
    <definedName name="wrn.1.1.2">{#N/A,#N/A,FALSE,"Calc";#N/A,#N/A,FALSE,"Sensitivity";#N/A,#N/A,FALSE,"LT Earn.Dil.";#N/A,#N/A,FALSE,"Dil. AVP"}</definedName>
    <definedName name="wrn.1.1.3" localSheetId="25">{#N/A,#N/A,FALSE,"Calc";#N/A,#N/A,FALSE,"Sensitivity";#N/A,#N/A,FALSE,"LT Earn.Dil.";#N/A,#N/A,FALSE,"Dil. AVP"}</definedName>
    <definedName name="wrn.1.1.3" localSheetId="20">{#N/A,#N/A,FALSE,"Calc";#N/A,#N/A,FALSE,"Sensitivity";#N/A,#N/A,FALSE,"LT Earn.Dil.";#N/A,#N/A,FALSE,"Dil. AVP"}</definedName>
    <definedName name="wrn.1.1.3">{#N/A,#N/A,FALSE,"Calc";#N/A,#N/A,FALSE,"Sensitivity";#N/A,#N/A,FALSE,"LT Earn.Dil.";#N/A,#N/A,FALSE,"Dil. AVP"}</definedName>
    <definedName name="wrn.1.2" localSheetId="25">{#N/A,#N/A,FALSE,"Calc";#N/A,#N/A,FALSE,"Sensitivity";#N/A,#N/A,FALSE,"LT Earn.Dil.";#N/A,#N/A,FALSE,"Dil. AVP"}</definedName>
    <definedName name="wrn.1.2" localSheetId="20">{#N/A,#N/A,FALSE,"Calc";#N/A,#N/A,FALSE,"Sensitivity";#N/A,#N/A,FALSE,"LT Earn.Dil.";#N/A,#N/A,FALSE,"Dil. AVP"}</definedName>
    <definedName name="wrn.1.2">{#N/A,#N/A,FALSE,"Calc";#N/A,#N/A,FALSE,"Sensitivity";#N/A,#N/A,FALSE,"LT Earn.Dil.";#N/A,#N/A,FALSE,"Dil. AVP"}</definedName>
    <definedName name="wrn.1.3" localSheetId="25">{#N/A,#N/A,FALSE,"Calc";#N/A,#N/A,FALSE,"Sensitivity";#N/A,#N/A,FALSE,"LT Earn.Dil.";#N/A,#N/A,FALSE,"Dil. AVP"}</definedName>
    <definedName name="wrn.1.3" localSheetId="20">{#N/A,#N/A,FALSE,"Calc";#N/A,#N/A,FALSE,"Sensitivity";#N/A,#N/A,FALSE,"LT Earn.Dil.";#N/A,#N/A,FALSE,"Dil. AVP"}</definedName>
    <definedName name="wrn.1.3">{#N/A,#N/A,FALSE,"Calc";#N/A,#N/A,FALSE,"Sensitivity";#N/A,#N/A,FALSE,"LT Earn.Dil.";#N/A,#N/A,FALSE,"Dil. AVP"}</definedName>
    <definedName name="wrn.12_30._.Adv._.Book." localSheetId="25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 localSheetId="20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localSheetId="25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 localSheetId="20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996._.BUDGET." localSheetId="25">{"SUMMARY",#N/A,TRUE,"SUMMARY";"compare",#N/A,TRUE,"Vs. Bus Plan";"ratios",#N/A,TRUE,"Ratios";"REVENUE",#N/A,TRUE,"Revenue";"expenses",#N/A,TRUE,"1996 budget";"payroll",#N/A,TRUE,"Payroll"}</definedName>
    <definedName name="wrn.1996._.BUDGET." localSheetId="20">{"SUMMARY",#N/A,TRUE,"SUMMARY";"compare",#N/A,TRUE,"Vs. Bus Plan";"ratios",#N/A,TRUE,"Ratios";"REVENUE",#N/A,TRUE,"Revenue";"expenses",#N/A,TRUE,"1996 budget";"payroll",#N/A,TRUE,"Payroll"}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TO._.2004." localSheetId="25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20">{"ten year ratios",#N/A,TRUE,"PROFIT_LOSS";"ten year ratios",#N/A,TRUE,"Ratios";"ten yr opex and capex",#N/A,TRUE,"1996 budget";"ten year revenues",#N/A,TRUE,"Revenue_1996-2004";"ten year 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8._.Budget." localSheetId="25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 localSheetId="20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localSheetId="25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" localSheetId="20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 localSheetId="25">{"common_pl",#N/A,FALSE,"Commonized PL";"analyst",#N/A,FALSE,"Budget to Analyst";"sec",#N/A,FALSE,"SEC PL";"summary",#N/A,FALSE,"Summary";"detail",#N/A,FALSE,"Detail"}</definedName>
    <definedName name="wrn.1999._.budget." localSheetId="20">{"common_pl",#N/A,FALSE,"Commonized PL";"analyst",#N/A,FALSE,"Budget to Analyst";"sec",#N/A,FALSE,"SEC PL";"summary",#N/A,FALSE,"Summary";"detail",#N/A,FALSE,"Detail"}</definedName>
    <definedName name="wrn.1999._.budget.">{"common_pl",#N/A,FALSE,"Commonized PL";"analyst",#N/A,FALSE,"Budget to Analyst";"sec",#N/A,FALSE,"SEC PL";"summary",#N/A,FALSE,"Summary";"detail",#N/A,FALSE,"Detail"}</definedName>
    <definedName name="WRN.2." localSheetId="25">{#N/A,#N/A,FALSE,"Calc";#N/A,#N/A,FALSE,"Sensitivity";#N/A,#N/A,FALSE,"LT Earn.Dil.";#N/A,#N/A,FALSE,"Dil. AVP"}</definedName>
    <definedName name="WRN.2." localSheetId="20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2._.pagers." localSheetId="25">{"Cover",#N/A,FALSE,"Cover";"Summary",#N/A,FALSE,"Summarpage"}</definedName>
    <definedName name="wrn.2._.pagers." localSheetId="20">{"Cover",#N/A,FALSE,"Cover";"Summary",#N/A,FALSE,"Summarpage"}</definedName>
    <definedName name="wrn.2._.pagers.">{"Cover",#N/A,FALSE,"Cover";"Summary",#N/A,FALSE,"Summarpage"}</definedName>
    <definedName name="wrn.2._.pagers.2" localSheetId="25">{"Cover",#N/A,FALSE,"Cover";"Summary",#N/A,FALSE,"Summarpage"}</definedName>
    <definedName name="wrn.2._.pagers.2" localSheetId="20">{"Cover",#N/A,FALSE,"Cover";"Summary",#N/A,FALSE,"Summarpage"}</definedName>
    <definedName name="wrn.2._.pagers.2">{"Cover",#N/A,FALSE,"Cover";"Summary",#N/A,FALSE,"Summarpage"}</definedName>
    <definedName name="wrn.3.00._.Adv.._.Board." localSheetId="25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 localSheetId="20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50._.50.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wrn.50_.501">{"assumption 50 50",#N/A,TRUE,"Merger";"has gets cash",#N/A,TRUE,"Merger";"accretion dilution",#N/A,TRUE,"Merger";"comparison credit stats",#N/A,TRUE,"Merger";"pf credit stats",#N/A,TRUE,"Merger";"pf sheets",#N/A,TRUE,"Merger"}</definedName>
    <definedName name="wrn.9_30._.Adv._.Board." localSheetId="25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 localSheetId="20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localSheetId="25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 localSheetId="20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B_workpapers." localSheetId="25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" localSheetId="20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localSheetId="25">{#N/A,#N/A,FALSE,"A_D";#N/A,#N/A,FALSE,"WACC";#N/A,#N/A,FALSE,"DCF";#N/A,#N/A,FALSE,"A";#N/A,#N/A,FALSE,"LBO";#N/A,#N/A,FALSE,"C";#N/A,#N/A,FALSE,"impd";#N/A,#N/A,FALSE,"comps"}</definedName>
    <definedName name="wrn.A_VALUATION." localSheetId="20">{#N/A,#N/A,FALSE,"A_D";#N/A,#N/A,FALSE,"WACC";#N/A,#N/A,FALSE,"DCF";#N/A,#N/A,FALSE,"A";#N/A,#N/A,FALSE,"LBO";#N/A,#N/A,FALSE,"C";#N/A,#N/A,FALSE,"impd";#N/A,#N/A,FALSE,"comps"}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ounts." localSheetId="25">{"turnover",#N/A,FALSE;"profits",#N/A,FALSE;"cash",#N/A,FALSE}</definedName>
    <definedName name="wrn.Accounts." localSheetId="20">{"turnover",#N/A,FALSE;"profits",#N/A,FALSE;"cash",#N/A,FALSE}</definedName>
    <definedName name="wrn.Accounts.">{"turnover",#N/A,FALSE;"profits",#N/A,FALSE;"cash",#N/A,FALSE}</definedName>
    <definedName name="wrn.ACCOUNTS._.PAYABLE." localSheetId="25">{#N/A,#N/A,FALSE,"CC-1 Accounts Payable";#N/A,#N/A,FALSE,"CC-2 Search for Unrecorded Liab"}</definedName>
    <definedName name="wrn.ACCOUNTS._.PAYABLE." localSheetId="20">{#N/A,#N/A,FALSE,"CC-1 Accounts Payable";#N/A,#N/A,FALSE,"CC-2 Search for Unrecorded Liab"}</definedName>
    <definedName name="wrn.ACCOUNTS._.PAYABLE.">{#N/A,#N/A,FALSE,"CC-1 Accounts Payable";#N/A,#N/A,FALSE,"CC-2 Search for Unrecorded Liab"}</definedName>
    <definedName name="wrn.Accr_Dil." localSheetId="25">{#N/A,#N/A,FALSE,"Debt Accr";#N/A,#N/A,FALSE,"Stock Accr";#N/A,#N/A,FALSE,"Debt Stock Accr"}</definedName>
    <definedName name="wrn.Accr_Dil." localSheetId="20">{#N/A,#N/A,FALSE,"Debt Accr";#N/A,#N/A,FALSE,"Stock Accr";#N/A,#N/A,FALSE,"Debt Stock Accr"}</definedName>
    <definedName name="wrn.Accr_Dil.">{#N/A,#N/A,FALSE,"Debt Accr";#N/A,#N/A,FALSE,"Stock Accr";#N/A,#N/A,FALSE,"Debt Stock Accr"}</definedName>
    <definedName name="wrn.ACCRUED._.EXPENSES." localSheetId="25">{#N/A,#N/A,FALSE,"EE-1 Othr Acts. Pbl &amp; Accr. Exp";#N/A,#N/A,FALSE,"FF-1 Payroll Taxes";#N/A,#N/A,FALSE,"HH-1 Employee Benefit Plans"}</definedName>
    <definedName name="wrn.ACCRUED._.EXPENSES." localSheetId="20">{#N/A,#N/A,FALSE,"EE-1 Othr Acts. Pbl &amp; Accr. Exp";#N/A,#N/A,FALSE,"FF-1 Payroll Taxes";#N/A,#N/A,FALSE,"HH-1 Employee Benefit Plans"}</definedName>
    <definedName name="wrn.ACCRUED._.EXPENSES.">{#N/A,#N/A,FALSE,"EE-1 Othr Acts. Pbl &amp; Accr. Exp";#N/A,#N/A,FALSE,"FF-1 Payroll Taxes";#N/A,#N/A,FALSE,"HH-1 Employee Benefit Plans"}</definedName>
    <definedName name="wrn.ACI." localSheetId="25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 localSheetId="20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I.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localSheetId="25">{#N/A,#N/A,TRUE,"Acq-Ass";#N/A,#N/A,TRUE,"Acq-IS";#N/A,#N/A,TRUE,"Acq-BS";#N/A,#N/A,TRUE,"Acq-CF"}</definedName>
    <definedName name="wrn.AcqState." localSheetId="20">{#N/A,#N/A,TRUE,"Acq-Ass";#N/A,#N/A,TRUE,"Acq-IS";#N/A,#N/A,TRUE,"Acq-BS";#N/A,#N/A,TRUE,"Acq-CF"}</definedName>
    <definedName name="wrn.AcqState.">{#N/A,#N/A,TRUE,"Acq-Ass";#N/A,#N/A,TRUE,"Acq-IS";#N/A,#N/A,TRUE,"Acq-BS";#N/A,#N/A,TRUE,"Acq-CF"}</definedName>
    <definedName name="wrn.Acquiror." localSheetId="25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20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25">{"Acq_matrix",#N/A,FALSE,"Acquisition Matrix"}</definedName>
    <definedName name="wrn.Acquisition_matrix." localSheetId="20">{"Acq_matrix",#N/A,FALSE,"Acquisition Matrix"}</definedName>
    <definedName name="wrn.Acquisition_matrix.">{"Acq_matrix",#N/A,FALSE,"Acquisition Matrix"}</definedName>
    <definedName name="wrn.AcqVal." localSheetId="25">{#N/A,#N/A,FALSE,"Acq-Val";#N/A,#N/A,FALSE,"Acq-Mult Val"}</definedName>
    <definedName name="wrn.AcqVal." localSheetId="20">{#N/A,#N/A,FALSE,"Acq-Val";#N/A,#N/A,FALSE,"Acq-Mult Val"}</definedName>
    <definedName name="wrn.AcqVal.">{#N/A,#N/A,FALSE,"Acq-Val";#N/A,#N/A,FALSE,"Acq-Mult Val"}</definedName>
    <definedName name="wrn.adj95." localSheetId="25">{"adj95mult",#N/A,FALSE,"COMPCO";"adj95est",#N/A,FALSE,"COMPCO"}</definedName>
    <definedName name="wrn.adj95." localSheetId="20">{"adj95mult",#N/A,FALSE,"COMPCO";"adj95est",#N/A,FALSE,"COMPCO"}</definedName>
    <definedName name="wrn.adj95.">{"adj95mult",#N/A,FALSE,"COMPCO";"adj95est",#N/A,FALSE,"COMPCO"}</definedName>
    <definedName name="wrn.Admin." localSheetId="25">{"Total Admin",#N/A,FALSE,"Admin";"Executive",#N/A,FALSE,"Admin";"Finance",#N/A,FALSE,"Admin";"Marketing",#N/A,FALSE,"Admin";"NonDepartmental",#N/A,FALSE,"Admin"}</definedName>
    <definedName name="wrn.Admin." localSheetId="20">{"Total Admin",#N/A,FALSE,"Admin";"Executive",#N/A,FALSE,"Admin";"Finance",#N/A,FALSE,"Admin";"Marketing",#N/A,FALSE,"Admin";"NonDepartmental",#N/A,FALSE,"Admin"}</definedName>
    <definedName name="wrn.Admin.">{"Total Admin",#N/A,FALSE,"Admin";"Executive",#N/A,FALSE,"Admin";"Finance",#N/A,FALSE,"Admin";"Marketing",#N/A,FALSE,"Admin";"NonDepartmental",#N/A,FALSE,"Admin"}</definedName>
    <definedName name="wrn.AEA." localSheetId="25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 localSheetId="20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._.and._.Trend._.Analysis." localSheetId="25">{#N/A,#N/A,FALSE,"Aging Summary";#N/A,#N/A,FALSE,"Ratio Analysis";#N/A,#N/A,FALSE,"Test 120 Day Accts";#N/A,#N/A,FALSE,"Tickmarks"}</definedName>
    <definedName name="wrn.Aging._.and._.Trend._.Analysis." localSheetId="2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N._.MODELS." localSheetId="25">{"QTRINC1",#N/A,FALSE,"QTRINC";"QTRINC2",#N/A,FALSE,"QTRINC";"QTRSALES",#N/A,FALSE,"QTRSALES";"ANNSALES",#N/A,FALSE,"ANNSALES";"CASHFLOW",#N/A,FALSE,"CASHFLOW"}</definedName>
    <definedName name="wrn.AGN._.MODELS." localSheetId="20">{"QTRINC1",#N/A,FALSE,"QTRINC";"QTRINC2",#N/A,FALSE,"QTRINC";"QTRSALES",#N/A,FALSE,"QTRSALES";"ANNSALES",#N/A,FALSE,"ANNSALES";"CASHFLOW",#N/A,FALSE,"CASHFLOW"}</definedName>
    <definedName name="wrn.AGN._.MODELS.">{"QTRINC1",#N/A,FALSE,"QTRINC";"QTRINC2",#N/A,FALSE,"QTRINC";"QTRSALES",#N/A,FALSE,"QTRSALES";"ANNSALES",#N/A,FALSE,"ANNSALES";"CASHFLOW",#N/A,FALSE,"CASHFLOW"}</definedName>
    <definedName name="wrn.AJ._.Renner." localSheetId="25">{#N/A,#N/A,FALSE,"Summ";#N/A,#N/A,FALSE,"Fcst";#N/A,#N/A,FALSE,"BS";"Pro Forma IS",#N/A,FALSE,"Hist IS";"IS History",#N/A,FALSE,"Hist IS";"Payroll",#N/A,FALSE,"Summ"}</definedName>
    <definedName name="wrn.AJ._.Renner." localSheetId="20">{#N/A,#N/A,FALSE,"Summ";#N/A,#N/A,FALSE,"Fcst";#N/A,#N/A,FALSE,"BS";"Pro Forma IS",#N/A,FALSE,"Hist IS";"IS History",#N/A,FALSE,"Hist IS";"Payroll",#N/A,FALSE,"Summ"}</definedName>
    <definedName name="wrn.AJ._.Renner.">{#N/A,#N/A,FALSE,"Summ";#N/A,#N/A,FALSE,"Fcst";#N/A,#N/A,FALSE,"BS";"Pro Forma IS",#N/A,FALSE,"Hist IS";"IS History",#N/A,FALSE,"Hist IS";"Payroll",#N/A,FALSE,"Summ"}</definedName>
    <definedName name="wrn.ALAN." localSheetId="25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20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25">{"P&amp;L",#N/A,TRUE,"HC";"P&amp;L Percents",#N/A,TRUE,"P&amp;L";"M&amp;A3 P&amp;L",#N/A,TRUE,"HC";"M&amp;A3 Pipeline",#N/A,TRUE,"HC";"Franchises",#N/A,TRUE,"HC";"CF&amp;BS",#N/A,TRUE,"HC"}</definedName>
    <definedName name="wrn.All." localSheetId="20">{"P&amp;L",#N/A,TRUE,"HC";"P&amp;L Percents",#N/A,TRUE,"P&amp;L";"M&amp;A3 P&amp;L",#N/A,TRUE,"HC";"M&amp;A3 Pipeline",#N/A,TRUE,"HC";"Franchises",#N/A,TRUE,"HC";"CF&amp;BS",#N/A,TRUE,"HC"}</definedName>
    <definedName name="wrn.All.">{"P&amp;L",#N/A,TRUE,"HC";"P&amp;L Percents",#N/A,TRUE,"P&amp;L";"M&amp;A3 P&amp;L",#N/A,TRUE,"HC";"M&amp;A3 Pipeline",#N/A,TRUE,"HC";"Franchises",#N/A,TRUE,"HC";"CF&amp;BS",#N/A,TRUE,"HC"}</definedName>
    <definedName name="wrn.ALL._.COGS." localSheetId="25">{"SAS-COGS",#N/A,FALSE,"COGS-Inventory";"UVD-COGS",#N/A,FALSE,"COGS-Inventory";"CMS-COGS",#N/A,FALSE,"COGS-Inventory";"POL-COGS",#N/A,FALSE,"COGS-Inventory"}</definedName>
    <definedName name="wrn.ALL._.COGS." localSheetId="20">{"SAS-COGS",#N/A,FALSE,"COGS-Inventory";"UVD-COGS",#N/A,FALSE,"COGS-Inventory";"CMS-COGS",#N/A,FALSE,"COGS-Inventory";"POL-COGS",#N/A,FALSE,"COGS-Inventory"}</definedName>
    <definedName name="wrn.ALL._.COGS.">{"SAS-COGS",#N/A,FALSE,"COGS-Inventory";"UVD-COGS",#N/A,FALSE,"COGS-Inventory";"CMS-COGS",#N/A,FALSE,"COGS-Inventory";"POL-COGS",#N/A,FALSE,"COGS-Inventory"}</definedName>
    <definedName name="wrn.all._.comps.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25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20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localSheetId="25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 localSheetId="20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._.VS._.BUD.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localSheetId="25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 localSheetId="20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NSOL._.STMTS.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TT._.STMTS." localSheetId="25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 localSheetId="20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STMTS.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localSheetId="25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 localSheetId="20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CTT._.VS._.BUDG.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Exhibits." localSheetId="25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" localSheetId="20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localSheetId="25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 localSheetId="20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Exhibits.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our." localSheetId="25">{#N/A,#N/A,FALSE,"Bank";#N/A,#N/A,FALSE,"Insurance";#N/A,#N/A,FALSE,"Thrift";#N/A,#N/A,FALSE,"HMO"}</definedName>
    <definedName name="wrn.All._.Four." localSheetId="20">{#N/A,#N/A,FALSE,"Bank";#N/A,#N/A,FALSE,"Insurance";#N/A,#N/A,FALSE,"Thrift";#N/A,#N/A,FALSE,"HMO"}</definedName>
    <definedName name="wrn.All._.Four.">{#N/A,#N/A,FALSE,"Bank";#N/A,#N/A,FALSE,"Insurance";#N/A,#N/A,FALSE,"Thrift";#N/A,#N/A,FALSE,"HMO"}</definedName>
    <definedName name="wrn.all._.gulp._.sheets." localSheetId="25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20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25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20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localSheetId="25">{#N/A,#N/A,FALSE,"puboff";#N/A,#N/A,FALSE,"financials";#N/A,#N/A,FALSE,"valuation";#N/A,#N/A,FALSE,"split"}</definedName>
    <definedName name="wrn.ALL._.PAGES." localSheetId="20">{#N/A,#N/A,FALSE,"puboff";#N/A,#N/A,FALSE,"financials";#N/A,#N/A,FALSE,"valuation";#N/A,#N/A,FALSE,"split"}</definedName>
    <definedName name="wrn.ALL._.PAGES.">{#N/A,#N/A,FALSE,"puboff";#N/A,#N/A,FALSE,"financials";#N/A,#N/A,FALSE,"valuation";#N/A,#N/A,FALSE,"split"}</definedName>
    <definedName name="wrn.All._.Schedules." localSheetId="25">{#N/A,#N/A,FALSE,"Static Proforma";#N/A,#N/A,FALSE,"Bldg Dev DCF";#N/A,#N/A,FALSE,"Land Sales DCF"}</definedName>
    <definedName name="wrn.All._.Schedules." localSheetId="20">{#N/A,#N/A,FALSE,"Static Proforma";#N/A,#N/A,FALSE,"Bldg Dev DCF";#N/A,#N/A,FALSE,"Land Sales DCF"}</definedName>
    <definedName name="wrn.All._.Schedules.">{#N/A,#N/A,FALSE,"Static Proforma";#N/A,#N/A,FALSE,"Bldg Dev DCF";#N/A,#N/A,FALSE,"Land Sales DCF"}</definedName>
    <definedName name="wrn.all._.sheets." localSheetId="25">{#N/A,#N/A,TRUE,"MAIN FT TERM";#N/A,#N/A,TRUE,"MCI  FT TERM ";#N/A,#N/A,TRUE,"OC12 EQV"}</definedName>
    <definedName name="wrn.all._.sheets." localSheetId="20">{#N/A,#N/A,TRUE,"MAIN FT TERM";#N/A,#N/A,TRUE,"MCI  FT TERM ";#N/A,#N/A,TRUE,"OC12 EQV"}</definedName>
    <definedName name="wrn.all._.sheets.">{#N/A,#N/A,TRUE,"MAIN FT TERM";#N/A,#N/A,TRUE,"MCI  FT TERM ";#N/A,#N/A,TRUE,"OC12 EQV"}</definedName>
    <definedName name="wrn.ALL._.STMTS." localSheetId="25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 localSheetId="20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MTS.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Views." localSheetId="25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 localSheetId="20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LLC._.STMTS." localSheetId="25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 localSheetId="20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STMTS.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localSheetId="25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 localSheetId="20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LLC._.VS._.BUDG.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localSheetId="25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20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_charts." localSheetId="25">{"chart_ar_stats",#N/A,FALSE,"AR Chart1";"chart_percent_AR_past_due",#N/A,FALSE,"AR Chart2";"chart_ap_trends_only",#N/A,FALSE,"AP Chart"}</definedName>
    <definedName name="wrn.All_charts." localSheetId="20">{"chart_ar_stats",#N/A,FALSE,"AR Chart1";"chart_percent_AR_past_due",#N/A,FALSE,"AR Chart2";"chart_ap_trends_only",#N/A,FALSE,"AP Chart"}</definedName>
    <definedName name="wrn.All_charts.">{"chart_ar_stats",#N/A,FALSE,"AR Chart1";"chart_percent_AR_past_due",#N/A,FALSE,"AR Chart2";"chart_ap_trends_only",#N/A,FALSE,"AP Chart"}</definedName>
    <definedName name="wrn.All_Models." localSheetId="25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20">{#N/A,#N/A,FALSE,"Summary";#N/A,#N/A,FALSE,"Projections";#N/A,#N/A,FALSE,"Mkt Mults";#N/A,#N/A,FALSE,"DCF";#N/A,#N/A,FALSE,"Accr Dil";#N/A,#N/A,FALSE,"PIC LBO";#N/A,#N/A,FALSE,"MULT10_4";#N/A,#N/A,FALSE,"CBI LBO"}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25">{#N/A,#N/A,FALSE,"Projections";#N/A,#N/A,FALSE,"Multiples Valuation";#N/A,#N/A,FALSE,"LBO";#N/A,#N/A,FALSE,"Multiples_Sensitivity";#N/A,#N/A,FALSE,"Summary"}</definedName>
    <definedName name="wrn.All_Models2" localSheetId="20">{#N/A,#N/A,FALSE,"Projections";#N/A,#N/A,FALSE,"Multiples Valuation";#N/A,#N/A,FALSE,"LBO";#N/A,#N/A,FALSE,"Multiples_Sensitivity";#N/A,#N/A,FALSE,"Summary"}</definedName>
    <definedName name="wrn.All_Models2">{#N/A,#N/A,FALSE,"Projections";#N/A,#N/A,FALSE,"Multiples Valuation";#N/A,#N/A,FALSE,"LBO";#N/A,#N/A,FALSE,"Multiples_Sensitivity";#N/A,#N/A,FALSE,"Summary"}</definedName>
    <definedName name="wrn.All_Sheets.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25">{"P&amp;L",#N/A,TRUE,"HC";"P&amp;L Percents",#N/A,TRUE,"P&amp;L";"M&amp;A3 P&amp;L",#N/A,TRUE,"HC";"M&amp;A3 Pipeline",#N/A,TRUE,"HC";"Franchises",#N/A,TRUE,"HC";"CF&amp;BS",#N/A,TRUE,"HC"}</definedName>
    <definedName name="wrn.all1" localSheetId="20">{"P&amp;L",#N/A,TRUE,"HC";"P&amp;L Percents",#N/A,TRUE,"P&amp;L";"M&amp;A3 P&amp;L",#N/A,TRUE,"HC";"M&amp;A3 Pipeline",#N/A,TRUE,"HC";"Franchises",#N/A,TRUE,"HC";"CF&amp;BS",#N/A,TRUE,"HC"}</definedName>
    <definedName name="wrn.all1">{"P&amp;L",#N/A,TRUE,"HC";"P&amp;L Percents",#N/A,TRUE,"P&amp;L";"M&amp;A3 P&amp;L",#N/A,TRUE,"HC";"M&amp;A3 Pipeline",#N/A,TRUE,"HC";"Franchises",#N/A,TRUE,"HC";"CF&amp;BS",#N/A,TRUE,"HC"}</definedName>
    <definedName name="wrn.ALL4" localSheetId="25">{#N/A,#N/A,FALSE,"ASSUMPTIONS";#N/A,#N/A,FALSE,"Valuation Summary";"page1",#N/A,FALSE,"PRESENTATION";"page2",#N/A,FALSE,"PRESENTATION";#N/A,#N/A,FALSE,"ORIGINAL_ROLLBACK"}</definedName>
    <definedName name="wrn.ALL4" localSheetId="20">{#N/A,#N/A,FALSE,"ASSUMPTIONS";#N/A,#N/A,FALSE,"Valuation Summary";"page1",#N/A,FALSE,"PRESENTATION";"page2",#N/A,FALSE,"PRESENTATION";#N/A,#N/A,FALSE,"ORIGINAL_ROLLBACK"}</definedName>
    <definedName name="wrn.ALL4">{#N/A,#N/A,FALSE,"ASSUMPTIONS";#N/A,#N/A,FALSE,"Valuation Summary";"page1",#N/A,FALSE,"PRESENTATION";"page2",#N/A,FALSE,"PRESENTATION";#N/A,#N/A,FALSE,"ORIGINAL_ROLLBACK"}</definedName>
    <definedName name="wrn.ALL5" localSheetId="25">{#N/A,#N/A,FALSE,"ASSUMPTIONS";#N/A,#N/A,FALSE,"Valuation Summary";"page1",#N/A,FALSE,"PRESENTATION";"page2",#N/A,FALSE,"PRESENTATION";#N/A,#N/A,FALSE,"ORIGINAL_ROLLBACK"}</definedName>
    <definedName name="wrn.ALL5" localSheetId="20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 localSheetId="25">{#N/A,#N/A,FALSE,"ASSUMPTIONS";#N/A,#N/A,FALSE,"Valuation Summary";"page1",#N/A,FALSE,"PRESENTATION";"page2",#N/A,FALSE,"PRESENTATION";#N/A,#N/A,FALSE,"ORIGINAL_ROLLBACK"}</definedName>
    <definedName name="wrn.ALL6" localSheetId="20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 localSheetId="25">{#N/A,#N/A,FALSE,"ASSUMPTIONS";#N/A,#N/A,FALSE,"Valuation Summary";"page1",#N/A,FALSE,"PRESENTATION";"page2",#N/A,FALSE,"PRESENTATION";#N/A,#N/A,FALSE,"ORIGINAL_ROLLBACK"}</definedName>
    <definedName name="wrn.ALL8" localSheetId="20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butPREMIUM.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localSheetId="25">{#N/A,#N/A,FALSE,"Balance Sheet";#N/A,#N/A,FALSE,"Income Statement";#N/A,#N/A,FALSE,"Changes in Financial Position"}</definedName>
    <definedName name="wrn.AllDataPages." localSheetId="20">{#N/A,#N/A,FALSE,"Balance Sheet";#N/A,#N/A,FALSE,"Income Statement";#N/A,#N/A,FALSE,"Changes in Financial Position"}</definedName>
    <definedName name="wrn.AllDataPages.">{#N/A,#N/A,FALSE,"Balance Sheet";#N/A,#N/A,FALSE,"Income Statement";#N/A,#N/A,FALSE,"Changes in Financial Position"}</definedName>
    <definedName name="wrn.AllModels." localSheetId="25">{#N/A,#N/A,FALSE,"AD_Purchase";#N/A,#N/A,FALSE,"Credit";#N/A,#N/A,FALSE,"PF Acquisition";#N/A,#N/A,FALSE,"PF Offering"}</definedName>
    <definedName name="wrn.AllModels." localSheetId="20">{#N/A,#N/A,FALSE,"AD_Purchase";#N/A,#N/A,FALSE,"Credit";#N/A,#N/A,FALSE,"PF Acquisition";#N/A,#N/A,FALSE,"PF Offering"}</definedName>
    <definedName name="wrn.AllModels.">{#N/A,#N/A,FALSE,"AD_Purchase";#N/A,#N/A,FALSE,"Credit";#N/A,#N/A,FALSE,"PF Acquisition";#N/A,#N/A,FALSE,"PF Offering"}</definedName>
    <definedName name="wrn.Analytic." localSheetId="25">{#N/A,#N/A,FALSE,"Fisons_Sci_Instr";#N/A,#N/A,FALSE,"Fisons_Lab_Supplies";#N/A,#N/A,FALSE,"Nunc";#N/A,#N/A,FALSE,"Sorvall";#N/A,#N/A,FALSE,"Dynatech";#N/A,#N/A,FALSE,"Hach"}</definedName>
    <definedName name="wrn.Analytic." localSheetId="20">{#N/A,#N/A,FALSE,"Fisons_Sci_Instr";#N/A,#N/A,FALSE,"Fisons_Lab_Supplies";#N/A,#N/A,FALSE,"Nunc";#N/A,#N/A,FALSE,"Sorvall";#N/A,#N/A,FALSE,"Dynatech";#N/A,#N/A,FALSE,"Hach"}</definedName>
    <definedName name="wrn.Analytic.">{#N/A,#N/A,FALSE,"Fisons_Sci_Instr";#N/A,#N/A,FALSE,"Fisons_Lab_Supplies";#N/A,#N/A,FALSE,"Nunc";#N/A,#N/A,FALSE,"Sorvall";#N/A,#N/A,FALSE,"Dynatech";#N/A,#N/A,FALSE,"Hach"}</definedName>
    <definedName name="wrn.Annual._.Recap." localSheetId="25">{"Annual Recap",#N/A,FALSE,"Annual Recap"}</definedName>
    <definedName name="wrn.Annual._.Recap." localSheetId="20">{"Annual Recap",#N/A,FALSE,"Annual Recap"}</definedName>
    <definedName name="wrn.Annual._.Recap.">{"Annual Recap",#N/A,FALSE,"Annual Recap"}</definedName>
    <definedName name="wrn.AnnualRentRoll." localSheetId="25">{"AnnualRentRoll",#N/A,FALSE,"RentRoll"}</definedName>
    <definedName name="wrn.AnnualRentRoll." localSheetId="20">{"AnnualRentRoll",#N/A,FALSE,"RentRoll"}</definedName>
    <definedName name="wrn.AnnualRentRoll.">{"AnnualRentRoll",#N/A,FALSE,"RentRoll"}</definedName>
    <definedName name="wrn.APRIL." localSheetId="25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20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 localSheetId="25">{"AQUIRORDCF",#N/A,FALSE,"Merger consequences";"Acquirorassns",#N/A,FALSE,"Merger consequences"}</definedName>
    <definedName name="wrn.AQUIROR._.DCF." localSheetId="20">{"AQUIRORDCF",#N/A,FALSE,"Merger consequences";"Acquirorassns",#N/A,FALSE,"Merger consequences"}</definedName>
    <definedName name="wrn.AQUIROR._.DCF.">{"AQUIRORDCF",#N/A,FALSE,"Merger consequences";"Acquirorassns",#N/A,FALSE,"Merger consequences"}</definedName>
    <definedName name="wrn.assumptions." localSheetId="25">{"assumptions1",#N/A,FALSE,"Valuation Analysis";"assumptions2",#N/A,FALSE,"Valuation Analysis"}</definedName>
    <definedName name="wrn.assumptions." localSheetId="20">{"assumptions1",#N/A,FALSE,"Valuation Analysis";"assumptions2",#N/A,FALSE,"Valuation Analysis"}</definedName>
    <definedName name="wrn.assumptions.">{"assumptions1",#N/A,FALSE,"Valuation Analysis";"assumptions2",#N/A,FALSE,"Valuation Analysis"}</definedName>
    <definedName name="wrn.Assumptions._.and._.Results." localSheetId="25">{"CV_1",#N/A,TRUE,"Assumptions and Results"}</definedName>
    <definedName name="wrn.Assumptions._.and._.Results." localSheetId="20">{"CV_1",#N/A,TRUE,"Assumptions and Results"}</definedName>
    <definedName name="wrn.Assumptions._.and._.Results.">{"CV_1",#N/A,TRUE,"Assumptions and Results"}</definedName>
    <definedName name="wrn.AUGUST." localSheetId="25">{"p&amp;lSUM",#N/A,FALSE,"P&amp;L";"DETAIL",#N/A,FALSE,"P&amp;L";"% revenue",#N/A,FALSE,"P&amp;L";"% growth",#N/A,FALSE,"P&amp;L";"summary",#N/A,FALSE,"Summary";"chart",#N/A,FALSE,"Summary"}</definedName>
    <definedName name="wrn.AUGUST." localSheetId="20">{"p&amp;lSUM",#N/A,FALSE,"P&amp;L";"DETAIL",#N/A,FALSE,"P&amp;L";"% revenue",#N/A,FALSE,"P&amp;L";"% growth",#N/A,FALSE,"P&amp;L";"summary",#N/A,FALSE,"Summary";"chart",#N/A,FALSE,"Summary"}</definedName>
    <definedName name="wrn.AUGUST.">{"p&amp;lSUM",#N/A,FALSE,"P&amp;L";"DETAIL",#N/A,FALSE,"P&amp;L";"% revenue",#N/A,FALSE,"P&amp;L";"% growth",#N/A,FALSE,"P&amp;L";"summary",#N/A,FALSE,"Summary";"chart",#N/A,FALSE,"Summary"}</definedName>
    <definedName name="wrn.august1" localSheetId="25">{"p&amp;lSUM",#N/A,FALSE,"P&amp;L";"DETAIL",#N/A,FALSE,"P&amp;L";"% revenue",#N/A,FALSE,"P&amp;L";"% growth",#N/A,FALSE,"P&amp;L";"summary",#N/A,FALSE,"Summary";"chart",#N/A,FALSE,"Summary"}</definedName>
    <definedName name="wrn.august1" localSheetId="20">{"p&amp;lSUM",#N/A,FALSE,"P&amp;L";"DETAIL",#N/A,FALSE,"P&amp;L";"% revenue",#N/A,FALSE,"P&amp;L";"% growth",#N/A,FALSE,"P&amp;L";"summary",#N/A,FALSE,"Summary";"chart",#N/A,FALSE,"Summary"}</definedName>
    <definedName name="wrn.august1">{"p&amp;lSUM",#N/A,FALSE,"P&amp;L";"DETAIL",#N/A,FALSE,"P&amp;L";"% revenue",#N/A,FALSE,"P&amp;L";"% growth",#N/A,FALSE,"P&amp;L";"summary",#N/A,FALSE,"Summary";"chart",#N/A,FALSE,"Summary"}</definedName>
    <definedName name="wrn.Auto._.Comp." localSheetId="25">{#N/A,#N/A,FALSE,"Sheet1"}</definedName>
    <definedName name="wrn.Auto._.Comp." localSheetId="20">{#N/A,#N/A,FALSE,"Sheet1"}</definedName>
    <definedName name="wrn.Auto._.Comp.">{#N/A,#N/A,FALSE,"Sheet1"}</definedName>
    <definedName name="wrn.Auto._.Comp.1" localSheetId="25">{#N/A,#N/A,FALSE,"Sheet1"}</definedName>
    <definedName name="wrn.Auto._.Comp.1" localSheetId="20">{#N/A,#N/A,FALSE,"Sheet1"}</definedName>
    <definedName name="wrn.Auto._.Comp.1">{#N/A,#N/A,FALSE,"Sheet1"}</definedName>
    <definedName name="wrn.Aventis._.Analysis." localSheetId="25">{"P&amp;Lforaventis",#N/A,FALSE,"Franchises";"aventisP&amp;L",#N/A,FALSE,"Franchises";"inflam franchise",#N/A,FALSE,"Franchises"}</definedName>
    <definedName name="wrn.Aventis._.Analysis." localSheetId="20">{"P&amp;Lforaventis",#N/A,FALSE,"Franchises";"aventisP&amp;L",#N/A,FALSE,"Franchises";"inflam franchise",#N/A,FALSE,"Franchises"}</definedName>
    <definedName name="wrn.Aventis._.Analysis.">{"P&amp;Lforaventis",#N/A,FALSE,"Franchises";"aventisP&amp;L",#N/A,FALSE,"Franchises";"inflam franchise",#N/A,FALSE,"Franchises"}</definedName>
    <definedName name="wrn.aventis._.analysis.1" localSheetId="25">{"P&amp;Lforaventis",#N/A,FALSE,"Franchises";"aventisP&amp;L",#N/A,FALSE,"Franchises";"inflam franchise",#N/A,FALSE,"Franchises"}</definedName>
    <definedName name="wrn.aventis._.analysis.1" localSheetId="20">{"P&amp;Lforaventis",#N/A,FALSE,"Franchises";"aventisP&amp;L",#N/A,FALSE,"Franchises";"inflam franchise",#N/A,FALSE,"Franchises"}</definedName>
    <definedName name="wrn.aventis._.analysis.1">{"P&amp;Lforaventis",#N/A,FALSE,"Franchises";"aventisP&amp;L",#N/A,FALSE,"Franchises";"inflam franchise",#N/A,FALSE,"Franchises"}</definedName>
    <definedName name="wrn.away." localSheetId="25">{"away stand alones",#N/A,FALSE,"Target"}</definedName>
    <definedName name="wrn.away." localSheetId="20">{"away stand alones",#N/A,FALSE,"Target"}</definedName>
    <definedName name="wrn.away.">{"away stand alones",#N/A,FALSE,"Target"}</definedName>
    <definedName name="wrn.balance._.sheet." localSheetId="25">{"bs",#N/A,FALSE,"SCF"}</definedName>
    <definedName name="wrn.balance._.sheet." localSheetId="20">{"bs",#N/A,FALSE,"SCF"}</definedName>
    <definedName name="wrn.balance._.sheet.">{"bs",#N/A,FALSE,"SCF"}</definedName>
    <definedName name="wrn.balance._.sheet2." localSheetId="25">{"bs",#N/A,FALSE,"SCF"}</definedName>
    <definedName name="wrn.balance._.sheet2." localSheetId="20">{"bs",#N/A,FALSE,"SCF"}</definedName>
    <definedName name="wrn.balance._.sheet2.">{"bs",#N/A,FALSE,"SCF"}</definedName>
    <definedName name="wrn.balance._.sheet3." localSheetId="25">{"bs",#N/A,FALSE,"SCF"}</definedName>
    <definedName name="wrn.balance._.sheet3." localSheetId="20">{"bs",#N/A,FALSE,"SCF"}</definedName>
    <definedName name="wrn.balance._.sheet3.">{"bs",#N/A,FALSE,"SCF"}</definedName>
    <definedName name="wrn.balance._.sheet4." localSheetId="25">{"bs",#N/A,FALSE,"SCF"}</definedName>
    <definedName name="wrn.balance._.sheet4." localSheetId="20">{"bs",#N/A,FALSE,"SCF"}</definedName>
    <definedName name="wrn.balance._.sheet4.">{"bs",#N/A,FALSE,"SCF"}</definedName>
    <definedName name="wrn.balance._sheet2." localSheetId="25">{"bs",#N/A,FALSE,"SCF"}</definedName>
    <definedName name="wrn.balance._sheet2." localSheetId="20">{"bs",#N/A,FALSE,"SCF"}</definedName>
    <definedName name="wrn.balance._sheet2.">{"bs",#N/A,FALSE,"SCF"}</definedName>
    <definedName name="wrn.Bank._.Report." localSheetId="25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 localSheetId="20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localSheetId="25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 localSheetId="20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Report." localSheetId="25">{#N/A,#N/A,FALSE,"New Depr Sch-150% DB";#N/A,#N/A,FALSE,"Cash Flows RLP";#N/A,#N/A,FALSE,"IRR";#N/A,#N/A,FALSE,"Proforma IS";#N/A,#N/A,FALSE,"Assumptions"}</definedName>
    <definedName name="wrn.Basic._.Report." localSheetId="20">{#N/A,#N/A,FALSE,"New Depr Sch-150% DB";#N/A,#N/A,FALSE,"Cash Flows RLP";#N/A,#N/A,FALSE,"IRR";#N/A,#N/A,FALSE,"Proforma IS";#N/A,#N/A,FALSE,"Assumptions"}</definedName>
    <definedName name="wrn.Basic._.Report.">{#N/A,#N/A,FALSE,"New Depr Sch-150% DB";#N/A,#N/A,FALSE,"Cash Flows RLP";#N/A,#N/A,FALSE,"IRR";#N/A,#N/A,FALSE,"Proforma IS";#N/A,#N/A,FALSE,"Assumptions"}</definedName>
    <definedName name="wrn.basics." localSheetId="25">{#N/A,#N/A,FALSE,"TSUM";#N/A,#N/A,FALSE,"shares";#N/A,#N/A,FALSE,"earnout";#N/A,#N/A,FALSE,"Heaty";#N/A,#N/A,FALSE,"self-tend";#N/A,#N/A,FALSE,"self-sum"}</definedName>
    <definedName name="wrn.basics." localSheetId="20">{#N/A,#N/A,FALSE,"TSUM";#N/A,#N/A,FALSE,"shares";#N/A,#N/A,FALSE,"earnout";#N/A,#N/A,FALSE,"Heaty";#N/A,#N/A,FALSE,"self-tend";#N/A,#N/A,FALSE,"self-sum"}</definedName>
    <definedName name="wrn.basics.">{#N/A,#N/A,FALSE,"TSUM";#N/A,#N/A,FALSE,"shares";#N/A,#N/A,FALSE,"earnout";#N/A,#N/A,FALSE,"Heaty";#N/A,#N/A,FALSE,"self-tend";#N/A,#N/A,FALSE,"self-sum"}</definedName>
    <definedName name="wrn.BBCert." localSheetId="25">{#N/A,#N/A,FALSE,"BBCert";#N/A,#N/A,FALSE,"Ineligible Summ";#N/A,#N/A,FALSE,"Ineligible Detail"}</definedName>
    <definedName name="wrn.BBCert." localSheetId="20">{#N/A,#N/A,FALSE,"BBCert";#N/A,#N/A,FALSE,"Ineligible Summ";#N/A,#N/A,FALSE,"Ineligible Detail"}</definedName>
    <definedName name="wrn.BBCert.">{#N/A,#N/A,FALSE,"BBCert";#N/A,#N/A,FALSE,"Ineligible Summ";#N/A,#N/A,FALSE,"Ineligible Detail"}</definedName>
    <definedName name="wrn.BidCo." localSheetId="25">{#N/A,#N/A,FALSE,"BidCo Assumptions";#N/A,#N/A,FALSE,"Credit Stats";#N/A,#N/A,FALSE,"Bidco Summary";#N/A,#N/A,FALSE,"BIDCO Consolidated"}</definedName>
    <definedName name="wrn.BidCo." localSheetId="20">{#N/A,#N/A,FALSE,"BidCo Assumptions";#N/A,#N/A,FALSE,"Credit Stats";#N/A,#N/A,FALSE,"Bidco Summary";#N/A,#N/A,FALSE,"BIDCO Consolidated"}</definedName>
    <definedName name="wrn.BidCo.">{#N/A,#N/A,FALSE,"BidCo Assumptions";#N/A,#N/A,FALSE,"Credit Stats";#N/A,#N/A,FALSE,"Bidco Summary";#N/A,#N/A,FALSE,"BIDCO Consolidated"}</definedName>
    <definedName name="wrn.brian." localSheetId="25">{#N/A,#N/A,FALSE,"output";#N/A,#N/A,FALSE,"contrib";#N/A,#N/A,FALSE,"profile";#N/A,#N/A,FALSE,"comps"}</definedName>
    <definedName name="wrn.brian." localSheetId="20">{#N/A,#N/A,FALSE,"output";#N/A,#N/A,FALSE,"contrib";#N/A,#N/A,FALSE,"profile";#N/A,#N/A,FALSE,"comps"}</definedName>
    <definedName name="wrn.brian.">{#N/A,#N/A,FALSE,"output";#N/A,#N/A,FALSE,"contrib";#N/A,#N/A,FALSE,"profile";#N/A,#N/A,FALSE,"comps"}</definedName>
    <definedName name="wrn.BS_consol._.bs._.and._.detail." localSheetId="25">{"bs",#N/A,FALSE,"BS-Consol";"bs detail",#N/A,FALSE,"BS-Consol"}</definedName>
    <definedName name="wrn.BS_consol._.bs._.and._.detail." localSheetId="20">{"bs",#N/A,FALSE,"BS-Consol";"bs detail",#N/A,FALSE,"BS-Consol"}</definedName>
    <definedName name="wrn.BS_consol._.bs._.and._.detail.">{"bs",#N/A,FALSE,"BS-Consol";"bs detail",#N/A,FALSE,"BS-Consol"}</definedName>
    <definedName name="wrn.BSAnnualModel." localSheetId="25">{"BSAnnualModel",#N/A,FALSE,"BS"}</definedName>
    <definedName name="wrn.BSAnnualModel." localSheetId="20">{"BSAnnualModel",#N/A,FALSE,"BS"}</definedName>
    <definedName name="wrn.BSAnnualModel.">{"BSAnnualModel",#N/A,FALSE,"BS"}</definedName>
    <definedName name="wrn.bsireslt." localSheetId="25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sireslt." localSheetId="20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sireslt.">{"Title",#N/A,TRUE,"Title";#N/A,#N/A,TRUE,"Distribution";#N/A,#N/A,TRUE,"Index";#N/A,#N/A,TRUE,"Comntry";"PL",#N/A,TRUE,"P&amp;L";"BSIGraphs",#N/A,TRUE,"BSIGraphs";#N/A,#N/A,TRUE,"HQcomntry";"CentrlLocal",#N/A,TRUE,"Centrl+Locl";"Corpdepts",#N/A,TRUE,"Corp depts";"Local",#N/A,TRUE,"Local";"BS",#N/A,TRUE,"BS";"Funds",#N/A,TRUE,"Funds";"BSIKPI",#N/A,TRUE,"BSI KPI";"Staff",#N/A,TRUE,"Staff"}</definedName>
    <definedName name="wrn.Budget." localSheetId="25">{#N/A,#N/A,FALSE,"QSum";#N/A,#N/A,FALSE,"1Q";#N/A,#N/A,FALSE,"2Q";#N/A,#N/A,FALSE,"3Q";#N/A,#N/A,FALSE,"4Q";#N/A,#N/A,FALSE,"Mthly";#N/A,#N/A,FALSE,"Cur.vs.Prior"}</definedName>
    <definedName name="wrn.Budget." localSheetId="20">{#N/A,#N/A,FALSE,"QSum";#N/A,#N/A,FALSE,"1Q";#N/A,#N/A,FALSE,"2Q";#N/A,#N/A,FALSE,"3Q";#N/A,#N/A,FALSE,"4Q";#N/A,#N/A,FALSE,"Mthly";#N/A,#N/A,FALSE,"Cur.vs.Prior"}</definedName>
    <definedName name="wrn.Budget.">{#N/A,#N/A,FALSE,"QSum";#N/A,#N/A,FALSE,"1Q";#N/A,#N/A,FALSE,"2Q";#N/A,#N/A,FALSE,"3Q";#N/A,#N/A,FALSE,"4Q";#N/A,#N/A,FALSE,"Mthly";#N/A,#N/A,FALSE,"Cur.vs.Prior"}</definedName>
    <definedName name="wrn.Budget._.Detail." localSheetId="25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 localSheetId="20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ildups." localSheetId="25">{"ACQ",#N/A,FALSE,"ACQUISITIONS";"ACQF",#N/A,FALSE,"ACQUISITIONS";"PF",#N/A,FALSE,"PROYECTOVILA";"PV",#N/A,FALSE,"PROYECTOVILA";"Fee Dev",#N/A,FALSE,"DEVELOPMENT GROWTH";"gd",#N/A,FALSE,"DEVELOPMENT GROWTH"}</definedName>
    <definedName name="wrn.Buildups." localSheetId="20">{"ACQ",#N/A,FALSE,"ACQUISITIONS";"ACQF",#N/A,FALSE,"ACQUISITIONS";"PF",#N/A,FALSE,"PROYECTOVILA";"PV",#N/A,FALSE,"PROYECTOVILA";"Fee Dev",#N/A,FALSE,"DEVELOPMENT GROWTH";"gd",#N/A,FALSE,"DEVELOPMENT GROWTH"}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llshit1." localSheetId="25">{#N/A,#N/A,FALSE,"Sheet1";#N/A,#N/A,FALSE,"Summary";#N/A,#N/A,FALSE,"proj1";#N/A,#N/A,FALSE,"proj2"}</definedName>
    <definedName name="wrn.bullshit1." localSheetId="20">{#N/A,#N/A,FALSE,"Sheet1";#N/A,#N/A,FALSE,"Summary";#N/A,#N/A,FALSE,"proj1";#N/A,#N/A,FALSE,"proj2"}</definedName>
    <definedName name="wrn.bullshit1.">{#N/A,#N/A,FALSE,"Sheet1";#N/A,#N/A,FALSE,"Summary";#N/A,#N/A,FALSE,"proj1";#N/A,#N/A,FALSE,"proj2"}</definedName>
    <definedName name="wrn.c" localSheetId="25">{"p&amp;lSUM",#N/A,FALSE,"P&amp;L";"DETAIL",#N/A,FALSE,"P&amp;L";"% revenue",#N/A,FALSE,"P&amp;L";"% growth",#N/A,FALSE,"P&amp;L";"summary",#N/A,FALSE,"Summary";"chart",#N/A,FALSE,"Summary"}</definedName>
    <definedName name="wrn.c" localSheetId="20">{"p&amp;lSUM",#N/A,FALSE,"P&amp;L";"DETAIL",#N/A,FALSE,"P&amp;L";"% revenue",#N/A,FALSE,"P&amp;L";"% growth",#N/A,FALSE,"P&amp;L";"summary",#N/A,FALSE,"Summary";"chart",#N/A,FALSE,"Summary"}</definedName>
    <definedName name="wrn.c">{"p&amp;lSUM",#N/A,FALSE,"P&amp;L";"DETAIL",#N/A,FALSE,"P&amp;L";"% revenue",#N/A,FALSE,"P&amp;L";"% growth",#N/A,FALSE,"P&amp;L";"summary",#N/A,FALSE,"Summary";"chart",#N/A,FALSE,"Summary"}</definedName>
    <definedName name="wrn.C_D_E_O_workpapers." localSheetId="25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" localSheetId="20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PITAL._.LEASES." localSheetId="25">{#N/A,#N/A,FALSE,"NN-1 Capital Leases"}</definedName>
    <definedName name="wrn.CAPITAL._.LEASES." localSheetId="20">{#N/A,#N/A,FALSE,"NN-1 Capital Leases"}</definedName>
    <definedName name="wrn.CAPITAL._.LEASES.">{#N/A,#N/A,FALSE,"NN-1 Capital Leases"}</definedName>
    <definedName name="wrn.CASH." localSheetId="25">{#N/A,#N/A,FALSE,"A-1 Bank Reconcilation";#N/A,#N/A,FALSE,"A-2 Outstanding Checks";#N/A,#N/A,FALSE,"A-3 Savings Accounts";#N/A,#N/A,FALSE,"A-4 Certificates of Deposit";#N/A,#N/A,FALSE,"A-5 Bank Transfer Schedule"}</definedName>
    <definedName name="wrn.CASH." localSheetId="20">{#N/A,#N/A,FALSE,"A-1 Bank Reconcilation";#N/A,#N/A,FALSE,"A-2 Outstanding Checks";#N/A,#N/A,FALSE,"A-3 Savings Accounts";#N/A,#N/A,FALSE,"A-4 Certificates of Deposit";#N/A,#N/A,FALSE,"A-5 Bank Transfer Schedule"}</definedName>
    <definedName name="wrn.CASH.">{#N/A,#N/A,FALSE,"A-1 Bank Reconcilation";#N/A,#N/A,FALSE,"A-2 Outstanding Checks";#N/A,#N/A,FALSE,"A-3 Savings Accounts";#N/A,#N/A,FALSE,"A-4 Certificates of Deposit";#N/A,#N/A,FALSE,"A-5 Bank Transfer Schedule"}</definedName>
    <definedName name="wrn.cash._.flow." localSheetId="25">{"investments",#N/A,FALSE,"CYTD CF Oct";"invest month",#N/A,FALSE,"CYTD CF Oct";"scf",#N/A,FALSE,"CYTD CF Oct";"direct method",#N/A,FALSE,"CYTD CF Oct";"indirect",#N/A,FALSE,"CYTD CF Oct"}</definedName>
    <definedName name="wrn.cash._.flow." localSheetId="20">{"investments",#N/A,FALSE,"CYTD CF Oct";"invest month",#N/A,FALSE,"CYTD CF Oct";"scf",#N/A,FALSE,"CYTD CF Oct";"direct method",#N/A,FALSE,"CYTD CF Oct";"indirect",#N/A,FALSE,"CYTD CF Oct"}</definedName>
    <definedName name="wrn.cash._.flow.">{"investments",#N/A,FALSE,"CYTD CF Oct";"invest month",#N/A,FALSE,"CYTD CF Oct";"scf",#N/A,FALSE,"CYTD CF Oct";"direct method",#N/A,FALSE,"CYTD CF Oct";"indirect",#N/A,FALSE,"CYTD CF Oct"}</definedName>
    <definedName name="wrn.cash._.flow._.nov." localSheetId="25">{"scf",#N/A,TRUE,"CYTD CF Nov";"direct method",#N/A,TRUE,"CYTD CF Nov";"investments",#N/A,TRUE,"CYTD CF Nov";"indirect",#N/A,TRUE,"CYTD CF Nov"}</definedName>
    <definedName name="wrn.cash._.flow._.nov." localSheetId="20">{"scf",#N/A,TRUE,"CYTD CF Nov";"direct method",#N/A,TRUE,"CYTD CF Nov";"investments",#N/A,TRUE,"CYTD CF Nov";"indirect",#N/A,TRUE,"CYTD CF Nov"}</definedName>
    <definedName name="wrn.cash._.flow._.nov.">{"scf",#N/A,TRUE,"CYTD CF Nov";"direct method",#N/A,TRUE,"CYTD CF Nov";"investments",#N/A,TRUE,"CYTD CF Nov";"indirect",#N/A,TRUE,"CYTD CF Nov"}</definedName>
    <definedName name="wrn.cash._.flow._.Oct." localSheetId="25">{"indirect",#N/A,FALSE,"CYTD CF Oct";"direct method",#N/A,FALSE,"CYTD CF Oct";"scf",#N/A,FALSE,"CYTD CF Oct";"investments",#N/A,FALSE,"CYTD CF Oct";"invest month",#N/A,FALSE,"CYTD CF Oct"}</definedName>
    <definedName name="wrn.cash._.flow._.Oct." localSheetId="20">{"indirect",#N/A,FALSE,"CYTD CF Oct";"direct method",#N/A,FALSE,"CYTD CF Oct";"scf",#N/A,FALSE,"CYTD CF Oct";"investments",#N/A,FALSE,"CYTD CF Oct";"invest month",#N/A,FALSE,"CYTD CF Oct"}</definedName>
    <definedName name="wrn.cash._.flow._.Oct.">{"indirect",#N/A,FALSE,"CYTD CF Oct";"direct method",#N/A,FALSE,"CYTD CF Oct";"scf",#N/A,FALSE,"CYTD CF Oct";"investments",#N/A,FALSE,"CYTD CF Oct";"invest month",#N/A,FALSE,"CYTD CF Oct"}</definedName>
    <definedName name="wrn.cash.huh" localSheetId="25">{"investments",#N/A,FALSE,"CYTD CF Oct";"invest month",#N/A,FALSE,"CYTD CF Oct";"scf",#N/A,FALSE,"CYTD CF Oct";"direct method",#N/A,FALSE,"CYTD CF Oct";"indirect",#N/A,FALSE,"CYTD CF Oct"}</definedName>
    <definedName name="wrn.cash.huh" localSheetId="20">{"investments",#N/A,FALSE,"CYTD CF Oct";"invest month",#N/A,FALSE,"CYTD CF Oct";"scf",#N/A,FALSE,"CYTD CF Oct";"direct method",#N/A,FALSE,"CYTD CF Oct";"indirect",#N/A,FALSE,"CYTD CF Oct"}</definedName>
    <definedName name="wrn.cash.huh">{"investments",#N/A,FALSE,"CYTD CF Oct";"invest month",#N/A,FALSE,"CYTD CF Oct";"scf",#N/A,FALSE,"CYTD CF Oct";"direct method",#N/A,FALSE,"CYTD CF Oct";"indirect",#N/A,FALSE,"CYTD CF Oct"}</definedName>
    <definedName name="wrn.CashFlow." localSheetId="25">{"CashFlow",#N/A,FALSE,"cashflw"}</definedName>
    <definedName name="wrn.CashFlow." localSheetId="20">{"CashFlow",#N/A,FALSE,"cashflw"}</definedName>
    <definedName name="wrn.CashFlow.">{"CashFlow",#N/A,FALSE,"cashflw"}</definedName>
    <definedName name="wrn.cashflow._.Dec." localSheetId="25">{"investments",#N/A,FALSE,"CY Invmt Dec99";"scf",#N/A,FALSE,"CY Invmt Dec99";"direct method",#N/A,FALSE,"CY Invmt Dec99";"indirect",#N/A,FALSE,"CY Invmt Dec99"}</definedName>
    <definedName name="wrn.cashflow._.Dec." localSheetId="20">{"investments",#N/A,FALSE,"CY Invmt Dec99";"scf",#N/A,FALSE,"CY Invmt Dec99";"direct method",#N/A,FALSE,"CY Invmt Dec99";"indirect",#N/A,FALSE,"CY Invmt Dec99"}</definedName>
    <definedName name="wrn.cashflow._.Dec.">{"investments",#N/A,FALSE,"CY Invmt Dec99";"scf",#N/A,FALSE,"CY Invmt Dec99";"direct method",#N/A,FALSE,"CY Invmt Dec99";"indirect",#N/A,FALSE,"CY Invmt Dec99"}</definedName>
    <definedName name="wrn.cashflow._.mar2000." localSheetId="25">{"investments",#N/A,FALSE,"CY CF Mar00";"scf",#N/A,FALSE,"CY CF Mar00";"direct method",#N/A,FALSE,"CY CF Mar00";"indirect",#N/A,FALSE,"CY CF Mar00"}</definedName>
    <definedName name="wrn.cashflow._.mar2000." localSheetId="20">{"investments",#N/A,FALSE,"CY CF Mar00";"scf",#N/A,FALSE,"CY CF Mar00";"direct method",#N/A,FALSE,"CY CF Mar00";"indirect",#N/A,FALSE,"CY CF Mar00"}</definedName>
    <definedName name="wrn.cashflow._.mar2000.">{"investments",#N/A,FALSE,"CY CF Mar00";"scf",#N/A,FALSE,"CY CF Mar00";"direct method",#N/A,FALSE,"CY CF Mar00";"indirect",#N/A,FALSE,"CY CF Mar00"}</definedName>
    <definedName name="wrn.Central." localSheetId="25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entral." localSheetId="20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entral.">{"Total Central",#N/A,FALSE,"Central";"Cincinnati",#N/A,FALSE,"Central";"Cleveland",#N/A,FALSE,"Central";"Columbus",#N/A,FALSE,"Central";"Denver",#N/A,FALSE,"Central";"Indianapolis",#N/A,FALSE,"Central";"Lombard Admin",#N/A,FALSE,"Central";"Lombard Sales",#N/A,FALSE,"Central";"Louisville",#N/A,FALSE,"Central";"Nashville",#N/A,FALSE,"Central";"Novi",#N/A,FALSE,"Central";"Oklahoma City",#N/A,FALSE,"Central";"St Louis",#N/A,FALSE,"Central"}</definedName>
    <definedName name="wrn.CFSModel." localSheetId="25">{"CFSModel",#N/A,FALSE,"CFS"}</definedName>
    <definedName name="wrn.CFSModel." localSheetId="20">{"CFSModel",#N/A,FALSE,"CFS"}</definedName>
    <definedName name="wrn.CFSModel.">{"CFSModel",#N/A,FALSE,"CFS"}</definedName>
    <definedName name="wrn.Charts." localSheetId="25">{"Revenue chart",#N/A,FALSE,"Charts";"ExpenseChart",#N/A,FALSE,"Charts";"Netincomechart",#N/A,FALSE,"Charts"}</definedName>
    <definedName name="wrn.Charts." localSheetId="20">{"Revenue chart",#N/A,FALSE,"Charts";"ExpenseChart",#N/A,FALSE,"Charts";"Netincomechart",#N/A,FALSE,"Charts"}</definedName>
    <definedName name="wrn.Charts.">{"Revenue chart",#N/A,FALSE,"Charts";"ExpenseChart",#N/A,FALSE,"Charts";"Netincomechart",#N/A,FALSE,"Charts"}</definedName>
    <definedName name="wrn.Chuckie._.Boyz._.Masterfukinpiece." localSheetId="25">{#N/A,#N/A,FALSE,"Networking";#N/A,#N/A,FALSE,"Net. Graphs";#N/A,#N/A,FALSE,"Services";#N/A,#N/A,FALSE,"Serv. Grpahs"}</definedName>
    <definedName name="wrn.Chuckie._.Boyz._.Masterfukinpiece." localSheetId="20">{#N/A,#N/A,FALSE,"Networking";#N/A,#N/A,FALSE,"Net. Graphs";#N/A,#N/A,FALSE,"Services";#N/A,#N/A,FALSE,"Serv. Grpahs"}</definedName>
    <definedName name="wrn.Chuckie._.Boyz._.Masterfukinpiece.">{#N/A,#N/A,FALSE,"Networking";#N/A,#N/A,FALSE,"Net. Graphs";#N/A,#N/A,FALSE,"Services";#N/A,#N/A,FALSE,"Serv. Grpahs"}</definedName>
    <definedName name="wrn.clientcopy." localSheetId="25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20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bination." localSheetId="25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20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25">{#N/A,#N/A,FALSE,"INPUTS";#N/A,#N/A,FALSE,"PROFORMA BSHEET";#N/A,#N/A,FALSE,"COMBINED";#N/A,#N/A,FALSE,"HIGH YIELD";#N/A,#N/A,FALSE,"COMB_GRAPHS"}</definedName>
    <definedName name="wrn.COMBINED." localSheetId="20">{#N/A,#N/A,FALSE,"INPUTS";#N/A,#N/A,FALSE,"PROFORMA BSHEET";#N/A,#N/A,FALSE,"COMBINED";#N/A,#N/A,FALSE,"HIGH YIELD";#N/A,#N/A,FALSE,"COMB_GRAPHS"}</definedName>
    <definedName name="wrn.COMBINED.">{#N/A,#N/A,FALSE,"INPUTS";#N/A,#N/A,FALSE,"PROFORMA BSHEET";#N/A,#N/A,FALSE,"COMBINED";#N/A,#N/A,FALSE,"HIGH YIELD";#N/A,#N/A,FALSE,"COMB_GRAPHS"}</definedName>
    <definedName name="wrn.ComboResults." localSheetId="25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20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25">{#N/A,#N/A,FALSE,"Combo-Ass ";#N/A,#N/A,FALSE,"Combo-IS";#N/A,#N/A,FALSE,"Combo-BS";#N/A,#N/A,FALSE,"Combo-CF"}</definedName>
    <definedName name="wrn.ComboState." localSheetId="20">{#N/A,#N/A,FALSE,"Combo-Ass ";#N/A,#N/A,FALSE,"Combo-IS";#N/A,#N/A,FALSE,"Combo-BS";#N/A,#N/A,FALSE,"Combo-CF"}</definedName>
    <definedName name="wrn.ComboState.">{#N/A,#N/A,FALSE,"Combo-Ass ";#N/A,#N/A,FALSE,"Combo-IS";#N/A,#N/A,FALSE,"Combo-BS";#N/A,#N/A,FALSE,"Combo-CF"}</definedName>
    <definedName name="wrn.compco." localSheetId="25">{"mult96",#N/A,FALSE,"PETCOMP";"est96",#N/A,FALSE,"PETCOMP";"mult95",#N/A,FALSE,"PETCOMP";"est95",#N/A,FALSE,"PETCOMP";"multltm",#N/A,FALSE,"PETCOMP";"resultltm",#N/A,FALSE,"PETCOMP"}</definedName>
    <definedName name="wrn.compco." localSheetId="20">{"mult96",#N/A,FALSE,"PETCOMP";"est96",#N/A,FALSE,"PETCOMP";"mult95",#N/A,FALSE,"PETCOMP";"est95",#N/A,FALSE,"PETCOMP";"multltm",#N/A,FALSE,"PETCOMP";"resultltm",#N/A,FALSE,"PETCOMP"}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lete." localSheetId="25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2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localSheetId="25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localSheetId="20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localSheetId="25">{#N/A,#N/A,FALSE,"Assumptions";#N/A,#N/A,FALSE,"Proforma IS";#N/A,#N/A,FALSE,"Cash Flows RLP";#N/A,#N/A,FALSE,"IRR";#N/A,#N/A,FALSE,"New Depr Sch-150% DB";#N/A,#N/A,FALSE,"Comments"}</definedName>
    <definedName name="wrn.Complete._.Report." localSheetId="20">{#N/A,#N/A,FALSE,"Assumptions";#N/A,#N/A,FALSE,"Proforma IS";#N/A,#N/A,FALSE,"Cash Flows RLP";#N/A,#N/A,FALSE,"IRR";#N/A,#N/A,FALSE,"New Depr Sch-150% DB";#N/A,#N/A,FALSE,"Comments"}</definedName>
    <definedName name="wrn.Complete._.Report.">{#N/A,#N/A,FALSE,"Assumptions";#N/A,#N/A,FALSE,"Proforma IS";#N/A,#N/A,FALSE,"Cash Flows RLP";#N/A,#N/A,FALSE,"IRR";#N/A,#N/A,FALSE,"New Depr Sch-150% DB";#N/A,#N/A,FALSE,"Comments"}</definedName>
    <definedName name="wrn.Complete.2" localSheetId="25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2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5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0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localSheetId="25">{"comps",#N/A,FALSE,"comps";"notes",#N/A,FALSE,"comps"}</definedName>
    <definedName name="wrn.comps." localSheetId="20">{"comps",#N/A,FALSE,"comps";"notes",#N/A,FALSE,"comps"}</definedName>
    <definedName name="wrn.comps.">{"comps",#N/A,FALSE,"comps";"notes",#N/A,FALSE,"comps"}</definedName>
    <definedName name="wrn.Consol._.FS." localSheetId="25">{#N/A,#N/A,FALSE,"BalSheet 0899";#N/A,#N/A,FALSE,"ytdpl899";#N/A,#N/A,FALSE,"Aug PL";#N/A,#N/A,FALSE,"Minority Int";#N/A,#N/A,FALSE,"Equity Roll Forward";#N/A,#N/A,FALSE,"Book Equity Test"}</definedName>
    <definedName name="wrn.Consol._.FS." localSheetId="20">{#N/A,#N/A,FALSE,"BalSheet 0899";#N/A,#N/A,FALSE,"ytdpl899";#N/A,#N/A,FALSE,"Aug PL";#N/A,#N/A,FALSE,"Minority Int";#N/A,#N/A,FALSE,"Equity Roll Forward";#N/A,#N/A,FALSE,"Book Equity Test"}</definedName>
    <definedName name="wrn.Consol._.FS.">{#N/A,#N/A,FALSE,"BalSheet 0899";#N/A,#N/A,FALSE,"ytdpl899";#N/A,#N/A,FALSE,"Aug PL";#N/A,#N/A,FALSE,"Minority Int";#N/A,#N/A,FALSE,"Equity Roll Forward";#N/A,#N/A,FALSE,"Book Equity Test"}</definedName>
    <definedName name="wrn.Consolidating." localSheetId="25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 localSheetId="20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ng.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TRACT._.WIP._.1997." localSheetId="25">{#N/A,#N/A,FALSE,"A"}</definedName>
    <definedName name="wrn.CONTRACT._.WIP._.1997." localSheetId="20">{#N/A,#N/A,FALSE,"A"}</definedName>
    <definedName name="wrn.CONTRACT._.WIP._.1997.">{#N/A,#N/A,FALSE,"A"}</definedName>
    <definedName name="wrn.contributory._.asset._.charges." localSheetId="25">{"contributory1",#N/A,FALSE,"Contributory Assets Detail";"contributory2",#N/A,FALSE,"Contributory Assets Detail"}</definedName>
    <definedName name="wrn.contributory._.asset._.charges." localSheetId="20">{"contributory1",#N/A,FALSE,"Contributory Assets Detail";"contributory2",#N/A,FALSE,"Contributory Assets Detail"}</definedName>
    <definedName name="wrn.contributory._.asset._.charges.">{"contributory1",#N/A,FALSE,"Contributory Assets Detail";"contributory2",#N/A,FALSE,"Contributory Assets Detail"}</definedName>
    <definedName name="wrn.cooper." localSheetId="25">{#N/A,#N/A,TRUE,"Pro Forma";#N/A,#N/A,TRUE,"PF_Bal";#N/A,#N/A,TRUE,"PF_INC";#N/A,#N/A,TRUE,"CBE";#N/A,#N/A,TRUE,"SWK"}</definedName>
    <definedName name="wrn.cooper." localSheetId="20">{#N/A,#N/A,TRUE,"Pro Forma";#N/A,#N/A,TRUE,"PF_Bal";#N/A,#N/A,TRUE,"PF_INC";#N/A,#N/A,TRUE,"CBE";#N/A,#N/A,TRUE,"SWK"}</definedName>
    <definedName name="wrn.cooper.">{#N/A,#N/A,TRUE,"Pro Forma";#N/A,#N/A,TRUE,"PF_Bal";#N/A,#N/A,TRUE,"PF_INC";#N/A,#N/A,TRUE,"CBE";#N/A,#N/A,TRUE,"SWK"}</definedName>
    <definedName name="wrn.Costs." localSheetId="25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sts." localSheetId="20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sts.">{#N/A,#N/A,FALSE,"Consolidated costs";#N/A,#N/A,FALSE,"Cost analysis - Standards ";#N/A,#N/A,FALSE,"Cost analysis - GQS";#N/A,#N/A,FALSE,"Cost analysis-Product Services";#N/A,#N/A,FALSE,"Cost analysis - Inspectorate";#N/A,#N/A,FALSE,"Cost analysis - Centre "}</definedName>
    <definedName name="wrn.cotop." localSheetId="25">{"ReportTop",#N/A,FALSE,"report top"}</definedName>
    <definedName name="wrn.cotop." localSheetId="20">{"ReportTop",#N/A,FALSE,"report top"}</definedName>
    <definedName name="wrn.cotop.">{"ReportTop",#N/A,FALSE,"report top"}</definedName>
    <definedName name="wrn.Credit." localSheetId="25">{"Total Credit",#N/A,FALSE,"Credit";"Appraisal",#N/A,FALSE,"Credit";"Customer Service",#N/A,FALSE,"Credit";"Home Office",#N/A,FALSE,"Credit";"Quality Control",#N/A,FALSE,"Credit";"Risk Mgmt",#N/A,FALSE,"Credit"}</definedName>
    <definedName name="wrn.Credit." localSheetId="20">{"Total Credit",#N/A,FALSE,"Credit";"Appraisal",#N/A,FALSE,"Credit";"Customer Service",#N/A,FALSE,"Credit";"Home Office",#N/A,FALSE,"Credit";"Quality Control",#N/A,FALSE,"Credit";"Risk Mgmt",#N/A,FALSE,"Credit"}</definedName>
    <definedName name="wrn.Credit.">{"Total Credit",#N/A,FALSE,"Credit";"Appraisal",#N/A,FALSE,"Credit";"Customer Service",#N/A,FALSE,"Credit";"Home Office",#N/A,FALSE,"Credit";"Quality Control",#N/A,FALSE,"Credit";"Risk Mgmt",#N/A,FALSE,"Credit"}</definedName>
    <definedName name="wrn.crom._.4cast." localSheetId="25">{#N/A,#N/A,TRUE,"TOTAL Roll-up";#N/A,#N/A,TRUE,"Launch timing assumptions"}</definedName>
    <definedName name="wrn.crom._.4cast." localSheetId="20">{#N/A,#N/A,TRUE,"TOTAL Roll-up";#N/A,#N/A,TRUE,"Launch timing assumptions"}</definedName>
    <definedName name="wrn.crom._.4cast.">{#N/A,#N/A,TRUE,"TOTAL Roll-up";#N/A,#N/A,TRUE,"Launch timing assumptions"}</definedName>
    <definedName name="wrn.croma._.forecast." localSheetId="25">{#N/A,#N/A,TRUE,"TOTAL Roll-up";#N/A,#N/A,TRUE,"Launch timing assumptions"}</definedName>
    <definedName name="wrn.croma._.forecast." localSheetId="20">{#N/A,#N/A,TRUE,"TOTAL Roll-up";#N/A,#N/A,TRUE,"Launch timing assumptions"}</definedName>
    <definedName name="wrn.croma._.forecast.">{#N/A,#N/A,TRUE,"TOTAL Roll-up";#N/A,#N/A,TRUE,"Launch timing assumptions"}</definedName>
    <definedName name="wrn.Current._.View." localSheetId="25">{#N/A,#N/A,FALSE,"ACCS-XXX.XLS";#N/A,#N/A,FALSE,"ACCS-ADJ.XLS";#N/A,#N/A,FALSE,"ACCS-COR.XLS";#N/A,#N/A,FALSE,"LEGL-ACX.XLS";#N/A,#N/A,FALSE,"JNTV-PHX.XLS"}</definedName>
    <definedName name="wrn.Current._.View." localSheetId="20">{#N/A,#N/A,FALSE,"ACCS-XXX.XLS";#N/A,#N/A,FALSE,"ACCS-ADJ.XLS";#N/A,#N/A,FALSE,"ACCS-COR.XLS";#N/A,#N/A,FALSE,"LEGL-ACX.XLS";#N/A,#N/A,FALSE,"JNTV-PHX.XLS"}</definedName>
    <definedName name="wrn.Current._.View.">{#N/A,#N/A,FALSE,"ACCS-XXX.XLS";#N/A,#N/A,FALSE,"ACCS-ADJ.XLS";#N/A,#N/A,FALSE,"ACCS-COR.XLS";#N/A,#N/A,FALSE,"LEGL-ACX.XLS";#N/A,#N/A,FALSE,"JNTV-PHX.XLS"}</definedName>
    <definedName name="wrn.CUTS." localSheetId="25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 localSheetId="20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CF." localSheetId="25">{"DCF1",#N/A,FALSE,"SIERRA DCF";"MATRIX1",#N/A,FALSE,"SIERRA DCF"}</definedName>
    <definedName name="wrn.DCF." localSheetId="20">{"DCF1",#N/A,FALSE,"SIERRA DCF";"MATRIX1",#N/A,FALSE,"SIERRA DCF"}</definedName>
    <definedName name="wrn.DCF.">{"DCF1",#N/A,FALSE,"SIERRA DCF";"MATRIX1",#N/A,FALSE,"SIERRA DCF"}</definedName>
    <definedName name="wrn.dcf._.backup." localSheetId="25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" localSheetId="20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Valuation." localSheetId="25">{"value box",#N/A,TRUE,"DPL Inc. Fin Statements";"unlevered free cash flows",#N/A,TRUE,"DPL Inc. Fin Statements"}</definedName>
    <definedName name="wrn.DCF._.Valuation." localSheetId="20">{"value box",#N/A,TRUE,"DPL Inc. Fin Statements";"unlevered free cash flows",#N/A,TRUE,"DPL Inc. Fin Statements"}</definedName>
    <definedName name="wrn.DCF._.Valuation.">{"value box",#N/A,TRUE,"DPL Inc. Fin Statements";"unlevered free cash flows",#N/A,TRUE,"DPL Inc. Fin Statements"}</definedName>
    <definedName name="wrn.DCF_Terminal_Value_qchm." localSheetId="25">{"qchm_dcf",#N/A,FALSE,"QCHMDCF2";"qchm_terminal",#N/A,FALSE,"QCHMDCF2"}</definedName>
    <definedName name="wrn.DCF_Terminal_Value_qchm." localSheetId="20">{"qchm_dcf",#N/A,FALSE,"QCHMDCF2";"qchm_terminal",#N/A,FALSE,"QCHMDCF2"}</definedName>
    <definedName name="wrn.DCF_Terminal_Value_qchm.">{"qchm_dcf",#N/A,FALSE,"QCHMDCF2";"qchm_terminal",#N/A,FALSE,"QCHMDCF2"}</definedName>
    <definedName name="wrn.DCFEpervier." localSheetId="25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0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 localSheetId="25">{"BSDEB",#N/A,FALSE,"Jun 98";"ISDEB",#N/A,FALSE,"Jun 98";"CFDEB",#N/A,FALSE,"Jun 98";"WP1DEB",#N/A,FALSE,"Jun 98";"WP2DEB",#N/A,FALSE,"Jun 98";"WP3EB",#N/A,FALSE,"Jun 98";"EQUITYDEB",#N/A,FALSE,"Jun 98"}</definedName>
    <definedName name="wrn.DEB." localSheetId="20">{"BSDEB",#N/A,FALSE,"Jun 98";"ISDEB",#N/A,FALSE,"Jun 98";"CFDEB",#N/A,FALSE,"Jun 98";"WP1DEB",#N/A,FALSE,"Jun 98";"WP2DEB",#N/A,FALSE,"Jun 98";"WP3EB",#N/A,FALSE,"Jun 98";"EQUITYDEB",#N/A,FALSE,"Jun 98"}</definedName>
    <definedName name="wrn.DEB.">{"BSDEB",#N/A,FALSE,"Jun 98";"ISDEB",#N/A,FALSE,"Jun 98";"CFDEB",#N/A,FALSE,"Jun 98";"WP1DEB",#N/A,FALSE,"Jun 98";"WP2DEB",#N/A,FALSE,"Jun 98";"WP3EB",#N/A,FALSE,"Jun 98";"EQUITYDEB",#N/A,FALSE,"Jun 98"}</definedName>
    <definedName name="wrn.Debt._.Schedules." localSheetId="25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._.Schedules." localSheetId="20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._.Schedules.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lchamps." localSheetId="2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20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_All." localSheetId="25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All." localSheetId="20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All.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vdeal." localSheetId="25">{"top",#N/A,TRUE,"Detail";"next",#N/A,TRUE,"Detail";"then",#N/A,TRUE,"Detail";"and",#N/A,TRUE,"Detail";"inaddition",#N/A,TRUE,"Detail";"finally",#N/A,TRUE,"Detail"}</definedName>
    <definedName name="wrn.devdeal." localSheetId="20">{"top",#N/A,TRUE,"Detail";"next",#N/A,TRUE,"Detail";"then",#N/A,TRUE,"Detail";"and",#N/A,TRUE,"Detail";"inaddition",#N/A,TRUE,"Detail";"finally",#N/A,TRUE,"Detail"}</definedName>
    <definedName name="wrn.devdeal.">{"top",#N/A,TRUE,"Detail";"next",#N/A,TRUE,"Detail";"then",#N/A,TRUE,"Detail";"and",#N/A,TRUE,"Detail";"inaddition",#N/A,TRUE,"Detail";"finally",#N/A,TRUE,"Detail"}</definedName>
    <definedName name="wrn.Development._.Hours." localSheetId="25">{#N/A,#N/A,FALSE,"July 95";#N/A,#N/A,FALSE,"Aug 95";#N/A,#N/A,FALSE,"Sep 95";#N/A,#N/A,FALSE,"October 95"}</definedName>
    <definedName name="wrn.Development._.Hours." localSheetId="20">{#N/A,#N/A,FALSE,"July 95";#N/A,#N/A,FALSE,"Aug 95";#N/A,#N/A,FALSE,"Sep 95";#N/A,#N/A,FALSE,"October 95"}</definedName>
    <definedName name="wrn.Development._.Hours.">{#N/A,#N/A,FALSE,"July 95";#N/A,#N/A,FALSE,"Aug 95";#N/A,#N/A,FALSE,"Sep 95";#N/A,#N/A,FALSE,"October 95"}</definedName>
    <definedName name="wrn.dil_anal." localSheetId="25">{"hiden",#N/A,FALSE,"14";"hidden",#N/A,FALSE,"16";"hidden",#N/A,FALSE,"18";"hidden",#N/A,FALSE,"20"}</definedName>
    <definedName name="wrn.dil_anal." localSheetId="20">{"hiden",#N/A,FALSE,"14";"hidden",#N/A,FALSE,"16";"hidden",#N/A,FALSE,"18";"hidden",#N/A,FALSE,"20"}</definedName>
    <definedName name="wrn.dil_anal.">{"hiden",#N/A,FALSE,"14";"hidden",#N/A,FALSE,"16";"hidden",#N/A,FALSE,"18";"hidden",#N/A,FALSE,"20"}</definedName>
    <definedName name="wrn.dil_anal.1" localSheetId="25">{"hiden",#N/A,FALSE,"14";"hidden",#N/A,FALSE,"16";"hidden",#N/A,FALSE,"18";"hidden",#N/A,FALSE,"20"}</definedName>
    <definedName name="wrn.dil_anal.1" localSheetId="20">{"hiden",#N/A,FALSE,"14";"hidden",#N/A,FALSE,"16";"hidden",#N/A,FALSE,"18";"hidden",#N/A,FALSE,"20"}</definedName>
    <definedName name="wrn.dil_anal.1">{"hiden",#N/A,FALSE,"14";"hidden",#N/A,FALSE,"16";"hidden",#N/A,FALSE,"18";"hidden",#N/A,FALSE,"20"}</definedName>
    <definedName name="wrn.dir." localSheetId="25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20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ocument." localSheetId="25">{"consolidated",#N/A,FALSE,"Sheet1";"cms",#N/A,FALSE,"Sheet1";"fse",#N/A,FALSE,"Sheet1"}</definedName>
    <definedName name="wrn.document." localSheetId="20">{"consolidated",#N/A,FALSE,"Sheet1";"cms",#N/A,FALSE,"Sheet1";"fse",#N/A,FALSE,"Sheet1"}</definedName>
    <definedName name="wrn.document.">{"consolidated",#N/A,FALSE,"Sheet1";"cms",#N/A,FALSE,"Sheet1";"fse",#N/A,FALSE,"Sheet1"}</definedName>
    <definedName name="wrn.document.1" localSheetId="25">{"comp",#N/A,FALSE,"SPEC";"footnotes",#N/A,FALSE,"SPEC"}</definedName>
    <definedName name="wrn.document.1" localSheetId="20">{"comp",#N/A,FALSE,"SPEC";"footnotes",#N/A,FALSE,"SPEC"}</definedName>
    <definedName name="wrn.document.1">{"comp",#N/A,FALSE,"SPEC";"footnotes",#N/A,FALSE,"SPEC"}</definedName>
    <definedName name="wrn.documentaero." localSheetId="25">{"comps2",#N/A,FALSE,"AERO";"footnotes",#N/A,FALSE,"AERO"}</definedName>
    <definedName name="wrn.documentaero." localSheetId="20">{"comps2",#N/A,FALSE,"AERO";"footnotes",#N/A,FALSE,"AERO"}</definedName>
    <definedName name="wrn.documentaero.">{"comps2",#N/A,FALSE,"AERO";"footnotes",#N/A,FALSE,"AERO"}</definedName>
    <definedName name="wrn.documentaero.1" localSheetId="25">{"comps2",#N/A,FALSE,"AERO";"footnotes",#N/A,FALSE,"AERO"}</definedName>
    <definedName name="wrn.documentaero.1" localSheetId="20">{"comps2",#N/A,FALSE,"AERO";"footnotes",#N/A,FALSE,"AERO"}</definedName>
    <definedName name="wrn.documentaero.1">{"comps2",#N/A,FALSE,"AERO";"footnotes",#N/A,FALSE,"AERO"}</definedName>
    <definedName name="wrn.documentation." localSheetId="25">{"documentation1",#N/A,FALSE,"Documentation";"documentation2",#N/A,FALSE,"Documentation"}</definedName>
    <definedName name="wrn.documentation." localSheetId="20">{"documentation1",#N/A,FALSE,"Documentation";"documentation2",#N/A,FALSE,"Documentation"}</definedName>
    <definedName name="wrn.documentation.">{"documentation1",#N/A,FALSE,"Documentation";"documentation2",#N/A,FALSE,"Documentation"}</definedName>
    <definedName name="wrn.documenthand." localSheetId="25">{"comps",#N/A,FALSE,"HANDPACK";"footnotes",#N/A,FALSE,"HANDPACK"}</definedName>
    <definedName name="wrn.documenthand." localSheetId="20">{"comps",#N/A,FALSE,"HANDPACK";"footnotes",#N/A,FALSE,"HANDPACK"}</definedName>
    <definedName name="wrn.documenthand.">{"comps",#N/A,FALSE,"HANDPACK";"footnotes",#N/A,FALSE,"HANDPACK"}</definedName>
    <definedName name="wrn.documenthand.1" localSheetId="25">{"comps",#N/A,FALSE,"HANDPACK";"footnotes",#N/A,FALSE,"HANDPACK"}</definedName>
    <definedName name="wrn.documenthand.1" localSheetId="20">{"comps",#N/A,FALSE,"HANDPACK";"footnotes",#N/A,FALSE,"HANDPACK"}</definedName>
    <definedName name="wrn.documenthand.1">{"comps",#N/A,FALSE,"HANDPACK";"footnotes",#N/A,FALSE,"HANDPACK"}</definedName>
    <definedName name="wrn.DPI._.Summary." localSheetId="25">{#N/A,#N/A,TRUE,"Summary";#N/A,#N/A,TRUE,"Financials"}</definedName>
    <definedName name="wrn.DPI._.Summary." localSheetId="20">{#N/A,#N/A,TRUE,"Summary";#N/A,#N/A,TRUE,"Financials"}</definedName>
    <definedName name="wrn.DPI._.Summary.">{#N/A,#N/A,TRUE,"Summary";#N/A,#N/A,TRUE,"Financials"}</definedName>
    <definedName name="wrn.Draft." localSheetId="25">{"Draft",#N/A,FALSE,"Feb-96"}</definedName>
    <definedName name="wrn.Draft." localSheetId="20">{"Draft",#N/A,FALSE,"Feb-96"}</definedName>
    <definedName name="wrn.Draft.">{"Draft",#N/A,FALSE,"Feb-96"}</definedName>
    <definedName name="wrn.EAC._.Reports." localSheetId="25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 localSheetId="20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rnings._.Model." localSheetId="2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20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localSheetId="25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ast." localSheetId="20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ast.">{"Total East",#N/A,FALSE,"East";"Atlanta",#N/A,FALSE,"East";"Baltimore",#N/A,FALSE,"East";"Charlotte",#N/A,FALSE,"East";"Maitland",#N/A,FALSE,"East";"Marlton Admin",#N/A,FALSE,"East";"Marlton Sales",#N/A,FALSE,"East";"Pittsburgh",#N/A,FALSE,"East";"Plymouth Meeting",#N/A,FALSE,"East";"Raleigh",#N/A,FALSE,"East";"Richmond",#N/A,FALSE,"East";"Tampa",#N/A,FALSE,"East";"White Plains",#N/A,FALSE,"East"}</definedName>
    <definedName name="wrn.ebitda." localSheetId="25">{#N/A,#N/A,FALSE,"2003_Input - P&amp;L"}</definedName>
    <definedName name="wrn.ebitda." localSheetId="20">{#N/A,#N/A,FALSE,"2003_Input - P&amp;L"}</definedName>
    <definedName name="wrn.ebitda.">{#N/A,#N/A,FALSE,"2003_Input - P&amp;L"}</definedName>
    <definedName name="wrn.ebitda2" localSheetId="25">{#N/A,#N/A,FALSE,"2003_Input - P&amp;L"}</definedName>
    <definedName name="wrn.ebitda2" localSheetId="20">{#N/A,#N/A,FALSE,"2003_Input - P&amp;L"}</definedName>
    <definedName name="wrn.ebitda2">{#N/A,#N/A,FALSE,"2003_Input - P&amp;L"}</definedName>
    <definedName name="wrn.Economic._.Value._.Added._.Analysis." localSheetId="25">{"EVA",#N/A,FALSE,"EVA";"WACC",#N/A,FALSE,"WACC"}</definedName>
    <definedName name="wrn.Economic._.Value._.Added._.Analysis." localSheetId="20">{"EVA",#N/A,FALSE,"EVA";"WACC",#N/A,FALSE,"WACC"}</definedName>
    <definedName name="wrn.Economic._.Value._.Added._.Analysis.">{"EVA",#N/A,FALSE,"EVA";"WACC",#N/A,FALSE,"WACC"}</definedName>
    <definedName name="wrn.Entire._.Model." localSheetId="25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 localSheetId="20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quity._.comps." localSheetId="25">{"equity comps",#N/A,FALSE,"CS Comps";"equity comps",#N/A,FALSE,"PS Comps";"equity comps",#N/A,FALSE,"GIC_Comps";"equity comps",#N/A,FALSE,"GIC2_Comps"}</definedName>
    <definedName name="wrn.equity._.comps." localSheetId="20">{"equity comps",#N/A,FALSE,"CS Comps";"equity comps",#N/A,FALSE,"PS Comps";"equity comps",#N/A,FALSE,"GIC_Comps";"equity comps",#N/A,FALSE,"GIC2_Comps"}</definedName>
    <definedName name="wrn.equity._.comps.">{"equity comps",#N/A,FALSE,"CS Comps";"equity comps",#N/A,FALSE,"PS Comps";"equity comps",#N/A,FALSE,"GIC_Comps";"equity comps",#N/A,FALSE,"GIC2_Comps"}</definedName>
    <definedName name="wrn.equity._.comps.1" localSheetId="25">{"equity comps",#N/A,FALSE,"CS Comps";"equity comps",#N/A,FALSE,"PS Comps";"equity comps",#N/A,FALSE,"GIC_Comps";"equity comps",#N/A,FALSE,"GIC2_Comps"}</definedName>
    <definedName name="wrn.equity._.comps.1" localSheetId="20">{"equity comps",#N/A,FALSE,"CS Comps";"equity comps",#N/A,FALSE,"PS Comps";"equity comps",#N/A,FALSE,"GIC_Comps";"equity comps",#N/A,FALSE,"GIC2_Comps"}</definedName>
    <definedName name="wrn.equity._.comps.1">{"equity comps",#N/A,FALSE,"CS Comps";"equity comps",#N/A,FALSE,"PS Comps";"equity comps",#N/A,FALSE,"GIC_Comps";"equity comps",#N/A,FALSE,"GIC2_Comps"}</definedName>
    <definedName name="wrn.Everything." localSheetId="25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20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HIBITS." localSheetId="25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localSheetId="20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itAndSalesAssumptions." localSheetId="25">{#N/A,#N/A,FALSE,"ExitStratigy"}</definedName>
    <definedName name="wrn.ExitAndSalesAssumptions." localSheetId="20">{#N/A,#N/A,FALSE,"ExitStratigy"}</definedName>
    <definedName name="wrn.ExitAndSalesAssumptions.">{#N/A,#N/A,FALSE,"ExitStratigy"}</definedName>
    <definedName name="wrn.EXPENSES." localSheetId="25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20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acilities." localSheetId="25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ilities." localSheetId="20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ilities.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cturation." localSheetId="25">{"Factures - projets en cours",#N/A,FALSE,"Juin 99";"Factures -DVMD",#N/A,FALSE,"Juin 99";"Factures - projets terminés",#N/A,FALSE,"Juin 99"}</definedName>
    <definedName name="wrn.Facturation." localSheetId="20">{"Factures - projets en cours",#N/A,FALSE,"Juin 99";"Factures -DVMD",#N/A,FALSE,"Juin 99";"Factures - projets terminés",#N/A,FALSE,"Juin 99"}</definedName>
    <definedName name="wrn.Facturation.">{"Factures - projets en cours",#N/A,FALSE,"Juin 99";"Factures -DVMD",#N/A,FALSE,"Juin 99";"Factures - projets terminés",#N/A,FALSE,"Juin 99"}</definedName>
    <definedName name="wrn.Falcons._.Divisions." localSheetId="25">{#N/A,#N/A,TRUE,"Fiber_Optic_Cable_Input ";#N/A,#N/A,TRUE,"Specialty_Fiber_Devices_Input";#N/A,#N/A,TRUE,"Optical_Fiber_Apparatus_Input"}</definedName>
    <definedName name="wrn.Falcons._.Divisions." localSheetId="20">{#N/A,#N/A,TRUE,"Fiber_Optic_Cable_Input ";#N/A,#N/A,TRUE,"Specialty_Fiber_Devices_Input";#N/A,#N/A,TRUE,"Optical_Fiber_Apparatus_Input"}</definedName>
    <definedName name="wrn.Falcons._.Divisions.">{#N/A,#N/A,TRUE,"Fiber_Optic_Cable_Input ";#N/A,#N/A,TRUE,"Specialty_Fiber_Devices_Input";#N/A,#N/A,TRUE,"Optical_Fiber_Apparatus_Input"}</definedName>
    <definedName name="wrn.Falcons._.Standalone." localSheetId="25">{#N/A,#N/A,TRUE,"Falcons_Standalone";#N/A,#N/A,TRUE,"Target_Input";#N/A,#N/A,TRUE,"Target_Calendarized"}</definedName>
    <definedName name="wrn.Falcons._.Standalone." localSheetId="20">{#N/A,#N/A,TRUE,"Falcons_Standalone";#N/A,#N/A,TRUE,"Target_Input";#N/A,#N/A,TRUE,"Target_Calendarized"}</definedName>
    <definedName name="wrn.Falcons._.Standalone.">{#N/A,#N/A,TRUE,"Falcons_Standalone";#N/A,#N/A,TRUE,"Target_Input";#N/A,#N/A,TRUE,"Target_Calendarized"}</definedName>
    <definedName name="wrn.FCB." localSheetId="25">{"FCB_ALL",#N/A,FALSE,"FCB"}</definedName>
    <definedName name="wrn.FCB." localSheetId="20">{"FCB_ALL",#N/A,FALSE,"FCB"}</definedName>
    <definedName name="wrn.FCB.">{"FCB_ALL",#N/A,FALSE,"FCB"}</definedName>
    <definedName name="wrn.fcb2" localSheetId="25">{"FCB_ALL",#N/A,FALSE,"FCB"}</definedName>
    <definedName name="wrn.fcb2" localSheetId="20">{"FCB_ALL",#N/A,FALSE,"FCB"}</definedName>
    <definedName name="wrn.fcb2">{"FCB_ALL",#N/A,FALSE,"FCB"}</definedName>
    <definedName name="wrn.FDII6_01PortReview." localSheetId="25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 localSheetId="20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localSheetId="25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 localSheetId="20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bruary." localSheetId="25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20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ilecopy." localSheetId="25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20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localSheetId="25">{#N/A,#N/A,FALSE,"Assump2";#N/A,#N/A,FALSE,"Income2";#N/A,#N/A,FALSE,"Balance2";#N/A,#N/A,FALSE,"DCF Filter";#N/A,#N/A,FALSE,"Trans Assump2";#N/A,#N/A,FALSE,"Combined Income2";#N/A,#N/A,FALSE,"Combined Balance2"}</definedName>
    <definedName name="wrn.Filter." localSheetId="20">{#N/A,#N/A,FALSE,"Assump2";#N/A,#N/A,FALSE,"Income2";#N/A,#N/A,FALSE,"Balance2";#N/A,#N/A,FALSE,"DCF Filter";#N/A,#N/A,FALSE,"Trans Assump2";#N/A,#N/A,FALSE,"Combined Income2";#N/A,#N/A,FALSE,"Combined Balance2"}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localSheetId="25">{"bs",#N/A,FALSE,"BS-Consol";"con all",#N/A,FALSE,"CON-ALL";"cf",#N/A,FALSE,"BS-Consol";"debt sve",#N/A,FALSE,"BS-Consol"}</definedName>
    <definedName name="wrn.Fin._.Stmts_ALL." localSheetId="20">{"bs",#N/A,FALSE,"BS-Consol";"con all",#N/A,FALSE,"CON-ALL";"cf",#N/A,FALSE,"BS-Consol";"debt sve",#N/A,FALSE,"BS-Consol"}</definedName>
    <definedName name="wrn.Fin._.Stmts_ALL.">{"bs",#N/A,FALSE,"BS-Consol";"con all",#N/A,FALSE,"CON-ALL";"cf",#N/A,FALSE,"BS-Consol";"debt sve",#N/A,FALSE,"BS-Consol"}</definedName>
    <definedName name="wrn.Final." localSheetId="25">{"Final",#N/A,FALSE,"Feb-96"}</definedName>
    <definedName name="wrn.Final." localSheetId="20">{"Final",#N/A,FALSE,"Feb-96"}</definedName>
    <definedName name="wrn.Final.">{"Final",#N/A,FALSE,"Feb-96"}</definedName>
    <definedName name="wrn.Financial." localSheetId="25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 localSheetId="20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Review._.February." localSheetId="25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20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localSheetId="25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 localSheetId="20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 localSheetId="25">{#N/A,#N/A,FALSE,"Sep 98";"Bal Sheet CY - Legal",#N/A,FALSE,"Sep 98";"Bal Sheet PY - Legal",#N/A,FALSE,"Sep 98";"Inc Stmt - Legal",#N/A,FALSE,"Sep 98";"Cash Flow - Legal",#N/A,FALSE,"Sep 98"}</definedName>
    <definedName name="wrn.Financial._.Statements._.Wrk." localSheetId="20">{#N/A,#N/A,FALSE,"Sep 98";"Bal Sheet CY - Legal",#N/A,FALSE,"Sep 98";"Bal Sheet PY - Legal",#N/A,FALSE,"Sep 98";"Inc Stmt - Legal",#N/A,FALSE,"Sep 98";"Cash Flow - Legal",#N/A,FALSE,"Sep 98"}</definedName>
    <definedName name="wrn.Financial._.Statements._.Wrk.">{#N/A,#N/A,FALSE,"Sep 98";"Bal Sheet CY - Legal",#N/A,FALSE,"Sep 98";"Bal Sheet PY - Legal",#N/A,FALSE,"Sep 98";"Inc Stmt - Legal",#N/A,FALSE,"Sep 98";"Cash Flow - Legal",#N/A,FALSE,"Sep 98"}</definedName>
    <definedName name="wrn.Financial._.Stmts." localSheetId="25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tmts." localSheetId="20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tmts.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s." localSheetId="25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 localSheetId="20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localSheetId="25">{"IS",#N/A,FALSE,"Financials2 (Expanded)";"bsa",#N/A,FALSE,"Financials2 (Expanded)";"BS",#N/A,FALSE,"Financials2 (Expanded)";"CF",#N/A,FALSE,"Financials2 (Expanded)"}</definedName>
    <definedName name="wrn.Financials_long." localSheetId="20">{"IS",#N/A,FALSE,"Financials2 (Expanded)";"bsa",#N/A,FALSE,"Financials2 (Expanded)";"BS",#N/A,FALSE,"Financials2 (Expanded)";"CF",#N/A,FALSE,"Financials2 (Expanded)"}</definedName>
    <definedName name="wrn.Financials_long.">{"IS",#N/A,FALSE,"Financials2 (Expanded)";"bsa",#N/A,FALSE,"Financials2 (Expanded)";"BS",#N/A,FALSE,"Financials2 (Expanded)";"CF",#N/A,FALSE,"Financials2 (Expanded)"}</definedName>
    <definedName name="wrn.first2." localSheetId="25">{#N/A,#N/A,FALSE,"sum-don";#N/A,#N/A,FALSE,"inc-don"}</definedName>
    <definedName name="wrn.first2." localSheetId="20">{#N/A,#N/A,FALSE,"sum-don";#N/A,#N/A,FALSE,"inc-don"}</definedName>
    <definedName name="wrn.first2.">{#N/A,#N/A,FALSE,"sum-don";#N/A,#N/A,FALSE,"inc-don"}</definedName>
    <definedName name="wrn.first3." localSheetId="25">{#N/A,#N/A,FALSE,"Summary";#N/A,#N/A,FALSE,"proj1";#N/A,#N/A,FALSE,"proj2"}</definedName>
    <definedName name="wrn.first3." localSheetId="20">{#N/A,#N/A,FALSE,"Summary";#N/A,#N/A,FALSE,"proj1";#N/A,#N/A,FALSE,"proj2"}</definedName>
    <definedName name="wrn.first3.">{#N/A,#N/A,FALSE,"Summary";#N/A,#N/A,FALSE,"proj1";#N/A,#N/A,FALSE,"proj2"}</definedName>
    <definedName name="wrn.first4." localSheetId="25">{#N/A,#N/A,FALSE,"Summary";#N/A,#N/A,FALSE,"proj1";#N/A,#N/A,FALSE,"proj2";#N/A,#N/A,FALSE,"DCF"}</definedName>
    <definedName name="wrn.first4." localSheetId="20">{#N/A,#N/A,FALSE,"Summary";#N/A,#N/A,FALSE,"proj1";#N/A,#N/A,FALSE,"proj2";#N/A,#N/A,FALSE,"DCF"}</definedName>
    <definedName name="wrn.first4.">{#N/A,#N/A,FALSE,"Summary";#N/A,#N/A,FALSE,"proj1";#N/A,#N/A,FALSE,"proj2";#N/A,#N/A,FALSE,"DCF"}</definedName>
    <definedName name="wrn.Five._.Year._.Model." localSheetId="25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localSheetId="20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localSheetId="25">{"FIVEYEAR",#N/A,TRUE,"SUMMARY";"FIVEYEAR",#N/A,TRUE,"Ratios";"FIVEYEAR",#N/A,TRUE,"Revenue";"FIVEYEAR",#N/A,TRUE,"DETAIL";"FIVEYEAR",#N/A,TRUE,"Payroll"}</definedName>
    <definedName name="wrn.FIVE._.YEAR._.PROJECTION." localSheetId="20">{"FIVEYEAR",#N/A,TRUE,"SUMMARY";"FIVEYEAR",#N/A,TRUE,"Ratios";"FIVEYEAR",#N/A,TRUE,"Revenue";"FIVEYEAR",#N/A,TRUE,"DETAIL";"FIVEYEAR",#N/A,TRUE,"Payroll"}</definedName>
    <definedName name="wrn.FIVE._.YEAR._.PROJECTION.">{"FIVEYEAR",#N/A,TRUE,"SUMMARY";"FIVEYEAR",#N/A,TRUE,"Ratios";"FIVEYEAR",#N/A,TRUE,"Revenue";"FIVEYEAR",#N/A,TRUE,"DETAIL";"FIVEYEAR",#N/A,TRUE,"Payroll"}</definedName>
    <definedName name="wrn.Fla._.Cape._.Info._.Memo._.Reports." localSheetId="25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._.Cape._.Info._.Memo._.Reports." localSheetId="20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._.Cape._.Info._.Memo._.Reports.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OC._.Detail." localSheetId="25">{#N/A,#N/A,TRUE,"FOC_Product_Assumptions"}</definedName>
    <definedName name="wrn.FOC._.Detail." localSheetId="20">{#N/A,#N/A,TRUE,"FOC_Product_Assumptions"}</definedName>
    <definedName name="wrn.FOC._.Detail.">{#N/A,#N/A,TRUE,"FOC_Product_Assumptions"}</definedName>
    <definedName name="wrn.Forecast." localSheetId="25">{#N/A,#N/A,FALSE,"Quarterly BS 01";#N/A,#N/A,FALSE,"Cons Balsheet01";#N/A,#N/A,FALSE,"Quarterly CF 01";#N/A,#N/A,FALSE,"Cash Flow 01";#N/A,#N/A,FALSE,"EARNINGS 01"}</definedName>
    <definedName name="wrn.Forecast." localSheetId="20">{#N/A,#N/A,FALSE,"Quarterly BS 01";#N/A,#N/A,FALSE,"Cons Balsheet01";#N/A,#N/A,FALSE,"Quarterly CF 01";#N/A,#N/A,FALSE,"Cash Flow 01";#N/A,#N/A,FALSE,"EARNINGS 01"}</definedName>
    <definedName name="wrn.Forecast.">{#N/A,#N/A,FALSE,"Quarterly BS 01";#N/A,#N/A,FALSE,"Cons Balsheet01";#N/A,#N/A,FALSE,"Quarterly CF 01";#N/A,#N/A,FALSE,"Cash Flow 01";#N/A,#N/A,FALSE,"EARNINGS 01"}</definedName>
    <definedName name="wrn.formula._.pages." localSheetId="25">{"field_exam_formula_summary",#N/A,FALSE,"Input";"multi_co_formula",#N/A,FALSE,"Input";"availability_comparison",#N/A,FALSE,"AR";"general_input_area",#N/A,FALSE,"Input";"ineligible_summary",#N/A,FALSE,"AR"}</definedName>
    <definedName name="wrn.formula._.pages." localSheetId="20">{"field_exam_formula_summary",#N/A,FALSE,"Input";"multi_co_formula",#N/A,FALSE,"Input";"availability_comparison",#N/A,FALSE,"AR";"general_input_area",#N/A,FALSE,"Input";"ineligible_summary",#N/A,FALSE,"AR"}</definedName>
    <definedName name="wrn.formula._.pages.">{"field_exam_formula_summary",#N/A,FALSE,"Input";"multi_co_formula",#N/A,FALSE,"Input";"availability_comparison",#N/A,FALSE,"AR";"general_input_area",#N/A,FALSE,"Input";"ineligible_summary",#N/A,FALSE,"AR"}</definedName>
    <definedName name="wrn.fpkg." localSheetId="25">{#N/A,#N/A,FALSE,"Consolidated Shipley";#N/A,#N/A,FALSE,"Consolidated PWB";#N/A,#N/A,FALSE,"Consolidated Micro"}</definedName>
    <definedName name="wrn.fpkg." localSheetId="20">{#N/A,#N/A,FALSE,"Consolidated Shipley";#N/A,#N/A,FALSE,"Consolidated PWB";#N/A,#N/A,FALSE,"Consolidated Micro"}</definedName>
    <definedName name="wrn.fpkg.">{#N/A,#N/A,FALSE,"Consolidated Shipley";#N/A,#N/A,FALSE,"Consolidated PWB";#N/A,#N/A,FALSE,"Consolidated Micro"}</definedName>
    <definedName name="wrn.fpkg1" localSheetId="25">{#N/A,#N/A,FALSE,"Consolidated Shipley";#N/A,#N/A,FALSE,"Consolidated PWB";#N/A,#N/A,FALSE,"Consolidated Micro"}</definedName>
    <definedName name="wrn.fpkg1" localSheetId="20">{#N/A,#N/A,FALSE,"Consolidated Shipley";#N/A,#N/A,FALSE,"Consolidated PWB";#N/A,#N/A,FALSE,"Consolidated Micro"}</definedName>
    <definedName name="wrn.fpkg1">{#N/A,#N/A,FALSE,"Consolidated Shipley";#N/A,#N/A,FALSE,"Consolidated PWB";#N/A,#N/A,FALSE,"Consolidated Micro"}</definedName>
    <definedName name="wrn.fpkg2" localSheetId="25">{#N/A,#N/A,FALSE,"Consolidated Shipley";#N/A,#N/A,FALSE,"Consolidated PWB";#N/A,#N/A,FALSE,"Consolidated Micro"}</definedName>
    <definedName name="wrn.fpkg2" localSheetId="20">{#N/A,#N/A,FALSE,"Consolidated Shipley";#N/A,#N/A,FALSE,"Consolidated PWB";#N/A,#N/A,FALSE,"Consolidated Micro"}</definedName>
    <definedName name="wrn.fpkg2">{#N/A,#N/A,FALSE,"Consolidated Shipley";#N/A,#N/A,FALSE,"Consolidated PWB";#N/A,#N/A,FALSE,"Consolidated Micro"}</definedName>
    <definedName name="wrn.fpkg3" localSheetId="25">{#N/A,#N/A,FALSE,"Consolidated Shipley";#N/A,#N/A,FALSE,"Consolidated PWB";#N/A,#N/A,FALSE,"Consolidated Micro"}</definedName>
    <definedName name="wrn.fpkg3" localSheetId="20">{#N/A,#N/A,FALSE,"Consolidated Shipley";#N/A,#N/A,FALSE,"Consolidated PWB";#N/A,#N/A,FALSE,"Consolidated Micro"}</definedName>
    <definedName name="wrn.fpkg3">{#N/A,#N/A,FALSE,"Consolidated Shipley";#N/A,#N/A,FALSE,"Consolidated PWB";#N/A,#N/A,FALSE,"Consolidated Micro"}</definedName>
    <definedName name="wrn.FSCT._.PCKG." localSheetId="25">{#N/A,#N/A,FALSE,"P&amp;L";#N/A,#N/A,FALSE,"Capital";#N/A,#N/A,FALSE,"Summary";#N/A,#N/A,FALSE,"VAR Rec";#N/A,#N/A,FALSE,"EBIT Rec"}</definedName>
    <definedName name="wrn.FSCT._.PCKG." localSheetId="20">{#N/A,#N/A,FALSE,"P&amp;L";#N/A,#N/A,FALSE,"Capital";#N/A,#N/A,FALSE,"Summary";#N/A,#N/A,FALSE,"VAR Rec";#N/A,#N/A,FALSE,"EBIT Rec"}</definedName>
    <definedName name="wrn.FSCT._.PCKG.">{#N/A,#N/A,FALSE,"P&amp;L";#N/A,#N/A,FALSE,"Capital";#N/A,#N/A,FALSE,"Summary";#N/A,#N/A,FALSE,"VAR Rec";#N/A,#N/A,FALSE,"EBIT Rec"}</definedName>
    <definedName name="wrn.Full._.Model." localSheetId="25">{"Annual",#N/A,TRUE,"LPX";"Quarterly",#N/A,TRUE,"LPX"}</definedName>
    <definedName name="wrn.Full._.Model." localSheetId="20">{"Annual",#N/A,TRUE,"LPX";"Quarterly",#N/A,TRUE,"LPX"}</definedName>
    <definedName name="wrn.Full._.Model.">{"Annual",#N/A,TRUE,"LPX";"Quarterly",#N/A,TRUE,"LPX"}</definedName>
    <definedName name="wrn.Full._.Monty." localSheetId="25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20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25">{#N/A,#N/A,TRUE,"Income Statement";#N/A,#N/A,TRUE,"Gas Assumptions";#N/A,#N/A,TRUE,"DCF";#N/A,#N/A,TRUE,"Depreciation Matrix";#N/A,#N/A,TRUE,"Matrix";#N/A,#N/A,TRUE,"Matrix_Perpetuity"}</definedName>
    <definedName name="wrn.Full._.Report." localSheetId="20">{#N/A,#N/A,TRUE,"Income Statement";#N/A,#N/A,TRUE,"Gas Assumptions";#N/A,#N/A,TRUE,"DCF";#N/A,#N/A,TRUE,"Depreciation Matrix";#N/A,#N/A,TRUE,"Matrix";#N/A,#N/A,TRUE,"Matrix_Perpetuity"}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llFincls." localSheetId="25">{#N/A,#N/A,TRUE,"Income Statement";#N/A,#N/A,TRUE,"Balance Sheet";#N/A,#N/A,TRUE,"Cash Flows";#N/A,#N/A,TRUE,"Ratios";#N/A,#N/A,TRUE,"Revenues";#N/A,#N/A,TRUE,"Asset Calcs";#N/A,#N/A,TRUE,"Value"}</definedName>
    <definedName name="wrn.FullFincls." localSheetId="20">{#N/A,#N/A,TRUE,"Income Statement";#N/A,#N/A,TRUE,"Balance Sheet";#N/A,#N/A,TRUE,"Cash Flows";#N/A,#N/A,TRUE,"Ratios";#N/A,#N/A,TRUE,"Revenues";#N/A,#N/A,TRUE,"Asset Calcs";#N/A,#N/A,TRUE,"Value"}</definedName>
    <definedName name="wrn.FullFincls.">{#N/A,#N/A,TRUE,"Income Statement";#N/A,#N/A,TRUE,"Balance Sheet";#N/A,#N/A,TRUE,"Cash Flows";#N/A,#N/A,TRUE,"Ratios";#N/A,#N/A,TRUE,"Revenues";#N/A,#N/A,TRUE,"Asset Calcs";#N/A,#N/A,TRUE,"Value"}</definedName>
    <definedName name="wrn.Fund._.II." localSheetId="25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 localSheetId="20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localSheetId="25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 localSheetId="20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localSheetId="25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 localSheetId="20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localSheetId="25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 localSheetId="20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localSheetId="25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 localSheetId="20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localSheetId="2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 localSheetId="20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localSheetId="25">{#N/A,#N/A,TRUE,"FD IV Portfolio Summary ";#N/A,#N/A,TRUE,"Western";#N/A,#N/A,TRUE,"Kranson";#N/A,#N/A,TRUE,"ARC";#N/A,#N/A,TRUE,"Precise";#N/A,#N/A,TRUE,"WNA"}</definedName>
    <definedName name="wrn.Fund._.IV._.Adv.._.Brd.._.June._.2000." localSheetId="20">{#N/A,#N/A,TRUE,"FD IV Portfolio Summary ";#N/A,#N/A,TRUE,"Western";#N/A,#N/A,TRUE,"Kranson";#N/A,#N/A,TRUE,"ARC";#N/A,#N/A,TRUE,"Precise";#N/A,#N/A,TRUE,"WNA"}</definedName>
    <definedName name="wrn.Fund._.IV._.Adv.._.Brd.._.June._.2000.">{#N/A,#N/A,TRUE,"FD IV Portfolio Summary ";#N/A,#N/A,TRUE,"Western";#N/A,#N/A,TRUE,"Kranson";#N/A,#N/A,TRUE,"ARC";#N/A,#N/A,TRUE,"Precise";#N/A,#N/A,TRUE,"WNA"}</definedName>
    <definedName name="wrn.FY97SBP." localSheetId="25">{#N/A,#N/A,FALSE,"FY97";#N/A,#N/A,FALSE,"FY98";#N/A,#N/A,FALSE,"FY99";#N/A,#N/A,FALSE,"FY00";#N/A,#N/A,FALSE,"FY01"}</definedName>
    <definedName name="wrn.FY97SBP." localSheetId="20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.1" localSheetId="25">{#N/A,#N/A,FALSE,"FY97";#N/A,#N/A,FALSE,"FY98";#N/A,#N/A,FALSE,"FY99";#N/A,#N/A,FALSE,"FY00";#N/A,#N/A,FALSE,"FY01"}</definedName>
    <definedName name="wrn.FY97SBP.1" localSheetId="20">{#N/A,#N/A,FALSE,"FY97";#N/A,#N/A,FALSE,"FY98";#N/A,#N/A,FALSE,"FY99";#N/A,#N/A,FALSE,"FY00";#N/A,#N/A,FALSE,"FY01"}</definedName>
    <definedName name="wrn.FY97SBP.1">{#N/A,#N/A,FALSE,"FY97";#N/A,#N/A,FALSE,"FY98";#N/A,#N/A,FALSE,"FY99";#N/A,#N/A,FALSE,"FY00";#N/A,#N/A,FALSE,"FY01"}</definedName>
    <definedName name="wrn.GRAPHS." localSheetId="25">{#N/A,#N/A,FALSE,"ACQ_GRAPHS";#N/A,#N/A,FALSE,"T_1 GRAPHS";#N/A,#N/A,FALSE,"T_2 GRAPHS";#N/A,#N/A,FALSE,"COMB_GRAPHS"}</definedName>
    <definedName name="wrn.GRAPHS." localSheetId="20">{#N/A,#N/A,FALSE,"ACQ_GRAPHS";#N/A,#N/A,FALSE,"T_1 GRAPHS";#N/A,#N/A,FALSE,"T_2 GRAPHS";#N/A,#N/A,FALSE,"COMB_GRAPHS"}</definedName>
    <definedName name="wrn.GRAPHS.">{#N/A,#N/A,FALSE,"ACQ_GRAPHS";#N/A,#N/A,FALSE,"T_1 GRAPHS";#N/A,#N/A,FALSE,"T_2 GRAPHS";#N/A,#N/A,FALSE,"COMB_GRAPHS"}</definedName>
    <definedName name="wrn.gross._.margin._.detail." localSheetId="25">{"gross_margin1",#N/A,FALSE,"Gross Margin Detail";"gross_margin2",#N/A,FALSE,"Gross Margin Detail"}</definedName>
    <definedName name="wrn.gross._.margin._.detail." localSheetId="20">{"gross_margin1",#N/A,FALSE,"Gross Margin Detail";"gross_margin2",#N/A,FALSE,"Gross Margin Detail"}</definedName>
    <definedName name="wrn.gross._.margin._.detail.">{"gross_margin1",#N/A,FALSE,"Gross Margin Detail";"gross_margin2",#N/A,FALSE,"Gross Margin Detail"}</definedName>
    <definedName name="wrn.gti._.qtrly._.stats." localSheetId="25">{"GTI monthly IS",#N/A,FALSE,"gti";#N/A,#N/A,FALSE,"gti"}</definedName>
    <definedName name="wrn.gti._.qtrly._.stats." localSheetId="20">{"GTI monthly IS",#N/A,FALSE,"gti";#N/A,#N/A,FALSE,"gti"}</definedName>
    <definedName name="wrn.gti._.qtrly._.stats.">{"GTI monthly IS",#N/A,FALSE,"gti";#N/A,#N/A,FALSE,"gti"}</definedName>
    <definedName name="wrn.HEAT." localSheetId="25">{#N/A,#N/A,FALSE,"Heat";#N/A,#N/A,FALSE,"DCF";#N/A,#N/A,FALSE,"LBO";#N/A,#N/A,FALSE,"A";#N/A,#N/A,FALSE,"C";#N/A,#N/A,FALSE,"impd";#N/A,#N/A,FALSE,"Accr-Dilu"}</definedName>
    <definedName name="wrn.HEAT." localSheetId="20">{#N/A,#N/A,FALSE,"Heat";#N/A,#N/A,FALSE,"DCF";#N/A,#N/A,FALSE,"LBO";#N/A,#N/A,FALSE,"A";#N/A,#N/A,FALSE,"C";#N/A,#N/A,FALSE,"impd";#N/A,#N/A,FALSE,"Accr-Dilu"}</definedName>
    <definedName name="wrn.HEAT.">{#N/A,#N/A,FALSE,"Heat";#N/A,#N/A,FALSE,"DCF";#N/A,#N/A,FALSE,"LBO";#N/A,#N/A,FALSE,"A";#N/A,#N/A,FALSE,"C";#N/A,#N/A,FALSE,"impd";#N/A,#N/A,FALSE,"Accr-Dilu"}</definedName>
    <definedName name="wrn.historical." localSheetId="25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" localSheetId="20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localSheetId="25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" localSheetId="20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performance." localSheetId="25">{"historical acquirer",#N/A,FALSE,"Historical Performance";"historical target",#N/A,FALSE,"Historical Performance"}</definedName>
    <definedName name="wrn.historical._.performance." localSheetId="20">{"historical acquirer",#N/A,FALSE,"Historical Performance";"historical target",#N/A,FALSE,"Historical Performance"}</definedName>
    <definedName name="wrn.historical._.performance.">{"historical acquirer",#N/A,FALSE,"Historical Performance";"historical target",#N/A,FALSE,"Historical Performance"}</definedName>
    <definedName name="wrn.Hydraulic." localSheetId="25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20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_1._.thru._.I_6._.workpapers." localSheetId="25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" localSheetId="20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localSheetId="25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" localSheetId="20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I._.PortRev33102." localSheetId="25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 localSheetId="20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mos._.2000." localSheetId="25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mos._.2000." localSheetId="20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mos._.2000.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ncome._.statement." localSheetId="25">{"income statement",#N/A,FALSE,"ATLAS-A"}</definedName>
    <definedName name="wrn.income._.statement." localSheetId="20">{"income statement",#N/A,FALSE,"ATLAS-A"}</definedName>
    <definedName name="wrn.income._.statement.">{"income statement",#N/A,FALSE,"ATLAS-A"}</definedName>
    <definedName name="wrn.IncStmt." localSheetId="25">{"IncStmt",#N/A,FALSE,"P&amp;L"}</definedName>
    <definedName name="wrn.IncStmt." localSheetId="20">{"IncStmt",#N/A,FALSE,"P&amp;L"}</definedName>
    <definedName name="wrn.IncStmt.">{"IncStmt",#N/A,FALSE,"P&amp;L"}</definedName>
    <definedName name="wrn.info." localSheetId="25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20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MemoPhotosMapsPlans." localSheetId="25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MemoPhotosMapsPlans." localSheetId="20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MemoPhotosMapsPlans.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put._.and._.output." localSheetId="25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20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TANGIBLES." localSheetId="25">{#N/A,#N/A,FALSE,"T-1 Intangibles"}</definedName>
    <definedName name="wrn.INTANGIBLES." localSheetId="20">{#N/A,#N/A,FALSE,"T-1 Intangibles"}</definedName>
    <definedName name="wrn.INTANGIBLES.">{#N/A,#N/A,FALSE,"T-1 Intangibles"}</definedName>
    <definedName name="wrn.INTEREST." localSheetId="25">{#N/A,#N/A,FALSE,"0700 Interest Expense";#N/A,#N/A,FALSE,"0700-1 Summary of Interest Earn"}</definedName>
    <definedName name="wrn.INTEREST." localSheetId="20">{#N/A,#N/A,FALSE,"0700 Interest Expense";#N/A,#N/A,FALSE,"0700-1 Summary of Interest Earn"}</definedName>
    <definedName name="wrn.INTEREST.">{#N/A,#N/A,FALSE,"0700 Interest Expense";#N/A,#N/A,FALSE,"0700-1 Summary of Interest Earn"}</definedName>
    <definedName name="wrn.Internal." localSheetId="25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" localSheetId="20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Report._.for._.Martha." localSheetId="25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 localSheetId="20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NTORY." localSheetId="25">{#N/A,#N/A,FALSE,"F-1 Inventory Price Test-RM";#N/A,#N/A,FALSE,"F-2 Inventory-Test Count"}</definedName>
    <definedName name="wrn.INVENTORY." localSheetId="20">{#N/A,#N/A,FALSE,"F-1 Inventory Price Test-RM";#N/A,#N/A,FALSE,"F-2 Inventory-Test Count"}</definedName>
    <definedName name="wrn.INVENTORY.">{#N/A,#N/A,FALSE,"F-1 Inventory Price Test-RM";#N/A,#N/A,FALSE,"F-2 Inventory-Test Count"}</definedName>
    <definedName name="wrn.Investment._.Summary." localSheetId="25">{#N/A,#N/A,TRUE,"Summary";#N/A,#N/A,TRUE,"Financials";#N/A,#N/A,TRUE,"Assumptions";#N/A,#N/A,TRUE,"Pro Forma";#N/A,#N/A,TRUE,"Debt";#N/A,#N/A,TRUE,"Amortization";#N/A,#N/A,TRUE,"GG Returns"}</definedName>
    <definedName name="wrn.Investment._.Summary." localSheetId="20">{#N/A,#N/A,TRUE,"Summary";#N/A,#N/A,TRUE,"Financials";#N/A,#N/A,TRUE,"Assumptions";#N/A,#N/A,TRUE,"Pro Forma";#N/A,#N/A,TRUE,"Debt";#N/A,#N/A,TRUE,"Amortization";#N/A,#N/A,TRUE,"GG Returns"}</definedName>
    <definedName name="wrn.Investment._.Summary.">{#N/A,#N/A,TRUE,"Summary";#N/A,#N/A,TRUE,"Financials";#N/A,#N/A,TRUE,"Assumptions";#N/A,#N/A,TRUE,"Pro Forma";#N/A,#N/A,TRUE,"Debt";#N/A,#N/A,TRUE,"Amortization";#N/A,#N/A,TRUE,"GG Returns"}</definedName>
    <definedName name="wrn.Investor._.Cash._.Flows." localSheetId="25">{"CV_2",#N/A,TRUE,"Investor Cash Flows"}</definedName>
    <definedName name="wrn.Investor._.Cash._.Flows." localSheetId="20">{"CV_2",#N/A,TRUE,"Investor Cash Flows"}</definedName>
    <definedName name="wrn.Investor._.Cash._.Flows.">{"CV_2",#N/A,TRUE,"Investor Cash Flows"}</definedName>
    <definedName name="wrn.IPO._.Valuation." localSheetId="25">{"assumptions",#N/A,FALSE,"Scenario 1";"valuation",#N/A,FALSE,"Scenario 1"}</definedName>
    <definedName name="wrn.IPO._.Valuation." localSheetId="20">{"assumptions",#N/A,FALSE,"Scenario 1";"valuation",#N/A,FALSE,"Scenario 1"}</definedName>
    <definedName name="wrn.IPO._.Valuation.">{"assumptions",#N/A,FALSE,"Scenario 1";"valuation",#N/A,FALSE,"Scenario 1"}</definedName>
    <definedName name="wrn.ipovalue." localSheetId="25">{#N/A,#N/A,FALSE,"puboff";#N/A,#N/A,FALSE,"valuation";#N/A,#N/A,FALSE,"finanalsis";#N/A,#N/A,FALSE,"split";#N/A,#N/A,FALSE,"ownership"}</definedName>
    <definedName name="wrn.ipovalue." localSheetId="20">{#N/A,#N/A,FALSE,"puboff";#N/A,#N/A,FALSE,"valuation";#N/A,#N/A,FALSE,"finanalsis";#N/A,#N/A,FALSE,"split";#N/A,#N/A,FALSE,"ownership"}</definedName>
    <definedName name="wrn.ipovalue.">{#N/A,#N/A,FALSE,"puboff";#N/A,#N/A,FALSE,"valuation";#N/A,#N/A,FALSE,"finanalsis";#N/A,#N/A,FALSE,"split";#N/A,#N/A,FALSE,"ownership"}</definedName>
    <definedName name="wrn.ISAnnualModel." localSheetId="25">{"AnnModel",#N/A,FALSE,"IS"}</definedName>
    <definedName name="wrn.ISAnnualModel." localSheetId="20">{"AnnModel",#N/A,FALSE,"IS"}</definedName>
    <definedName name="wrn.ISAnnualModel.">{"AnnModel",#N/A,FALSE,"IS"}</definedName>
    <definedName name="wrn.ISCG._.model." localSheetId="25">{#N/A,#N/A,FALSE,"Second";#N/A,#N/A,FALSE,"ownership";#N/A,#N/A,FALSE,"Valuation";#N/A,#N/A,FALSE,"Eqiv";#N/A,#N/A,FALSE,"Mults";#N/A,#N/A,FALSE,"ISCG Graphics"}</definedName>
    <definedName name="wrn.ISCG._.model." localSheetId="20">{#N/A,#N/A,FALSE,"Second";#N/A,#N/A,FALSE,"ownership";#N/A,#N/A,FALSE,"Valuation";#N/A,#N/A,FALSE,"Eqiv";#N/A,#N/A,FALSE,"Mults";#N/A,#N/A,FALSE,"ISCG Graphics"}</definedName>
    <definedName name="wrn.ISCG._.model.">{#N/A,#N/A,FALSE,"Second";#N/A,#N/A,FALSE,"ownership";#N/A,#N/A,FALSE,"Valuation";#N/A,#N/A,FALSE,"Eqiv";#N/A,#N/A,FALSE,"Mults";#N/A,#N/A,FALSE,"ISCG Graphics"}</definedName>
    <definedName name="wrn.ISQtrModel." localSheetId="25">{"QtrModel",#N/A,FALSE,"IS"}</definedName>
    <definedName name="wrn.ISQtrModel." localSheetId="20">{"QtrModel",#N/A,FALSE,"IS"}</definedName>
    <definedName name="wrn.ISQtrModel.">{"QtrModel",#N/A,FALSE,"IS"}</definedName>
    <definedName name="wrn.JANUARY." localSheetId="25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20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bsum." localSheetId="25">{#N/A,#N/A,FALSE,"Finstmts";#N/A,#N/A,FALSE,"Lost Revenue";#N/A,#N/A,FALSE,"Ratios"}</definedName>
    <definedName name="wrn.jcbsum." localSheetId="20">{#N/A,#N/A,FALSE,"Finstmts";#N/A,#N/A,FALSE,"Lost Revenue";#N/A,#N/A,FALSE,"Ratios"}</definedName>
    <definedName name="wrn.jcbsum.">{#N/A,#N/A,FALSE,"Finstmts";#N/A,#N/A,FALSE,"Lost Revenue";#N/A,#N/A,FALSE,"Ratios"}</definedName>
    <definedName name="wrn.Jeff._.Standalone." localSheetId="25">{#N/A,#N/A,TRUE,"Acquirer_Cases_Input";#N/A,#N/A,TRUE,"Acquirer_Input";#N/A,#N/A,TRUE,"Acquirer"}</definedName>
    <definedName name="wrn.Jeff._.Standalone." localSheetId="20">{#N/A,#N/A,TRUE,"Acquirer_Cases_Input";#N/A,#N/A,TRUE,"Acquirer_Input";#N/A,#N/A,TRUE,"Acquirer"}</definedName>
    <definedName name="wrn.Jeff._.Standalone.">{#N/A,#N/A,TRUE,"Acquirer_Cases_Input";#N/A,#N/A,TRUE,"Acquirer_Input";#N/A,#N/A,TRUE,"Acquirer"}</definedName>
    <definedName name="wrn.JODM._.Graphs." localSheetId="25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20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localSheetId="25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20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Kenngb." localSheetId="25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20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arge._.and._.Small._.on._.One._.Page." localSheetId="25">{"Large and Small on One Page",#N/A,FALSE,"Comparable companies"}</definedName>
    <definedName name="wrn.Large._.and._.Small._.on._.One._.Page." localSheetId="20">{"Large and Small on One Page",#N/A,FALSE,"Comparable companies"}</definedName>
    <definedName name="wrn.Large._.and._.Small._.on._.One._.Page.">{"Large and Small on One Page",#N/A,FALSE,"Comparable companies"}</definedName>
    <definedName name="wrn.LBO._.Model._.Output." localSheetId="25">{#N/A,#N/A,FALSE,"Cover";#N/A,#N/A,FALSE,"Summary";#N/A,#N/A,FALSE,"IS";#N/A,#N/A,FALSE,"CF";#N/A,#N/A,FALSE,"BS";#N/A,#N/A,FALSE,"Detail";#N/A,#N/A,FALSE,"IRR"}</definedName>
    <definedName name="wrn.LBO._.Model._.Output." localSheetId="20">{#N/A,#N/A,FALSE,"Cover";#N/A,#N/A,FALSE,"Summary";#N/A,#N/A,FALSE,"IS";#N/A,#N/A,FALSE,"CF";#N/A,#N/A,FALSE,"BS";#N/A,#N/A,FALSE,"Detail";#N/A,#N/A,FALSE,"IRR"}</definedName>
    <definedName name="wrn.LBO._.Model._.Output.">{#N/A,#N/A,FALSE,"Cover";#N/A,#N/A,FALSE,"Summary";#N/A,#N/A,FALSE,"IS";#N/A,#N/A,FALSE,"CF";#N/A,#N/A,FALSE,"BS";#N/A,#N/A,FALSE,"Detail";#N/A,#N/A,FALSE,"IRR"}</definedName>
    <definedName name="wrn.LBO._.Summary." localSheetId="25">{"LBO Summary",#N/A,FALSE,"Summary"}</definedName>
    <definedName name="wrn.LBO._.Summary." localSheetId="20">{"LBO Summary",#N/A,FALSE,"Summary"}</definedName>
    <definedName name="wrn.LBO._.Summary.">{"LBO Summary",#N/A,FALSE,"Summary"}</definedName>
    <definedName name="wrn.LBO_Recap_Model." localSheetId="25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 localSheetId="20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BO_Recap_Model.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name="wrn.LDM." localSheetId="25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" localSheetId="20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DM.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ead._.Sheet." localSheetId="25">{"PrintView",#N/A,FALSE,"Cash &amp; Equiv";"PrintView",#N/A,FALSE,"Investments";"Other Assets Print View",#N/A,FALSE,"Other Assets"}</definedName>
    <definedName name="wrn.Lead._.Sheet." localSheetId="20">{"PrintView",#N/A,FALSE,"Cash &amp; Equiv";"PrintView",#N/A,FALSE,"Investments";"Other Assets Print View",#N/A,FALSE,"Other Assets"}</definedName>
    <definedName name="wrn.Lead._.Sheet.">{"PrintView",#N/A,FALSE,"Cash &amp; Equiv";"PrintView",#N/A,FALSE,"Investments";"Other Assets Print View",#N/A,FALSE,"Other Assets"}</definedName>
    <definedName name="wrn.lead._.sheet1." localSheetId="25">{"PrintView",#N/A,FALSE,"Cash &amp; Equiv";"PrintView",#N/A,FALSE,"Investments";"Other Assets Print View",#N/A,FALSE,"Other Assets"}</definedName>
    <definedName name="wrn.lead._.sheet1." localSheetId="20">{"PrintView",#N/A,FALSE,"Cash &amp; Equiv";"PrintView",#N/A,FALSE,"Investments";"Other Assets Print View",#N/A,FALSE,"Other Assets"}</definedName>
    <definedName name="wrn.lead._.sheet1.">{"PrintView",#N/A,FALSE,"Cash &amp; Equiv";"PrintView",#N/A,FALSE,"Investments";"Other Assets Print View",#N/A,FALSE,"Other Assets"}</definedName>
    <definedName name="wrn.Lead._Sheet." localSheetId="25">{"PrintView",#N/A,FALSE,"Cash &amp; Equiv";"PrintView",#N/A,FALSE,"Investments";"Other Assets Print View",#N/A,FALSE,"Other Assets"}</definedName>
    <definedName name="wrn.Lead._Sheet." localSheetId="20">{"PrintView",#N/A,FALSE,"Cash &amp; Equiv";"PrintView",#N/A,FALSE,"Investments";"Other Assets Print View",#N/A,FALSE,"Other Assets"}</definedName>
    <definedName name="wrn.Lead._Sheet.">{"PrintView",#N/A,FALSE,"Cash &amp; Equiv";"PrintView",#N/A,FALSE,"Investments";"Other Assets Print View",#N/A,FALSE,"Other Assets"}</definedName>
    <definedName name="wrn.Lead._Sheets." localSheetId="25">{"PrintView",#N/A,FALSE,"Cash &amp; Equiv";"PrintView",#N/A,FALSE,"Investments";"Other Assets Print View",#N/A,FALSE,"Other Assets"}</definedName>
    <definedName name="wrn.Lead._Sheets." localSheetId="20">{"PrintView",#N/A,FALSE,"Cash &amp; Equiv";"PrintView",#N/A,FALSE,"Investments";"Other Assets Print View",#N/A,FALSE,"Other Assets"}</definedName>
    <definedName name="wrn.Lead._Sheets.">{"PrintView",#N/A,FALSE,"Cash &amp; Equiv";"PrintView",#N/A,FALSE,"Investments";"Other Assets Print View",#N/A,FALSE,"Other Assets"}</definedName>
    <definedName name="wrn.LIFE._.INS.._.LOANS." localSheetId="25">{#N/A,#N/A,FALSE,"TT-1 Officers' Life Insurance"}</definedName>
    <definedName name="wrn.LIFE._.INS.._.LOANS." localSheetId="20">{#N/A,#N/A,FALSE,"TT-1 Officers' Life Insurance"}</definedName>
    <definedName name="wrn.LIFE._.INS.._.LOANS.">{#N/A,#N/A,FALSE,"TT-1 Officers' Life Insurance"}</definedName>
    <definedName name="wrn.LM._.Gear." localSheetId="25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 localSheetId="20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M._.Gear.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Information." localSheetId="25">{#N/A,#N/A,FALSE,"LoanAssumptions"}</definedName>
    <definedName name="wrn.LoanInformation." localSheetId="20">{#N/A,#N/A,FALSE,"LoanAssumptions"}</definedName>
    <definedName name="wrn.LoanInformation.">{#N/A,#N/A,FALSE,"LoanAssumptions"}</definedName>
    <definedName name="wrn.LONG._.TERM._.DEBT." localSheetId="25">{#N/A,#N/A,FALSE,"MM-1 Long Term Debt"}</definedName>
    <definedName name="wrn.LONG._.TERM._.DEBT." localSheetId="20">{#N/A,#N/A,FALSE,"MM-1 Long Term Debt"}</definedName>
    <definedName name="wrn.LONG._.TERM._.DEBT.">{#N/A,#N/A,FALSE,"MM-1 Long Term Debt"}</definedName>
    <definedName name="wrn.LP._.Committee._.Book." localSheetId="25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 localSheetId="20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localSheetId="25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 localSheetId="20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ain." localSheetId="25">{#N/A,#N/A,FALSE,"Finstmts";#N/A,#N/A,FALSE,"O&amp;M and Cap";#N/A,#N/A,FALSE,"Fuel";#N/A,#N/A,FALSE,"Gen Dat";#N/A,#N/A,FALSE,"Lost Revenue";#N/A,#N/A,FALSE,"Ratios"}</definedName>
    <definedName name="wrn.main." localSheetId="20">{#N/A,#N/A,FALSE,"Finstmts";#N/A,#N/A,FALSE,"O&amp;M and Cap";#N/A,#N/A,FALSE,"Fuel";#N/A,#N/A,FALSE,"Gen Dat";#N/A,#N/A,FALSE,"Lost Revenue";#N/A,#N/A,FALSE,"Ratios"}</definedName>
    <definedName name="wrn.main.">{#N/A,#N/A,FALSE,"Finstmts";#N/A,#N/A,FALSE,"O&amp;M and Cap";#N/A,#N/A,FALSE,"Fuel";#N/A,#N/A,FALSE,"Gen Dat";#N/A,#N/A,FALSE,"Lost Revenue";#N/A,#N/A,FALSE,"Ratios"}</definedName>
    <definedName name="wrn.Main._.Fields." localSheetId="25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20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localSheetId="25">{"Assumptions",#N/A,TRUE,"Assumptions";"Income",#N/A,TRUE,"Income";"Balance",#N/A,TRUE,"Balance"}</definedName>
    <definedName name="wrn.Maine." localSheetId="20">{"Assumptions",#N/A,TRUE,"Assumptions";"Income",#N/A,TRUE,"Income";"Balance",#N/A,TRUE,"Balance"}</definedName>
    <definedName name="wrn.Maine.">{"Assumptions",#N/A,TRUE,"Assumptions";"Income",#N/A,TRUE,"Income";"Balance",#N/A,TRUE,"Balance"}</definedName>
    <definedName name="wrn.Maine2." localSheetId="25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20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Report." localSheetId="25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20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localSheetId="25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20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KETABLE._.SEC.." localSheetId="25">{#N/A,#N/A,FALSE,"B-1 Mkt. Sec. - Int.";#N/A,#N/A,FALSE,"B-2 Mkt. Sec. - Val.";#N/A,#N/A,FALSE,"B-3 Mkt. Sec. - Gain (Loss)"}</definedName>
    <definedName name="wrn.MARKETABLE._.SEC.." localSheetId="20">{#N/A,#N/A,FALSE,"B-1 Mkt. Sec. - Int.";#N/A,#N/A,FALSE,"B-2 Mkt. Sec. - Val.";#N/A,#N/A,FALSE,"B-3 Mkt. Sec. - Gain (Loss)"}</definedName>
    <definedName name="wrn.MARKETABLE._.SEC..">{#N/A,#N/A,FALSE,"B-1 Mkt. Sec. - Int.";#N/A,#N/A,FALSE,"B-2 Mkt. Sec. - Val.";#N/A,#N/A,FALSE,"B-3 Mkt. Sec. - Gain (Loss)"}</definedName>
    <definedName name="wrn.MAY." localSheetId="25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20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emo." localSheetId="25">{#N/A,#N/A,TRUE,"financial";#N/A,#N/A,TRUE,"plants"}</definedName>
    <definedName name="wrn.memo." localSheetId="20">{#N/A,#N/A,TRUE,"financial";#N/A,#N/A,TRUE,"plants"}</definedName>
    <definedName name="wrn.memo.">{#N/A,#N/A,TRUE,"financial";#N/A,#N/A,TRUE,"plants"}</definedName>
    <definedName name="wrn.merge." localSheetId="25">{#N/A,#N/A,FALSE,"IPO";#N/A,#N/A,FALSE,"DCF";#N/A,#N/A,FALSE,"LBO";#N/A,#N/A,FALSE,"MULT_VAL";#N/A,#N/A,FALSE,"Status Quo";#N/A,#N/A,FALSE,"Recap"}</definedName>
    <definedName name="wrn.merge." localSheetId="20">{#N/A,#N/A,FALSE,"IPO";#N/A,#N/A,FALSE,"DCF";#N/A,#N/A,FALSE,"LBO";#N/A,#N/A,FALSE,"MULT_VAL";#N/A,#N/A,FALSE,"Status Quo";#N/A,#N/A,FALSE,"Recap"}</definedName>
    <definedName name="wrn.merge.">{#N/A,#N/A,FALSE,"IPO";#N/A,#N/A,FALSE,"DCF";#N/A,#N/A,FALSE,"LBO";#N/A,#N/A,FALSE,"MULT_VAL";#N/A,#N/A,FALSE,"Status Quo";#N/A,#N/A,FALSE,"Recap"}</definedName>
    <definedName name="wrn.merger." localSheetId="25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20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localSheetId="25">{"page1",#N/A,FALSE,"GIRLBO";"page2",#N/A,FALSE,"GIRLBO";"page3",#N/A,FALSE,"GIRLBO";"page4",#N/A,FALSE,"GIRLBO";"page5",#N/A,FALSE,"GIRLBO"}</definedName>
    <definedName name="wrn.model." localSheetId="20">{"page1",#N/A,FALSE,"GIRLBO";"page2",#N/A,FALSE,"GIRLBO";"page3",#N/A,FALSE,"GIRLBO";"page4",#N/A,FALSE,"GIRLBO";"page5",#N/A,FALSE,"GIRLBO"}</definedName>
    <definedName name="wrn.model.">{"page1",#N/A,FALSE,"GIRLBO";"page2",#N/A,FALSE,"GIRLBO";"page3",#N/A,FALSE,"GIRLBO";"page4",#N/A,FALSE,"GIRLBO";"page5",#N/A,FALSE,"GIRLBO"}</definedName>
    <definedName name="wrn.Month." localSheetId="25">{#N/A,#N/A,FALSE,"Comp Balance";#N/A,#N/A,FALSE,"Sum Balance ";#N/A,#N/A,FALSE,"Balance Trend";#N/A,#N/A,FALSE,"Comp PL";#N/A,#N/A,FALSE,"PL";#N/A,#N/A,FALSE,"Sum PL";#N/A,#N/A,FALSE,"PL Trend";#N/A,#N/A,FALSE,"Change"}</definedName>
    <definedName name="wrn.Month." localSheetId="20">{#N/A,#N/A,FALSE,"Comp Balance";#N/A,#N/A,FALSE,"Sum Balance ";#N/A,#N/A,FALSE,"Balance Trend";#N/A,#N/A,FALSE,"Comp PL";#N/A,#N/A,FALSE,"PL";#N/A,#N/A,FALSE,"Sum PL";#N/A,#N/A,FALSE,"PL Trend";#N/A,#N/A,FALSE,"Change"}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LY." localSheetId="25">{"1999MONTHLY",#N/A,FALSE,"MONTHLY";"2000MONTHLY",#N/A,FALSE,"MONTHLY";"2001MONTHLY",#N/A,FALSE,"MONTHLY"}</definedName>
    <definedName name="wrn.MONTHLY." localSheetId="20">{"1999MONTHLY",#N/A,FALSE,"MONTHLY";"2000MONTHLY",#N/A,FALSE,"MONTHLY";"2001MONTHLY",#N/A,FALSE,"MONTHLY"}</definedName>
    <definedName name="wrn.MONTHLY.">{"1999MONTHLY",#N/A,FALSE,"MONTHLY";"2000MONTHLY",#N/A,FALSE,"MONTHLY";"2001MONTHLY",#N/A,FALSE,"MONTHLY"}</definedName>
    <definedName name="wrn.Monthly._.and._.Quarterly." localSheetId="25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20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>{#N/A,#N/A,FALSE,"By Quarters";#N/A,#N/A,FALSE,"CONSOLIDATED";#N/A,#N/A,FALSE,"OCEAN";#N/A,#N/A,FALSE,"UNDERWATER";#N/A,#N/A,FALSE,"CMS";#N/A,#N/A,FALSE,"POLARIS";#N/A,#N/A,FALSE,"CORPORATE";#N/A,#N/A,FALSE,"ELIMINATING"}</definedName>
    <definedName name="wrn.Monthly._.Financials." localSheetId="25">{#N/A,#N/A,FALSE,"PL OCT";#N/A,#N/A,FALSE,"YTD";#N/A,#N/A,FALSE,"Trend03";#N/A,#N/A,FALSE,"03 BalSheet";#N/A,#N/A,FALSE,"Cash Flow"}</definedName>
    <definedName name="wrn.Monthly._.Financials." localSheetId="20">{#N/A,#N/A,FALSE,"PL OCT";#N/A,#N/A,FALSE,"YTD";#N/A,#N/A,FALSE,"Trend03";#N/A,#N/A,FALSE,"03 BalSheet";#N/A,#N/A,FALSE,"Cash Flow"}</definedName>
    <definedName name="wrn.Monthly._.Financials.">{#N/A,#N/A,FALSE,"PL OCT";#N/A,#N/A,FALSE,"YTD";#N/A,#N/A,FALSE,"Trend03";#N/A,#N/A,FALSE,"03 BalSheet";#N/A,#N/A,FALSE,"Cash Flow"}</definedName>
    <definedName name="wrn.Monthly._.MIFA._.Sheets." localSheetId="25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 localSheetId="20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localSheetId="25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localSheetId="20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localSheetId="25">{#N/A,#N/A,FALSE,"Quarterly BS";#N/A,#N/A,FALSE,"Balance Sheet";#N/A,#N/A,FALSE,"Quarterly CF";#N/A,#N/A,FALSE,"Cash Flow";#N/A,#N/A,FALSE,"EARNINGS"}</definedName>
    <definedName name="wrn.Monthly._.Report." localSheetId="20">{#N/A,#N/A,FALSE,"Quarterly BS";#N/A,#N/A,FALSE,"Balance Sheet";#N/A,#N/A,FALSE,"Quarterly CF";#N/A,#N/A,FALSE,"Cash Flow";#N/A,#N/A,FALSE,"EARNINGS"}</definedName>
    <definedName name="wrn.Monthly._.Report.">{#N/A,#N/A,FALSE,"Quarterly BS";#N/A,#N/A,FALSE,"Balance Sheet";#N/A,#N/A,FALSE,"Quarterly CF";#N/A,#N/A,FALSE,"Cash Flow";#N/A,#N/A,FALSE,"EARNINGS"}</definedName>
    <definedName name="wrn.MonthlyRentRoll." localSheetId="25">{"MonthlyRentRoll",#N/A,FALSE,"RentRoll"}</definedName>
    <definedName name="wrn.MonthlyRentRoll." localSheetId="20">{"MonthlyRentRoll",#N/A,FALSE,"RentRoll"}</definedName>
    <definedName name="wrn.MonthlyRentRoll.">{"MonthlyRentRoll",#N/A,FALSE,"RentRoll"}</definedName>
    <definedName name="wrn.MRA." localSheetId="25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 localSheetId="20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RA.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D._.CON._.VS._.BUDG." localSheetId="25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 localSheetId="20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._.VS._.BUDG.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localSheetId="25">{"MTD CONSOL IS",#N/A,FALSE,"CONSOL";"MTD CONSOL BS",#N/A,FALSE,"CONSOL";"MTD CONSOL CF",#N/A,FALSE,"CONSOL";"MTD CONSOL COGS",#N/A,FALSE,"CONSOL";"MTD CONSOL SGA",#N/A,FALSE,"CONSOL"}</definedName>
    <definedName name="wrn.MTD._.CONSOL._.STMTS." localSheetId="20">{"MTD CONSOL IS",#N/A,FALSE,"CONSOL";"MTD CONSOL BS",#N/A,FALSE,"CONSOL";"MTD CONSOL CF",#N/A,FALSE,"CONSOL";"MTD CONSOL COGS",#N/A,FALSE,"CONSOL";"MTD CONSOL SGA",#N/A,FALSE,"CONSOL"}</definedName>
    <definedName name="wrn.MTD._.CONSOL._.STMTS.">{"MTD CONSOL IS",#N/A,FALSE,"CONSOL";"MTD CONSOL BS",#N/A,FALSE,"CONSOL";"MTD CONSOL CF",#N/A,FALSE,"CONSOL";"MTD CONSOL COGS",#N/A,FALSE,"CONSOL";"MTD CONSOL SGA",#N/A,FALSE,"CONSOL"}</definedName>
    <definedName name="wrn.MTD._.CTT._.STMTS." localSheetId="25">{"MTD CTT IS",#N/A,FALSE,"CTT";"MTD CTT BS",#N/A,FALSE,"CTT";"MTD CTT CF",#N/A,FALSE,"CTT";"MTD CTT COGS",#N/A,FALSE,"CTT";"MTD CTT SGA",#N/A,FALSE,"CTT"}</definedName>
    <definedName name="wrn.MTD._.CTT._.STMTS." localSheetId="20">{"MTD CTT IS",#N/A,FALSE,"CTT";"MTD CTT BS",#N/A,FALSE,"CTT";"MTD CTT CF",#N/A,FALSE,"CTT";"MTD CTT COGS",#N/A,FALSE,"CTT";"MTD CTT SGA",#N/A,FALSE,"CTT"}</definedName>
    <definedName name="wrn.MTD._.CTT._.STMTS.">{"MTD CTT IS",#N/A,FALSE,"CTT";"MTD CTT BS",#N/A,FALSE,"CTT";"MTD CTT CF",#N/A,FALSE,"CTT";"MTD CTT COGS",#N/A,FALSE,"CTT";"MTD CTT SGA",#N/A,FALSE,"CTT"}</definedName>
    <definedName name="wrn.MTD._.CTT._.VS._.BUD." localSheetId="25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 localSheetId="20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CTT._.VS._.BUD.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localSheetId="25">{"MTD IS",#N/A,FALSE,"WLLC";"MTDBS",#N/A,FALSE,"WLLC";"MTDCF",#N/A,FALSE,"WLLC";"MTDCOGS",#N/A,FALSE,"WLLC";"MTDSGA",#N/A,FALSE,"WLLC"}</definedName>
    <definedName name="wrn.MTD._.WLLC._.STMTS." localSheetId="20">{"MTD IS",#N/A,FALSE,"WLLC";"MTDBS",#N/A,FALSE,"WLLC";"MTDCF",#N/A,FALSE,"WLLC";"MTDCOGS",#N/A,FALSE,"WLLC";"MTDSGA",#N/A,FALSE,"WLLC"}</definedName>
    <definedName name="wrn.MTD._.WLLC._.STMTS.">{"MTD IS",#N/A,FALSE,"WLLC";"MTDBS",#N/A,FALSE,"WLLC";"MTDCF",#N/A,FALSE,"WLLC";"MTDCOGS",#N/A,FALSE,"WLLC";"MTDSGA",#N/A,FALSE,"WLLC"}</definedName>
    <definedName name="wrn.MTD._.WLLC._.VS._.BUD." localSheetId="25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 localSheetId="20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D._.WLLC._.VS._.BUD.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NEW." localSheetId="25">{"Total P&amp;L",#N/A,FALSE,"P&amp;LTECH";"SUMPIPELINE",#N/A,FALSE,"P&amp;LTECH";"REVENUE",#N/A,FALSE,"P&amp;LTECH";"r&amp;d",#N/A,FALSE,"P&amp;LTECH"}</definedName>
    <definedName name="wrn.NEW." localSheetId="20">{"Total P&amp;L",#N/A,FALSE,"P&amp;LTECH";"SUMPIPELINE",#N/A,FALSE,"P&amp;LTECH";"REVENUE",#N/A,FALSE,"P&amp;LTECH";"r&amp;d",#N/A,FALSE,"P&amp;LTECH"}</definedName>
    <definedName name="wrn.NEW.">{"Total P&amp;L",#N/A,FALSE,"P&amp;LTECH";"SUMPIPELINE",#N/A,FALSE,"P&amp;LTECH";"REVENUE",#N/A,FALSE,"P&amp;LTECH";"r&amp;d",#N/A,FALSE,"P&amp;LTECH"}</definedName>
    <definedName name="wrn.newest." localSheetId="25">{#N/A,#N/A,TRUE,"TS";#N/A,#N/A,TRUE,"Combo";#N/A,#N/A,TRUE,"FAIR";#N/A,#N/A,TRUE,"RBC";#N/A,#N/A,TRUE,"xxxx"}</definedName>
    <definedName name="wrn.newest." localSheetId="20">{#N/A,#N/A,TRUE,"TS";#N/A,#N/A,TRUE,"Combo";#N/A,#N/A,TRUE,"FAIR";#N/A,#N/A,TRUE,"RBC";#N/A,#N/A,TRUE,"xxxx"}</definedName>
    <definedName name="wrn.newest.">{#N/A,#N/A,TRUE,"TS";#N/A,#N/A,TRUE,"Combo";#N/A,#N/A,TRUE,"FAIR";#N/A,#N/A,TRUE,"RBC";#N/A,#N/A,TRUE,"xxxx"}</definedName>
    <definedName name="wrn.NHEC." localSheetId="25">{"NHEC",#N/A,FALSE,"NHEC"}</definedName>
    <definedName name="wrn.NHEC." localSheetId="20">{"NHEC",#N/A,FALSE,"NHEC"}</definedName>
    <definedName name="wrn.NHEC.">{"NHEC",#N/A,FALSE,"NHEC"}</definedName>
    <definedName name="wrn.NOTES._.REC.." localSheetId="25">{#N/A,#N/A,FALSE,"H-1 Notes Receivable"}</definedName>
    <definedName name="wrn.NOTES._.REC.." localSheetId="20">{#N/A,#N/A,FALSE,"H-1 Notes Receivable"}</definedName>
    <definedName name="wrn.NOTES._.REC..">{#N/A,#N/A,FALSE,"H-1 Notes Receivable"}</definedName>
    <definedName name="wrn.November." localSheetId="25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20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RC._.Statements." localSheetId="25">{#N/A,#N/A,FALSE,"NRC Inc Stmnt";#N/A,#N/A,FALSE,"NRC Cash Flows"}</definedName>
    <definedName name="wrn.NRC._.Statements." localSheetId="20">{#N/A,#N/A,FALSE,"NRC Inc Stmnt";#N/A,#N/A,FALSE,"NRC Cash Flows"}</definedName>
    <definedName name="wrn.NRC._.Statements.">{#N/A,#N/A,FALSE,"NRC Inc Stmnt";#N/A,#N/A,FALSE,"NRC Cash Flows"}</definedName>
    <definedName name="wrn.ntfinance." localSheetId="25">{"Rate",#N/A,TRUE,"SUMMARY";"Ratios",#N/A,TRUE,"Ratios";"BUDGETREVENUE",#N/A,TRUE,"Revenue";"TOTALS",#N/A,TRUE,"DETAIL"}</definedName>
    <definedName name="wrn.ntfinance." localSheetId="20">{"Rate",#N/A,TRUE,"SUMMARY";"Ratios",#N/A,TRUE,"Ratios";"BUDGETREVENUE",#N/A,TRUE,"Revenue";"TOTALS",#N/A,TRUE,"DETAIL"}</definedName>
    <definedName name="wrn.ntfinance.">{"Rate",#N/A,TRUE,"SUMMARY";"Ratios",#N/A,TRUE,"Ratios";"BUDGETREVENUE",#N/A,TRUE,"Revenue";"TOTALS",#N/A,TRUE,"DETAIL"}</definedName>
    <definedName name="wrn.OCTOBER." localSheetId="25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20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ir." localSheetId="25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 localSheetId="20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fir.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peratingAssumtions." localSheetId="25">{#N/A,#N/A,FALSE,"OperatingAssumptions"}</definedName>
    <definedName name="wrn.OperatingAssumtions." localSheetId="20">{#N/A,#N/A,FALSE,"OperatingAssumptions"}</definedName>
    <definedName name="wrn.OperatingAssumtions.">{#N/A,#N/A,FALSE,"OperatingAssumptions"}</definedName>
    <definedName name="wrn.Opportunity._.Assessment." localSheetId="25">{#N/A,#N/A,TRUE,"Summary";#N/A,#N/A,TRUE,"Assumptions";#N/A,#N/A,TRUE,"Comparison";#N/A,#N/A,TRUE,"Financials";#N/A,#N/A,TRUE,"Plan v. Act"}</definedName>
    <definedName name="wrn.Opportunity._.Assessment." localSheetId="20">{#N/A,#N/A,TRUE,"Summary";#N/A,#N/A,TRUE,"Assumptions";#N/A,#N/A,TRUE,"Comparison";#N/A,#N/A,TRUE,"Financials";#N/A,#N/A,TRUE,"Plan v. Act"}</definedName>
    <definedName name="wrn.Opportunity._.Assessment.">{#N/A,#N/A,TRUE,"Summary";#N/A,#N/A,TRUE,"Assumptions";#N/A,#N/A,TRUE,"Comparison";#N/A,#N/A,TRUE,"Financials";#N/A,#N/A,TRUE,"Plan v. Act"}</definedName>
    <definedName name="wrn.OTHER._.INCOME." localSheetId="25">{#N/A,#N/A,FALSE,"0600-1 Other Income (Expense)"}</definedName>
    <definedName name="wrn.OTHER._.INCOME." localSheetId="20">{#N/A,#N/A,FALSE,"0600-1 Other Income (Expense)"}</definedName>
    <definedName name="wrn.OTHER._.INCOME.">{#N/A,#N/A,FALSE,"0600-1 Other Income (Expense)"}</definedName>
    <definedName name="wrn.Outlook." localSheetId="25">{#N/A,#N/A,FALSE,"Consol P&amp;L ";#N/A,#N/A,FALSE,"CP P&amp;L";#N/A,#N/A,FALSE,"ADS P&amp;L";#N/A,#N/A,FALSE,"Corp P&amp;L"}</definedName>
    <definedName name="wrn.Outlook." localSheetId="20">{#N/A,#N/A,FALSE,"Consol P&amp;L ";#N/A,#N/A,FALSE,"CP P&amp;L";#N/A,#N/A,FALSE,"ADS P&amp;L";#N/A,#N/A,FALSE,"Corp P&amp;L"}</definedName>
    <definedName name="wrn.Outlook.">{#N/A,#N/A,FALSE,"Consol P&amp;L ";#N/A,#N/A,FALSE,"CP P&amp;L";#N/A,#N/A,FALSE,"ADS P&amp;L";#N/A,#N/A,FALSE,"Corp P&amp;L"}</definedName>
    <definedName name="wrn.OUTPUT." localSheetId="25">{"DCF","UPSIDE CASE",FALSE,"Sheet1";"DCF","BASE CASE",FALSE,"Sheet1";"DCF","DOWNSIDE CASE",FALSE,"Sheet1"}</definedName>
    <definedName name="wrn.OUTPUT." localSheetId="20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Package." localSheetId="25">{#N/A,#N/A,FALSE,"PL NOV";#N/A,#N/A,FALSE,"Trend00";#N/A,#N/A,FALSE,"YTD";#N/A,#N/A,FALSE,"00 balSheet";#N/A,#N/A,FALSE,"Bank BalSh"}</definedName>
    <definedName name="wrn.Package." localSheetId="20">{#N/A,#N/A,FALSE,"PL NOV";#N/A,#N/A,FALSE,"Trend00";#N/A,#N/A,FALSE,"YTD";#N/A,#N/A,FALSE,"00 balSheet";#N/A,#N/A,FALSE,"Bank BalSh"}</definedName>
    <definedName name="wrn.Package.">{#N/A,#N/A,FALSE,"PL NOV";#N/A,#N/A,FALSE,"Trend00";#N/A,#N/A,FALSE,"YTD";#N/A,#N/A,FALSE,"00 balSheet";#N/A,#N/A,FALSE,"Bank BalSh"}</definedName>
    <definedName name="wrn.packer._.1." localSheetId="25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20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localSheetId="25">{#N/A,#N/A,FALSE,"Job Sched"}</definedName>
    <definedName name="wrn.PAGE._.1." localSheetId="20">{#N/A,#N/A,FALSE,"Job Sched"}</definedName>
    <definedName name="wrn.PAGE._.1.">{#N/A,#N/A,FALSE,"Job Sched"}</definedName>
    <definedName name="wrn.PAGE._.2." localSheetId="25">{"PAGE 2",#N/A,FALSE,"WEST_OT"}</definedName>
    <definedName name="wrn.PAGE._.2." localSheetId="20">{"PAGE 2",#N/A,FALSE,"WEST_OT"}</definedName>
    <definedName name="wrn.PAGE._.2.">{"PAGE 2",#N/A,FALSE,"WEST_OT"}</definedName>
    <definedName name="wrn.PAGE._.3." localSheetId="25">{"PAGE 2",#N/A,FALSE,"WEST_OT"}</definedName>
    <definedName name="wrn.PAGE._.3." localSheetId="20">{"PAGE 2",#N/A,FALSE,"WEST_OT"}</definedName>
    <definedName name="wrn.PAGE._.3.">{"PAGE 2",#N/A,FALSE,"WEST_OT"}</definedName>
    <definedName name="wrn.PandLs." localSheetId="25">{#N/A,#N/A,FALSE,"Q2 Forecast";#N/A,#N/A,FALSE,"P&amp;L Stds ";#N/A,#N/A,FALSE,"P&amp;L GQS ";#N/A,#N/A,FALSE,"P&amp;L PS ";#N/A,#N/A,FALSE,"P&amp;L Insp"}</definedName>
    <definedName name="wrn.PandLs." localSheetId="20">{#N/A,#N/A,FALSE,"Q2 Forecast";#N/A,#N/A,FALSE,"P&amp;L Stds ";#N/A,#N/A,FALSE,"P&amp;L GQS ";#N/A,#N/A,FALSE,"P&amp;L PS ";#N/A,#N/A,FALSE,"P&amp;L Insp"}</definedName>
    <definedName name="wrn.PandLs.">{#N/A,#N/A,FALSE,"Q2 Forecast";#N/A,#N/A,FALSE,"P&amp;L Stds ";#N/A,#N/A,FALSE,"P&amp;L GQS ";#N/A,#N/A,FALSE,"P&amp;L PS ";#N/A,#N/A,FALSE,"P&amp;L Insp"}</definedName>
    <definedName name="wrn.Part._.1." localSheetId="25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 localSheetId="20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2." localSheetId="25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 localSheetId="20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ialFncls." localSheetId="25">{#N/A,#N/A,FALSE,"Income Statement";#N/A,#N/A,FALSE,"Balance Sheet";#N/A,#N/A,FALSE,"Cash Flows";#N/A,#N/A,FALSE,"Ratios"}</definedName>
    <definedName name="wrn.PartialFncls." localSheetId="20">{#N/A,#N/A,FALSE,"Income Statement";#N/A,#N/A,FALSE,"Balance Sheet";#N/A,#N/A,FALSE,"Cash Flows";#N/A,#N/A,FALSE,"Ratios"}</definedName>
    <definedName name="wrn.PartialFncls.">{#N/A,#N/A,FALSE,"Income Statement";#N/A,#N/A,FALSE,"Balance Sheet";#N/A,#N/A,FALSE,"Cash Flows";#N/A,#N/A,FALSE,"Ratios"}</definedName>
    <definedName name="wrn.Passport._.Financials._.Individual._.Pages." localSheetId="25">{"Large Comps",#N/A,FALSE,"Comparable companies";"Small Comps",#N/A,FALSE,"Comparable companies"}</definedName>
    <definedName name="wrn.Passport._.Financials._.Individual._.Pages." localSheetId="20">{"Large Comps",#N/A,FALSE,"Comparable companies";"Small Comps",#N/A,FALSE,"Comparable companies"}</definedName>
    <definedName name="wrn.Passport._.Financials._.Individual._.Pages.">{"Large Comps",#N/A,FALSE,"Comparable companies";"Small Comps",#N/A,FALSE,"Comparable companies"}</definedName>
    <definedName name="wrn.perimeter._.comp." localSheetId="25">{#N/A,#N/A,TRUE,"comp";#N/A,#N/A,TRUE,"notes"}</definedName>
    <definedName name="wrn.perimeter._.comp." localSheetId="20">{#N/A,#N/A,TRUE,"comp";#N/A,#N/A,TRUE,"notes"}</definedName>
    <definedName name="wrn.perimeter._.comp.">{#N/A,#N/A,TRUE,"comp";#N/A,#N/A,TRUE,"notes"}</definedName>
    <definedName name="wrn.Period._.1._.Financial._.Statements." localSheetId="25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 localSheetId="20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localSheetId="25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 localSheetId="20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localSheetId="25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 localSheetId="20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localSheetId="25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 localSheetId="20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localSheetId="25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 localSheetId="20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localSheetId="25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 localSheetId="20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localSheetId="25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 localSheetId="20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localSheetId="25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 localSheetId="20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localSheetId="25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 localSheetId="20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localSheetId="25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 localSheetId="20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localSheetId="25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 localSheetId="20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localSheetId="25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 localSheetId="20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Only." localSheetId="25">{#N/A,#N/A,FALSE,"CONSOLIDATED";#N/A,#N/A,FALSE,"LANCE CO";#N/A,#N/A,FALSE,"VISTA"}</definedName>
    <definedName name="wrn.Period._.Only." localSheetId="20">{#N/A,#N/A,FALSE,"CONSOLIDATED";#N/A,#N/A,FALSE,"LANCE CO";#N/A,#N/A,FALSE,"VISTA"}</definedName>
    <definedName name="wrn.Period._.Only.">{#N/A,#N/A,FALSE,"CONSOLIDATED";#N/A,#N/A,FALSE,"LANCE CO";#N/A,#N/A,FALSE,"VISTA"}</definedName>
    <definedName name="wrn.Pianocomp." localSheetId="25">{"page_1",#N/A,TRUE,"Sheet1";"page_2",#N/A,TRUE,"Sheet1";"page_notes",#N/A,TRUE,"Sheet1"}</definedName>
    <definedName name="wrn.Pianocomp." localSheetId="20">{"page_1",#N/A,TRUE,"Sheet1";"page_2",#N/A,TRUE,"Sheet1";"page_notes",#N/A,TRUE,"Sheet1"}</definedName>
    <definedName name="wrn.Pianocomp.">{"page_1",#N/A,TRUE,"Sheet1";"page_2",#N/A,TRUE,"Sheet1";"page_notes",#N/A,TRUE,"Sheet1"}</definedName>
    <definedName name="wrn.PL_All." localSheetId="25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All." localSheetId="20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All.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1990." localSheetId="25">{"PL1990",#N/A,FALSE,"90-91"}</definedName>
    <definedName name="wrn.PL1990." localSheetId="20">{"PL1990",#N/A,FALSE,"90-91"}</definedName>
    <definedName name="wrn.PL1990.">{"PL1990",#N/A,FALSE,"90-91"}</definedName>
    <definedName name="wrn.PL1991." localSheetId="25">{"PL1991",#N/A,FALSE,"90-91"}</definedName>
    <definedName name="wrn.PL1991." localSheetId="20">{"PL1991",#N/A,FALSE,"90-91"}</definedName>
    <definedName name="wrn.PL1991.">{"PL1991",#N/A,FALSE,"90-91"}</definedName>
    <definedName name="wrn.PL1992." localSheetId="25">{"PL1992",#N/A,FALSE,"90-91"}</definedName>
    <definedName name="wrn.PL1992." localSheetId="20">{"PL1992",#N/A,FALSE,"90-91"}</definedName>
    <definedName name="wrn.PL1992.">{"PL1992",#N/A,FALSE,"90-91"}</definedName>
    <definedName name="wrn.PL1993." localSheetId="25">{"PL1993",#N/A,FALSE,"90-91"}</definedName>
    <definedName name="wrn.PL1993." localSheetId="20">{"PL1993",#N/A,FALSE,"90-91"}</definedName>
    <definedName name="wrn.PL1993.">{"PL1993",#N/A,FALSE,"90-91"}</definedName>
    <definedName name="wrn.PL1994." localSheetId="25">{"PL1994",#N/A,FALSE,"90-91"}</definedName>
    <definedName name="wrn.PL1994." localSheetId="20">{"PL1994",#N/A,FALSE,"90-91"}</definedName>
    <definedName name="wrn.PL1994.">{"PL1994",#N/A,FALSE,"90-91"}</definedName>
    <definedName name="wrn.PLAN." localSheetId="25">{#N/A,#N/A,FALSE,"5YRPL";#N/A,#N/A,FALSE,"3YRPL"}</definedName>
    <definedName name="wrn.PLAN." localSheetId="20">{#N/A,#N/A,FALSE,"5YRPL";#N/A,#N/A,FALSE,"3YRPL"}</definedName>
    <definedName name="wrn.PLAN.">{#N/A,#N/A,FALSE,"5YRPL";#N/A,#N/A,FALSE,"3YRPL"}</definedName>
    <definedName name="wrn.Plan._.Sheets." localSheetId="25">{#N/A,#N/A,TRUE,"95 Consolidated Forecast";#N/A,#N/A,TRUE,"95 Consolidated Frcst per Gal";#N/A,#N/A,TRUE,"96 Consolidated Plan";#N/A,#N/A,TRUE,"96 Consolidated per Gallon"}</definedName>
    <definedName name="wrn.Plan._.Sheets." localSheetId="20">{#N/A,#N/A,TRUE,"95 Consolidated Forecast";#N/A,#N/A,TRUE,"95 Consolidated Frcst per Gal";#N/A,#N/A,TRUE,"96 Consolidated Plan";#N/A,#N/A,TRUE,"96 Consolidated per Gallon"}</definedName>
    <definedName name="wrn.Plan._.Sheets.">{#N/A,#N/A,TRUE,"95 Consolidated Forecast";#N/A,#N/A,TRUE,"95 Consolidated Frcst per Gal";#N/A,#N/A,TRUE,"96 Consolidated Plan";#N/A,#N/A,TRUE,"96 Consolidated per Gallon"}</definedName>
    <definedName name="wrn.PLVar." localSheetId="25">{"PLVar",#N/A,FALSE,"P&amp;L"}</definedName>
    <definedName name="wrn.PLVar." localSheetId="20">{"PLVar",#N/A,FALSE,"P&amp;L"}</definedName>
    <definedName name="wrn.PLVar.">{"PLVar",#N/A,FALSE,"P&amp;L"}</definedName>
    <definedName name="wrn.PLX." localSheetId="25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20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BFinancials.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PAIDS." localSheetId="25">{#N/A,#N/A,FALSE,"G-1 Prepaid Expenses-Other";#N/A,#N/A,FALSE,"G-2 Prepaid Property Taxes";#N/A,#N/A,FALSE,"G-3 Prepaid Insurance "}</definedName>
    <definedName name="wrn.PREPAIDS." localSheetId="20">{#N/A,#N/A,FALSE,"G-1 Prepaid Expenses-Other";#N/A,#N/A,FALSE,"G-2 Prepaid Property Taxes";#N/A,#N/A,FALSE,"G-3 Prepaid Insurance "}</definedName>
    <definedName name="wrn.PREPAIDS.">{#N/A,#N/A,FALSE,"G-1 Prepaid Expenses-Other";#N/A,#N/A,FALSE,"G-2 Prepaid Property Taxes";#N/A,#N/A,FALSE,"G-3 Prepaid Insurance "}</definedName>
    <definedName name="wrn.PRES_OUT." localSheetId="25">{"page1",#N/A,FALSE,"PRESENTATION";"page2",#N/A,FALSE,"PRESENTATION";#N/A,#N/A,FALSE,"Valuation Summary"}</definedName>
    <definedName name="wrn.PRES_OUT." localSheetId="20">{"page1",#N/A,FALSE,"PRESENTATION";"page2",#N/A,FALSE,"PRESENTATION";#N/A,#N/A,FALSE,"Valuation Summary"}</definedName>
    <definedName name="wrn.PRES_OUT.">{"page1",#N/A,FALSE,"PRESENTATION";"page2",#N/A,FALSE,"PRESENTATION";#N/A,#N/A,FALSE,"Valuation Summary"}</definedName>
    <definedName name="wrn.PRES_OUT2" localSheetId="25">{"page1",#N/A,FALSE,"PRESENTATION";"page2",#N/A,FALSE,"PRESENTATION";#N/A,#N/A,FALSE,"Valuation Summary"}</definedName>
    <definedName name="wrn.PRES_OUT2" localSheetId="20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 localSheetId="25">{"page1",#N/A,FALSE,"PRESENTATION";"page2",#N/A,FALSE,"PRESENTATION";#N/A,#N/A,FALSE,"Valuation Summary"}</definedName>
    <definedName name="wrn.Pres_OUT3" localSheetId="20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 localSheetId="25">{"page1",#N/A,FALSE,"PRESENTATION";"page2",#N/A,FALSE,"PRESENTATION";#N/A,#N/A,FALSE,"Valuation Summary"}</definedName>
    <definedName name="wrn.PRES_OUT4" localSheetId="20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 localSheetId="25">{"page1",#N/A,FALSE,"PRESENTATION";"page2",#N/A,FALSE,"PRESENTATION";#N/A,#N/A,FALSE,"Valuation Summary"}</definedName>
    <definedName name="wrn.PRES_OUT5" localSheetId="20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 localSheetId="25">{"page1",#N/A,FALSE,"PRESENTATION";"page2",#N/A,FALSE,"PRESENTATION";#N/A,#N/A,FALSE,"Valuation Summary"}</definedName>
    <definedName name="wrn.PRES_OUT6" localSheetId="20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 localSheetId="25">{"page1",#N/A,FALSE,"PRESENTATION";"page2",#N/A,FALSE,"PRESENTATION";#N/A,#N/A,FALSE,"Valuation Summary"}</definedName>
    <definedName name="wrn.PRES_OUT8" localSheetId="20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esentation." localSheetId="25">{#N/A,#N/A,TRUE,"Summary";"AnnualRentRoll",#N/A,TRUE,"RentRoll";#N/A,#N/A,TRUE,"ExitStratigy";#N/A,#N/A,TRUE,"OperatingAssumptions"}</definedName>
    <definedName name="wrn.Presentation." localSheetId="20">{#N/A,#N/A,TRUE,"Summary";"AnnualRentRoll",#N/A,TRUE,"RentRoll";#N/A,#N/A,TRUE,"ExitStratigy";#N/A,#N/A,TRUE,"OperatingAssumptions"}</definedName>
    <definedName name="wrn.Presentation.">{#N/A,#N/A,TRUE,"Summary";"AnnualRentRoll",#N/A,TRUE,"RentRoll";#N/A,#N/A,TRUE,"ExitStratigy";#N/A,#N/A,TRUE,"OperatingAssumptions"}</definedName>
    <definedName name="wrn.print." localSheetId="25">{#N/A,#N/A,FALSE,"Japan 2003";#N/A,#N/A,FALSE,"Sheet2"}</definedName>
    <definedName name="wrn.print." localSheetId="20">{#N/A,#N/A,FALSE,"Japan 2003";#N/A,#N/A,FALSE,"Sheet2"}</definedName>
    <definedName name="wrn.print.">{#N/A,#N/A,FALSE,"Japan 2003";#N/A,#N/A,FALSE,"Sheet2"}</definedName>
    <definedName name="wrn.Print._.4." localSheetId="25">{"Outflow 1",#N/A,FALSE,"Outflows-Inflows";"Outflow 2",#N/A,FALSE,"Outflows-Inflows";"Inflow 1",#N/A,FALSE,"Outflows-Inflows";"Inflow 2",#N/A,FALSE,"Outflows-Inflows"}</definedName>
    <definedName name="wrn.Print._.4." localSheetId="20">{"Outflow 1",#N/A,FALSE,"Outflows-Inflows";"Outflow 2",#N/A,FALSE,"Outflows-Inflows";"Inflow 1",#N/A,FALSE,"Outflows-Inflows";"Inflow 2",#N/A,FALSE,"Outflows-Inflows"}</definedName>
    <definedName name="wrn.Print._.4.">{"Outflow 1",#N/A,FALSE,"Outflows-Inflows";"Outflow 2",#N/A,FALSE,"Outflows-Inflows";"Inflow 1",#N/A,FALSE,"Outflows-Inflows";"Inflow 2",#N/A,FALSE,"Outflows-Inflows"}</definedName>
    <definedName name="wrn.Print._.6." localSheetId="25">{"print 1.6",#N/A,FALSE,"Sheet1";"print 2.6",#N/A,FALSE,"Sheet1";"print 3.6",#N/A,FALSE,"Sheet1";"print 4.6",#N/A,FALSE,"Sheet1";"print 5.6",#N/A,FALSE,"Sheet1";"print 6.6",#N/A,FALSE,"Sheet1"}</definedName>
    <definedName name="wrn.Print._.6." localSheetId="20">{"print 1.6",#N/A,FALSE,"Sheet1";"print 2.6",#N/A,FALSE,"Sheet1";"print 3.6",#N/A,FALSE,"Sheet1";"print 4.6",#N/A,FALSE,"Sheet1";"print 5.6",#N/A,FALSE,"Sheet1";"print 6.6",#N/A,FALSE,"Sheet1"}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All." localSheetId="25">{#N/A,#N/A,FALSE,"Land";#N/A,#N/A,FALSE,"Cost Analysis";"Summary",#N/A,FALSE,"Equipment"}</definedName>
    <definedName name="wrn.Print._.All." localSheetId="20">{#N/A,#N/A,FALSE,"Land";#N/A,#N/A,FALSE,"Cost Analysis";"Summary",#N/A,FALSE,"Equipment"}</definedName>
    <definedName name="wrn.Print._.All.">{#N/A,#N/A,FALSE,"Land";#N/A,#N/A,FALSE,"Cost Analysis";"Summary",#N/A,FALSE,"Equipment"}</definedName>
    <definedName name="wrn.Print._.all._.GLI._.Reports." localSheetId="25">{"GLI-Income Statement",#N/A,FALSE,"gli";"GLI - Balance Sheet Wksht",#N/A,FALSE,"gli";"GLI-Cash Flow",#N/A,FALSE,"gli";"GLI Qtrly Stats",#N/A,FALSE,"gli"}</definedName>
    <definedName name="wrn.Print._.all._.GLI._.Reports." localSheetId="20">{"GLI-Income Statement",#N/A,FALSE,"gli";"GLI - Balance Sheet Wksht",#N/A,FALSE,"gli";"GLI-Cash Flow",#N/A,FALSE,"gli";"GLI Qtrly Stats",#N/A,FALSE,"gli"}</definedName>
    <definedName name="wrn.Print._.all._.GLI._.Reports.">{"GLI-Income Statement",#N/A,FALSE,"gli";"GLI - Balance Sheet Wksht",#N/A,FALSE,"gli";"GLI-Cash Flow",#N/A,FALSE,"gli";"GLI Qtrly Stats",#N/A,FALSE,"gli"}</definedName>
    <definedName name="wrn.Print._.All._.Pages." localSheetId="25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20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25">{"summary",#N/A,FALSE,"Valuation Analysis";"assumptions1",#N/A,FALSE,"Valuation Analysis";"assumptions2",#N/A,FALSE,"Valuation Analysis"}</definedName>
    <definedName name="wrn.print._.all._.sheets." localSheetId="20">{"summary",#N/A,FALSE,"Valuation Analysis";"assumptions1",#N/A,FALSE,"Valuation Analysis";"assumptions2",#N/A,FALSE,"Valuation Analysis"}</definedName>
    <definedName name="wrn.print._.all._.sheets.">{"summary",#N/A,FALSE,"Valuation Analysis";"assumptions1",#N/A,FALSE,"Valuation Analysis";"assumptions2",#N/A,FALSE,"Valuation Analysis"}</definedName>
    <definedName name="wrn.Print._.Documents." localSheetId="25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cuments." localSheetId="20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cuments.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graphs." localSheetId="25">{"cap_structure",#N/A,FALSE,"Graph-Mkt Cap";"price",#N/A,FALSE,"Graph-Price";"ebit",#N/A,FALSE,"Graph-EBITDA";"ebitda",#N/A,FALSE,"Graph-EBITDA"}</definedName>
    <definedName name="wrn.print._.graphs." localSheetId="20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raw._.data._.entry." localSheetId="25">{"inputs raw data",#N/A,TRUE,"INPUT"}</definedName>
    <definedName name="wrn.print._.raw._.data._.entry." localSheetId="20">{"inputs raw data",#N/A,TRUE,"INPUT"}</definedName>
    <definedName name="wrn.print._.raw._.data._.entry.">{"inputs raw data",#N/A,TRUE,"INPUT"}</definedName>
    <definedName name="wrn.Print._.Report." localSheetId="25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 localSheetId="20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standalone." localSheetId="25">{"standalone1",#N/A,FALSE,"DCFBase";"standalone2",#N/A,FALSE,"DCFBase"}</definedName>
    <definedName name="wrn.print._.standalone." localSheetId="20">{"standalone1",#N/A,FALSE,"DCFBase";"standalone2",#N/A,FALSE,"DCFBase"}</definedName>
    <definedName name="wrn.print._.standalone.">{"standalone1",#N/A,FALSE,"DCFBase";"standalone2",#N/A,FALSE,"DCFBase"}</definedName>
    <definedName name="wrn.print._.summary._.sheets." localSheetId="25">{"summary1",#N/A,TRUE,"Comps";"summary2",#N/A,TRUE,"Comps";"summary3",#N/A,TRUE,"Comps"}</definedName>
    <definedName name="wrn.print._.summary._.sheets." localSheetId="20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_All." localSheetId="25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20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Earnings_template." localSheetId="25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20">{"by_month",#N/A,TRUE,"template";"destec_month",#N/A,TRUE,"template";"by_quarter",#N/A,TRUE,"template";"destec_quarter",#N/A,TRUE,"template";"by_year",#N/A,TRUE,"template";"destec_annual",#N/A,TRUE,"template"}</definedName>
    <definedName name="wrn.Print_Earnings_template.">{"by_month",#N/A,TRUE,"template";"destec_month",#N/A,TRUE,"template";"by_quarter",#N/A,TRUE,"template";"destec_quarter",#N/A,TRUE,"template";"by_year",#N/A,TRUE,"template";"destec_annual",#N/A,TRUE,"template"}</definedName>
    <definedName name="wrn.Print_Index." localSheetId="25">{"Index",#N/A,FALSE,"Index"}</definedName>
    <definedName name="wrn.Print_Index." localSheetId="20">{"Index",#N/A,FALSE,"Index"}</definedName>
    <definedName name="wrn.Print_Index.">{"Index",#N/A,FALSE,"Index"}</definedName>
    <definedName name="wrn.Print_model." localSheetId="25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20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Var_page." localSheetId="25">{"var_page",#N/A,FALSE,"template"}</definedName>
    <definedName name="wrn.Print_Var_page." localSheetId="20">{"var_page",#N/A,FALSE,"template"}</definedName>
    <definedName name="wrn.Print_Var_page.">{"var_page",#N/A,FALSE,"template"}</definedName>
    <definedName name="wrn.PRINT2." localSheetId="25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localSheetId="20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localSheetId="25">{#N/A,#N/A,FALSE,"Op-BS";#N/A,#N/A,FALSE,"Assum";#N/A,#N/A,FALSE,"IS";#N/A,#N/A,FALSE,"Syn+Elim";#N/A,#N/A,FALSE,"BSCF";#N/A,#N/A,FALSE,"Blue_IS";#N/A,#N/A,FALSE,"Blue_BSCF";#N/A,#N/A,FALSE,"Ratings"}</definedName>
    <definedName name="wrn.printac." localSheetId="20">{#N/A,#N/A,FALSE,"Op-BS";#N/A,#N/A,FALSE,"Assum";#N/A,#N/A,FALSE,"IS";#N/A,#N/A,FALSE,"Syn+Elim";#N/A,#N/A,FALSE,"BSCF";#N/A,#N/A,FALSE,"Blue_IS";#N/A,#N/A,FALSE,"Blue_BSCF";#N/A,#N/A,FALSE,"Ratings"}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ll." localSheetId="25">{"PA1",#N/A,TRUE,"BORDMW";"pa2",#N/A,TRUE,"BORDMW";"PA3",#N/A,TRUE,"BORDMW";"PA4",#N/A,TRUE,"BORDMW"}</definedName>
    <definedName name="wrn.PrintAll." localSheetId="20">{"PA1",#N/A,TRUE,"BORDMW";"pa2",#N/A,TRUE,"BORDMW";"PA3",#N/A,TRUE,"BORDMW";"PA4",#N/A,TRUE,"BORDMW"}</definedName>
    <definedName name="wrn.PrintAll.">{"PA1",#N/A,TRUE,"BORDMW";"pa2",#N/A,TRUE,"BORDMW";"PA3",#N/A,TRUE,"BORDMW";"PA4",#N/A,TRUE,"BORDMW"}</definedName>
    <definedName name="wrn.Printfinancialsmth." localSheetId="25">{"incomemth",#N/A,TRUE,"forecast00";"incomepercentmth",#N/A,TRUE,"forecast00";"balancemth",#N/A,TRUE,"forecast00";"cashmth",#N/A,TRUE,"forecast00";"covenantmth",#N/A,TRUE,"forecast00"}</definedName>
    <definedName name="wrn.Printfinancialsmth." localSheetId="20">{"incomemth",#N/A,TRUE,"forecast00";"incomepercentmth",#N/A,TRUE,"forecast00";"balancemth",#N/A,TRUE,"forecast00";"cashmth",#N/A,TRUE,"forecast00";"covenantmth",#N/A,TRUE,"forecast00"}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ing." localSheetId="25">{"pg1",#N/A,FALSE,"round2";"pg2",#N/A,FALSE,"round2"}</definedName>
    <definedName name="wrn.printing." localSheetId="20">{"pg1",#N/A,FALSE,"round2";"pg2",#N/A,FALSE,"round2"}</definedName>
    <definedName name="wrn.printing.">{"pg1",#N/A,FALSE,"round2";"pg2",#N/A,FALSE,"round2"}</definedName>
    <definedName name="wrn.PROFIT_LOSS." localSheetId="25">{"רווה_מסכם",#N/A,FALSE,"p&amp;l";"באור_תפעול",#N/A,FALSE,"operation";"באור_מופ",#N/A,FALSE,"R&amp;D";"באור_שיווק",#N/A,FALSE,"M&amp;S";"באור_הנהלה",#N/A,FALSE,"g&amp;a"}</definedName>
    <definedName name="wrn.PROFIT_LOSS." localSheetId="20">{"רווה_מסכם",#N/A,FALSE,"p&amp;l";"באור_תפעול",#N/A,FALSE,"operation";"באור_מופ",#N/A,FALSE,"R&amp;D";"באור_שיווק",#N/A,FALSE,"M&amp;S";"באור_הנהלה",#N/A,FALSE,"g&amp;a"}</definedName>
    <definedName name="wrn.PROFIT_LOSS.">{"רווה_מסכם",#N/A,FALSE,"p&amp;l";"באור_תפעול",#N/A,FALSE,"operation";"באור_מופ",#N/A,FALSE,"R&amp;D";"באור_שיווק",#N/A,FALSE,"M&amp;S";"באור_הנהלה",#N/A,FALSE,"g&amp;a"}</definedName>
    <definedName name="wrn.Projections." localSheetId="25">{"Volume",#N/A,FALSE,"volume";"revenue",#N/A,FALSE,"revenue"}</definedName>
    <definedName name="wrn.Projections." localSheetId="20">{"Volume",#N/A,FALSE,"volume";"revenue",#N/A,FALSE,"revenue"}</definedName>
    <definedName name="wrn.Projections.">{"Volume",#N/A,FALSE,"volume";"revenue",#N/A,FALSE,"revenue"}</definedName>
    <definedName name="wrn.PROPERTY._.AND._.EQUIP.." localSheetId="25">{#N/A,#N/A,FALSE,"M-1 Property and Equipment";#N/A,#N/A,FALSE,"M-2 Asset Additions";#N/A,#N/A,FALSE,"M-3 Property Disposals"}</definedName>
    <definedName name="wrn.PROPERTY._.AND._.EQUIP.." localSheetId="20">{#N/A,#N/A,FALSE,"M-1 Property and Equipment";#N/A,#N/A,FALSE,"M-2 Asset Additions";#N/A,#N/A,FALSE,"M-3 Property Disposals"}</definedName>
    <definedName name="wrn.PROPERTY._.AND._.EQUIP..">{#N/A,#N/A,FALSE,"M-1 Property and Equipment";#N/A,#N/A,FALSE,"M-2 Asset Additions";#N/A,#N/A,FALSE,"M-3 Property Disposals"}</definedName>
    <definedName name="wrn.PropertyInformation." localSheetId="25">{#N/A,#N/A,FALSE,"PropertyInfo"}</definedName>
    <definedName name="wrn.PropertyInformation." localSheetId="20">{#N/A,#N/A,FALSE,"PropertyInfo"}</definedName>
    <definedName name="wrn.PropertyInformation.">{#N/A,#N/A,FALSE,"PropertyInfo"}</definedName>
    <definedName name="wrn.Pulp." localSheetId="25">{"Pulp Production",#N/A,FALSE,"Pulp";"Pulp Earnings",#N/A,FALSE,"Pulp"}</definedName>
    <definedName name="wrn.Pulp." localSheetId="20">{"Pulp Production",#N/A,FALSE,"Pulp";"Pulp Earnings",#N/A,FALSE,"Pulp"}</definedName>
    <definedName name="wrn.Pulp.">{"Pulp Production",#N/A,FALSE,"Pulp";"Pulp Earnings",#N/A,FALSE,"Pulp"}</definedName>
    <definedName name="wrn.Pulp.2" localSheetId="25">{"Pulp Production",#N/A,FALSE,"Pulp";"Pulp Earnings",#N/A,FALSE,"Pulp"}</definedName>
    <definedName name="wrn.Pulp.2" localSheetId="20">{"Pulp Production",#N/A,FALSE,"Pulp";"Pulp Earnings",#N/A,FALSE,"Pulp"}</definedName>
    <definedName name="wrn.Pulp.2">{"Pulp Production",#N/A,FALSE,"Pulp";"Pulp Earnings",#N/A,FALSE,"Pulp"}</definedName>
    <definedName name="wrn.Pulp.3" localSheetId="25">{"Pulp Production",#N/A,FALSE,"Pulp";"Pulp Earnings",#N/A,FALSE,"Pulp"}</definedName>
    <definedName name="wrn.Pulp.3" localSheetId="20">{"Pulp Production",#N/A,FALSE,"Pulp";"Pulp Earnings",#N/A,FALSE,"Pulp"}</definedName>
    <definedName name="wrn.Pulp.3">{"Pulp Production",#N/A,FALSE,"Pulp";"Pulp Earnings",#N/A,FALSE,"Pulp"}</definedName>
    <definedName name="wrn.Pump." localSheetId="25">{#N/A,#N/A,FALSE,"Assump";#N/A,#N/A,FALSE,"Income";#N/A,#N/A,FALSE,"Balance";#N/A,#N/A,FALSE,"DCF Pump";#N/A,#N/A,FALSE,"Trans Assump";#N/A,#N/A,FALSE,"Combined Income";#N/A,#N/A,FALSE,"Combined Balance"}</definedName>
    <definedName name="wrn.Pump." localSheetId="20">{#N/A,#N/A,FALSE,"Assump";#N/A,#N/A,FALSE,"Income";#N/A,#N/A,FALSE,"Balance";#N/A,#N/A,FALSE,"DCF Pump";#N/A,#N/A,FALSE,"Trans Assump";#N/A,#N/A,FALSE,"Combined Income";#N/A,#N/A,FALSE,"Combined Balance"}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Purchase._.Macro." localSheetId="25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 localSheetId="20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Purchase._.Macro.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tr._.3." localSheetId="25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" localSheetId="20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localSheetId="25">{"QTR1PGIBS",#N/A,FALSE,"Qtr 1 PGI";"QTR1PGIPL",#N/A,FALSE,"Qtr 1 PGI";"QTR1PGICF",#N/A,FALSE,"Qtr 1 PGI";"QTR1BS",#N/A,FALSE,"Qtr 1 ";"QTR1PL",#N/A,FALSE,"Qtr 1 ";"QTR1CF",#N/A,FALSE,"Qtr 1 "}</definedName>
    <definedName name="wrn.QTR1." localSheetId="20">{"QTR1PGIBS",#N/A,FALSE,"Qtr 1 PGI";"QTR1PGIPL",#N/A,FALSE,"Qtr 1 PGI";"QTR1PGICF",#N/A,FALSE,"Qtr 1 PGI";"QTR1BS",#N/A,FALSE,"Qtr 1 ";"QTR1PL",#N/A,FALSE,"Qtr 1 ";"QTR1CF",#N/A,FALSE,"Qtr 1 "}</definedName>
    <definedName name="wrn.QTR1.">{"QTR1PGIBS",#N/A,FALSE,"Qtr 1 PGI";"QTR1PGIPL",#N/A,FALSE,"Qtr 1 PGI";"QTR1PGICF",#N/A,FALSE,"Qtr 1 PGI";"QTR1BS",#N/A,FALSE,"Qtr 1 ";"QTR1PL",#N/A,FALSE,"Qtr 1 ";"QTR1CF",#N/A,FALSE,"Qtr 1 "}</definedName>
    <definedName name="wrn.Qtr2." localSheetId="25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" localSheetId="20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localSheetId="25">{"QTRLY1999",#N/A,FALSE,"QTRLY";"QTRLY2000",#N/A,FALSE,"QTRLY";"QTRLY2001",#N/A,FALSE,"QTRLY"}</definedName>
    <definedName name="wrn.QTRLY." localSheetId="20">{"QTRLY1999",#N/A,FALSE,"QTRLY";"QTRLY2000",#N/A,FALSE,"QTRLY";"QTRLY2001",#N/A,FALSE,"QTRLY"}</definedName>
    <definedName name="wrn.QTRLY.">{"QTRLY1999",#N/A,FALSE,"QTRLY";"QTRLY2000",#N/A,FALSE,"QTRLY";"QTRLY2001",#N/A,FALSE,"QTRLY"}</definedName>
    <definedName name="wrn.QUARTERLY." localSheetId="25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20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MIFA._.Sheets." localSheetId="25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 localSheetId="20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localSheetId="25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localSheetId="20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ick_pool." localSheetId="25">{"pool1",#N/A,FALSE,"tcb-spbc";"pool2",#N/A,FALSE,"tcb-spbc";"pool3",#N/A,FALSE,"tcb-spbc";"pool4",#N/A,FALSE,"tcb-spbc";"pool5",#N/A,FALSE,"tcb-spbc"}</definedName>
    <definedName name="wrn.Quick_pool." localSheetId="20">{"pool1",#N/A,FALSE,"tcb-spbc";"pool2",#N/A,FALSE,"tcb-spbc";"pool3",#N/A,FALSE,"tcb-spbc";"pool4",#N/A,FALSE,"tcb-spbc";"pool5",#N/A,FALSE,"tcb-spbc"}</definedName>
    <definedName name="wrn.Quick_pool.">{"pool1",#N/A,FALSE,"tcb-spbc";"pool2",#N/A,FALSE,"tcb-spbc";"pool3",#N/A,FALSE,"tcb-spbc";"pool4",#N/A,FALSE,"tcb-spbc";"pool5",#N/A,FALSE,"tcb-spbc"}</definedName>
    <definedName name="wrn.Quick_purchase." localSheetId="25">{"purchase1",#N/A,FALSE,"tcb-spbc";"purchase2",#N/A,FALSE,"tcb-spbc";"purchase3",#N/A,FALSE,"tcb-spbc";"purchase4",#N/A,FALSE,"tcb-spbc";"purchase5",#N/A,FALSE,"tcb-spbc";"BS_restructure",#N/A,FALSE,"tcb-spbc"}</definedName>
    <definedName name="wrn.Quick_purchase." localSheetId="20">{"purchase1",#N/A,FALSE,"tcb-spbc";"purchase2",#N/A,FALSE,"tcb-spbc";"purchase3",#N/A,FALSE,"tcb-spbc";"purchase4",#N/A,FALSE,"tcb-spbc";"purchase5",#N/A,FALSE,"tcb-spbc";"BS_restructure",#N/A,FALSE,"tcb-spbc"}</definedName>
    <definedName name="wrn.Quick_purchase.">{"purchase1",#N/A,FALSE,"tcb-spbc";"purchase2",#N/A,FALSE,"tcb-spbc";"purchase3",#N/A,FALSE,"tcb-spbc";"purchase4",#N/A,FALSE,"tcb-spbc";"purchase5",#N/A,FALSE,"tcb-spbc";"BS_restructure",#N/A,FALSE,"tcb-spbc"}</definedName>
    <definedName name="wrn.reagan." localSheetId="25">{"reagan is",#N/A,FALSE,"CONS IS";"reagan na",#N/A,FALSE,"NOTE PAYMENTS";"reagan bs",#N/A,FALSE,"CONS BS";"reagan cf",#N/A,FALSE,"CONS BS";"reagan ds",#N/A,FALSE,"CONS BS"}</definedName>
    <definedName name="wrn.reagan." localSheetId="20">{"reagan is",#N/A,FALSE,"CONS IS";"reagan na",#N/A,FALSE,"NOTE PAYMENTS";"reagan bs",#N/A,FALSE,"CONS BS";"reagan cf",#N/A,FALSE,"CONS BS";"reagan ds",#N/A,FALSE,"CONS BS"}</definedName>
    <definedName name="wrn.reagan.">{"reagan is",#N/A,FALSE,"CONS IS";"reagan na",#N/A,FALSE,"NOTE PAYMENTS";"reagan bs",#N/A,FALSE,"CONS BS";"reagan cf",#N/A,FALSE,"CONS BS";"reagan ds",#N/A,FALSE,"CONS BS"}</definedName>
    <definedName name="wrn.RECEIVABLES." localSheetId="25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20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levant.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25">{#N/A,#N/A,FALSE,"AD_Purch";#N/A,#N/A,FALSE,"Projections";#N/A,#N/A,FALSE,"DCF";#N/A,#N/A,FALSE,"Mkt Val"}</definedName>
    <definedName name="wrn.RELEVANTSHEETS." localSheetId="20">{#N/A,#N/A,FALSE,"AD_Purch";#N/A,#N/A,FALSE,"Projections";#N/A,#N/A,FALSE,"DCF";#N/A,#N/A,FALSE,"Mkt Val"}</definedName>
    <definedName name="wrn.RELEVANTSHEETS.">{#N/A,#N/A,FALSE,"AD_Purch";#N/A,#N/A,FALSE,"Projections";#N/A,#N/A,FALSE,"DCF";#N/A,#N/A,FALSE,"Mkt Val"}</definedName>
    <definedName name="wrn.Report." localSheetId="25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" localSheetId="20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">{#N/A,#N/A,FALSE,"Assumptions";#N/A,#N/A,FALSE,"IS";#N/A,#N/A,FALSE,"Valuation";#N/A,#N/A,FALSE,"Residual";#N/A,#N/A,FALSE,"Assump-SI";#N/A,#N/A,FALSE,"BS-SI";#N/A,#N/A,FALSE,"IS-SI";#N/A,#N/A,FALSE,"CF-SI";#N/A,#N/A,FALSE,"SI 2001 Budget";#N/A,#N/A,FALSE,"Debt-SI";#N/A,#N/A,FALSE,"IS Analysis-SI";#N/A,#N/A,FALSE,"Assump-MME";#N/A,#N/A,FALSE,"BS-MME";#N/A,#N/A,FALSE,"IS-MME";#N/A,#N/A,FALSE,"MME 2001 Budget";#N/A,#N/A,FALSE,"IS Analysis-MME";#N/A,#N/A,FALSE,"IS-Consol"}</definedName>
    <definedName name="wrn.Report._.1." localSheetId="25">{"All Years",#N/A,FALSE,"All Years";"1998",#N/A,FALSE,"1998 Roney";"1999",#N/A,FALSE,"1999 Roney";"Q3 99",#N/A,FALSE,"YTDQ3-1999 Roney";"Q4 99",#N/A,FALSE,"Q4 1999 Forecast";"2000",#N/A,FALSE,"2000 Roney"}</definedName>
    <definedName name="wrn.Report._.1." localSheetId="20">{"All Years",#N/A,FALSE,"All Years";"1998",#N/A,FALSE,"1998 Roney";"1999",#N/A,FALSE,"1999 Roney";"Q3 99",#N/A,FALSE,"YTDQ3-1999 Roney";"Q4 99",#N/A,FALSE,"Q4 1999 Forecast";"2000",#N/A,FALSE,"2000 Roney"}</definedName>
    <definedName name="wrn.Report._.1.">{"All Years",#N/A,FALSE,"All Years";"1998",#N/A,FALSE,"1998 Roney";"1999",#N/A,FALSE,"1999 Roney";"Q3 99",#N/A,FALSE,"YTDQ3-1999 Roney";"Q4 99",#N/A,FALSE,"Q4 1999 Forecast";"2000",#N/A,FALSE,"2000 Roney"}</definedName>
    <definedName name="wrn.Report._.2." localSheetId="25">{#N/A,#N/A,TRUE,"Pivots-Employee";#N/A,"Scenerio2",TRUE,"Assumptions Summary"}</definedName>
    <definedName name="wrn.Report._.2." localSheetId="20">{#N/A,#N/A,TRUE,"Pivots-Employee";#N/A,"Scenerio2",TRUE,"Assumptions Summary"}</definedName>
    <definedName name="wrn.Report._.2.">{#N/A,#N/A,TRUE,"Pivots-Employee";#N/A,"Scenerio2",TRUE,"Assumptions Summary"}</definedName>
    <definedName name="wrn.Report._.Detail." localSheetId="25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20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25">{#N/A,#N/A,TRUE,"Pivots-Employee";#N/A,"Scenario1",TRUE,"Assumptions Summary"}</definedName>
    <definedName name="wrn.Report1." localSheetId="20">{#N/A,#N/A,TRUE,"Pivots-Employee";#N/A,"Scenario1",TRUE,"Assumptions Summary"}</definedName>
    <definedName name="wrn.Report1.">{#N/A,#N/A,TRUE,"Pivots-Employee";#N/A,"Scenario1",TRUE,"Assumptions Summary"}</definedName>
    <definedName name="wrn.Reports2." localSheetId="25">{"NI2",#N/A,FALSE,"Sum - Exp";"Revenue2",#N/A,FALSE,"Sum - Exp";"Headcount2",#N/A,FALSE,"Sum - Exp";"Pipeline2",#N/A,FALSE,"Sum - Exp";"expenses",#N/A,FALSE,"Sum - Exp"}</definedName>
    <definedName name="wrn.Reports2." localSheetId="20">{"NI2",#N/A,FALSE,"Sum - Exp";"Revenue2",#N/A,FALSE,"Sum - Exp";"Headcount2",#N/A,FALSE,"Sum - Exp";"Pipeline2",#N/A,FALSE,"Sum - Exp";"expenses",#N/A,FALSE,"Sum - Exp"}</definedName>
    <definedName name="wrn.Reports2.">{"NI2",#N/A,FALSE,"Sum - Exp";"Revenue2",#N/A,FALSE,"Sum - Exp";"Headcount2",#N/A,FALSE,"Sum - Exp";"Pipeline2",#N/A,FALSE,"Sum - Exp";"expenses",#N/A,FALSE,"Sum - Exp"}</definedName>
    <definedName name="wrn.revenue._.detail." localSheetId="25">{"revenue detail 1",#N/A,FALSE,"Revenue Detail";"revenue detail 2",#N/A,FALSE,"Revenue Detail";"revenue detail 3",#N/A,FALSE,"Revenue Detail";"revenue detail 4",#N/A,FALSE,"Revenue Detail"}</definedName>
    <definedName name="wrn.revenue._.detail." localSheetId="20">{"revenue detail 1",#N/A,FALSE,"Revenue Detail";"revenue detail 2",#N/A,FALSE,"Revenue Detail";"revenue detail 3",#N/A,FALSE,"Revenue Detail";"revenue detail 4",#N/A,FALSE,"Revenue Detail"}</definedName>
    <definedName name="wrn.revenue._.detail.">{"revenue detail 1",#N/A,FALSE,"Revenue Detail";"revenue detail 2",#N/A,FALSE,"Revenue Detail";"revenue detail 3",#N/A,FALSE,"Revenue Detail";"revenue detail 4",#N/A,FALSE,"Revenue Detail"}</definedName>
    <definedName name="wrn.revenue._.graph." localSheetId="25">{"revenue graph",#N/A,FALSE,"Revenue Graph"}</definedName>
    <definedName name="wrn.revenue._.graph." localSheetId="20">{"revenue graph",#N/A,FALSE,"Revenue Graph"}</definedName>
    <definedName name="wrn.revenue._.graph.">{"revenue graph",#N/A,FALSE,"Revenue Graph"}</definedName>
    <definedName name="wrn.review." localSheetId="25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 localSheetId="20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Pack." localSheetId="25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" localSheetId="20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localSheetId="25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" localSheetId="20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 localSheetId="25">{"Base_rev",#N/A,FALSE,"Proj_IS_Base";"Projrev",#N/A,FALSE,"Proj_IS_wOTLC";"Delta",#N/A,FALSE,"Delta Rev_PV"}</definedName>
    <definedName name="wrn.Revs." localSheetId="20">{"Base_rev",#N/A,FALSE,"Proj_IS_Base";"Projrev",#N/A,FALSE,"Proj_IS_wOTLC";"Delta",#N/A,FALSE,"Delta Rev_PV"}</definedName>
    <definedName name="wrn.Revs.">{"Base_rev",#N/A,FALSE,"Proj_IS_Base";"Projrev",#N/A,FALSE,"Proj_IS_wOTLC";"Delta",#N/A,FALSE,"Delta Rev_PV"}</definedName>
    <definedName name="wrn.Riverwood_comp_model." localSheetId="25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20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localSheetId="25">{"Total",#N/A,FALSE,"Six Fields";"PDP",#N/A,FALSE,"Six Fields";"PNP",#N/A,FALSE,"Six Fields";"PUD",#N/A,FALSE,"Six Fields";"Prob",#N/A,FALSE,"Six Fields"}</definedName>
    <definedName name="wrn.Roll._.Up._.Fields." localSheetId="20">{"Total",#N/A,FALSE,"Six Fields";"PDP",#N/A,FALSE,"Six Fields";"PNP",#N/A,FALSE,"Six Fields";"PUD",#N/A,FALSE,"Six Fields";"Prob",#N/A,FALSE,"Six Fields"}</definedName>
    <definedName name="wrn.Roll._.Up._.Fields.">{"Total",#N/A,FALSE,"Six Fields";"PDP",#N/A,FALSE,"Six Fields";"PNP",#N/A,FALSE,"Six Fields";"PUD",#N/A,FALSE,"Six Fields";"Prob",#N/A,FALSE,"Six Fields"}</definedName>
    <definedName name="wrn.sales." localSheetId="25">{"sales",#N/A,FALSE,"Sales";"sales existing",#N/A,FALSE,"Sales";"sales rd1",#N/A,FALSE,"Sales";"sales rd2",#N/A,FALSE,"Sales"}</definedName>
    <definedName name="wrn.sales." localSheetId="20">{"sales",#N/A,FALSE,"Sales";"sales existing",#N/A,FALSE,"Sales";"sales rd1",#N/A,FALSE,"Sales";"sales rd2",#N/A,FALSE,"Sales"}</definedName>
    <definedName name="wrn.sales.">{"sales",#N/A,FALSE,"Sales";"sales existing",#N/A,FALSE,"Sales";"sales rd1",#N/A,FALSE,"Sales";"sales rd2",#N/A,FALSE,"Sales"}</definedName>
    <definedName name="wrn.SalesMarginPages." localSheetId="25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 localSheetId="20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localSheetId="25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localSheetId="20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localSheetId="25">{"sample",#N/A,FALSE,"Client Input Sheet"}</definedName>
    <definedName name="wrn.sample." localSheetId="20">{"sample",#N/A,FALSE,"Client Input Sheet"}</definedName>
    <definedName name="wrn.sample.">{"sample",#N/A,FALSE,"Client Input Sheet"}</definedName>
    <definedName name="wrn.SANDSQUARTERLY.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hedule_1A." localSheetId="25">{"Schedule_IA",#N/A,FALSE,"I-A"}</definedName>
    <definedName name="wrn.Schedule_1A." localSheetId="20">{"Schedule_IA",#N/A,FALSE,"I-A"}</definedName>
    <definedName name="wrn.Schedule_1A.">{"Schedule_IA",#N/A,FALSE,"I-A"}</definedName>
    <definedName name="wrn.Schedule_1B." localSheetId="25">{"Schedule_1B",#N/A,FALSE,"I-B"}</definedName>
    <definedName name="wrn.Schedule_1B." localSheetId="20">{"Schedule_1B",#N/A,FALSE,"I-B"}</definedName>
    <definedName name="wrn.Schedule_1B.">{"Schedule_1B",#N/A,FALSE,"I-B"}</definedName>
    <definedName name="wrn.Schedule_1C." localSheetId="25">{"Schedule_1C",#N/A,FALSE,"I-C"}</definedName>
    <definedName name="wrn.Schedule_1C." localSheetId="20">{"Schedule_1C",#N/A,FALSE,"I-C"}</definedName>
    <definedName name="wrn.Schedule_1C.">{"Schedule_1C",#N/A,FALSE,"I-C"}</definedName>
    <definedName name="wrn.Schedule_1D." localSheetId="25">{"Schedule_1D",#N/A,FALSE,"I-D"}</definedName>
    <definedName name="wrn.Schedule_1D." localSheetId="20">{"Schedule_1D",#N/A,FALSE,"I-D"}</definedName>
    <definedName name="wrn.Schedule_1D.">{"Schedule_1D",#N/A,FALSE,"I-D"}</definedName>
    <definedName name="wrn.Schedule_I." localSheetId="25">{"Schedule_I",#N/A,FALSE,"I"}</definedName>
    <definedName name="wrn.Schedule_I." localSheetId="20">{"Schedule_I",#N/A,FALSE,"I"}</definedName>
    <definedName name="wrn.Schedule_I.">{"Schedule_I",#N/A,FALSE,"I"}</definedName>
    <definedName name="wrn.sensitivity._.analyses." localSheetId="25">{"general",#N/A,FALSE,"Assumptions"}</definedName>
    <definedName name="wrn.sensitivity._.analyses." localSheetId="20">{"general",#N/A,FALSE,"Assumptions"}</definedName>
    <definedName name="wrn.sensitivity._.analyses.">{"general",#N/A,FALSE,"Assumptions"}</definedName>
    <definedName name="wrn.SHORT." localSheetId="25">{"CREDIT STATISTICS",#N/A,FALSE,"STATS";"CF_AND_IS",#N/A,FALSE,"PLAN";"BALSHEET",#N/A,FALSE,"BALANCE SHEET"}</definedName>
    <definedName name="wrn.SHORT." localSheetId="20">{"CREDIT STATISTICS",#N/A,FALSE,"STATS";"CF_AND_IS",#N/A,FALSE,"PLAN";"BALSHEET",#N/A,FALSE,"BALANCE SHEET"}</definedName>
    <definedName name="wrn.SHORT.">{"CREDIT STATISTICS",#N/A,FALSE,"STATS";"CF_AND_IS",#N/A,FALSE,"PLAN";"BALSHEET",#N/A,FALSE,"BALANCE SHEET"}</definedName>
    <definedName name="wrn.Short._.Print." localSheetId="25">{#N/A,#N/A,FALSE,"Cover";#N/A,#N/A,FALSE,"Stack";#N/A,#N/A,FALSE,"Cost S";#N/A,#N/A,FALSE," CF";#N/A,#N/A,FALSE,"Investor"}</definedName>
    <definedName name="wrn.Short._.Print." localSheetId="20">{#N/A,#N/A,FALSE,"Cover";#N/A,#N/A,FALSE,"Stack";#N/A,#N/A,FALSE,"Cost S";#N/A,#N/A,FALSE," CF";#N/A,#N/A,FALSE,"Investor"}</definedName>
    <definedName name="wrn.Short._.Print.">{#N/A,#N/A,FALSE,"Cover";#N/A,#N/A,FALSE,"Stack";#N/A,#N/A,FALSE,"Cost S";#N/A,#N/A,FALSE," CF";#N/A,#N/A,FALSE,"Investor"}</definedName>
    <definedName name="wrn.SKSCS1." localSheetId="25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20">{#N/A,#N/A,FALSE,"Antony Financials";#N/A,#N/A,FALSE,"Cowboy Financials";#N/A,#N/A,FALSE,"Combined";#N/A,#N/A,FALSE,"Valuematrix";#N/A,#N/A,FALSE,"DCFAntony";#N/A,#N/A,FALSE,"DCFCowboy";#N/A,#N/A,FALSE,"DCFCombined"}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taff._.Costs." localSheetId="25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._.Costs." localSheetId="20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._.Costs.">{#N/A,#N/A,FALSE,"Consolidated Staff analysis";#N/A,#N/A,FALSE,"Staff analysis - Standards";#N/A,#N/A,FALSE,"Staff analysis - GQS";#N/A,#N/A,FALSE,"Staff analysis-Product Services";#N/A,#N/A,FALSE,"Staff analysis - Inspectorate";#N/A,#N/A,FALSE,"Staff analysis - Centre"}</definedName>
    <definedName name="wrn.Staffing." localSheetId="25">{#N/A,#N/A,FALSE,"Assessment";#N/A,#N/A,FALSE,"Staffing";#N/A,#N/A,FALSE,"Hires";#N/A,#N/A,FALSE,"Assumptions"}</definedName>
    <definedName name="wrn.Staffing." localSheetId="20">{#N/A,#N/A,FALSE,"Assessment";#N/A,#N/A,FALSE,"Staffing";#N/A,#N/A,FALSE,"Hires";#N/A,#N/A,FALSE,"Assumptions"}</definedName>
    <definedName name="wrn.Staffing.">{#N/A,#N/A,FALSE,"Assessment";#N/A,#N/A,FALSE,"Staffing";#N/A,#N/A,FALSE,"Hires";#N/A,#N/A,FALSE,"Assumptions"}</definedName>
    <definedName name="wrn.Staffing1" localSheetId="25">{#N/A,#N/A,FALSE,"Assessment";#N/A,#N/A,FALSE,"Staffing";#N/A,#N/A,FALSE,"Hires";#N/A,#N/A,FALSE,"Assumptions"}</definedName>
    <definedName name="wrn.Staffing1" localSheetId="20">{#N/A,#N/A,FALSE,"Assessment";#N/A,#N/A,FALSE,"Staffing";#N/A,#N/A,FALSE,"Hires";#N/A,#N/A,FALSE,"Assumptions"}</definedName>
    <definedName name="wrn.Staffing1">{#N/A,#N/A,FALSE,"Assessment";#N/A,#N/A,FALSE,"Staffing";#N/A,#N/A,FALSE,"Hires";#N/A,#N/A,FALSE,"Assumptions"}</definedName>
    <definedName name="wrn.stand_alone." localSheetId="25">{#N/A,#N/A,FALSE,"CBE";#N/A,#N/A,FALSE,"SWK"}</definedName>
    <definedName name="wrn.stand_alone." localSheetId="20">{#N/A,#N/A,FALSE,"CBE";#N/A,#N/A,FALSE,"SWK"}</definedName>
    <definedName name="wrn.stand_alone.">{#N/A,#N/A,FALSE,"CBE";#N/A,#N/A,FALSE,"SWK"}</definedName>
    <definedName name="wrn.STAND_ALONE_BOTH." localSheetId="25">{"FCB_ALL",#N/A,FALSE,"FCB";"GREY_ALL",#N/A,FALSE,"GREY"}</definedName>
    <definedName name="wrn.STAND_ALONE_BOTH." localSheetId="20">{"FCB_ALL",#N/A,FALSE,"FCB";"GREY_ALL",#N/A,FALSE,"GREY"}</definedName>
    <definedName name="wrn.STAND_ALONE_BOTH.">{"FCB_ALL",#N/A,FALSE,"FCB";"GREY_ALL",#N/A,FALSE,"GREY"}</definedName>
    <definedName name="wrn.Standard._.Exhibit." localSheetId="25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 localSheetId="20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Exhibit.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25">{"Co1statements",#N/A,FALSE,"Cmpy1";"Co2statement",#N/A,FALSE,"Cmpy2";"co1pm",#N/A,FALSE,"Co1PM";"co2PM",#N/A,FALSE,"Co2PM";"value",#N/A,FALSE,"value";"opco",#N/A,FALSE,"NewSparkle";"adjusts",#N/A,FALSE,"Adjustments"}</definedName>
    <definedName name="wrn.Statements." localSheetId="20">{"Co1statements",#N/A,FALSE,"Cmpy1";"Co2statement",#N/A,FALSE,"Cmpy2";"co1pm",#N/A,FALSE,"Co1PM";"co2PM",#N/A,FALSE,"Co2PM";"value",#N/A,FALSE,"value";"opco",#N/A,FALSE,"NewSparkle";"adjusts",#N/A,FALSE,"Adjustments"}</definedName>
    <definedName name="wrn.Statements.">{"Co1statements",#N/A,FALSE,"Cmpy1";"Co2statement",#N/A,FALSE,"Cmpy2";"co1pm",#N/A,FALSE,"Co1PM";"co2PM",#N/A,FALSE,"Co2PM";"value",#N/A,FALSE,"value";"opco",#N/A,FALSE,"NewSparkle";"adjusts",#N/A,FALSE,"Adjustments"}</definedName>
    <definedName name="wrn.STOCKHOLDERS._.EQUITY." localSheetId="25">{#N/A,#N/A,FALSE,"WW-1 Stockholders' Equity"}</definedName>
    <definedName name="wrn.STOCKHOLDERS._.EQUITY." localSheetId="20">{#N/A,#N/A,FALSE,"WW-1 Stockholders' Equity"}</definedName>
    <definedName name="wrn.STOCKHOLDERS._.EQUITY.">{#N/A,#N/A,FALSE,"WW-1 Stockholders' Equity"}</definedName>
    <definedName name="wrn.sum." localSheetId="25">{"Opsys",#N/A,FALSE,"NPV_OPsys";"NT",#N/A,FALSE,"NPV_NT";"DevP",#N/A,FALSE,"NPV_DevPdt";"Office",#N/A,FALSE,"NPV_Office"}</definedName>
    <definedName name="wrn.sum." localSheetId="20">{"Opsys",#N/A,FALSE,"NPV_OPsys";"NT",#N/A,FALSE,"NPV_NT";"DevP",#N/A,FALSE,"NPV_DevPdt";"Office",#N/A,FALSE,"NPV_Office"}</definedName>
    <definedName name="wrn.sum.">{"Opsys",#N/A,FALSE,"NPV_OPsys";"NT",#N/A,FALSE,"NPV_NT";"DevP",#N/A,FALSE,"NPV_DevPdt";"Office",#N/A,FALSE,"NPV_Office"}</definedName>
    <definedName name="wrn.SumIncBalRat." localSheetId="25">{#N/A,#N/A,FALSE,"Summary";#N/A,#N/A,FALSE,"Income Statement";#N/A,#N/A,FALSE,"Balance Sheet";#N/A,#N/A,FALSE,"Ratios"}</definedName>
    <definedName name="wrn.SumIncBalRat." localSheetId="20">{#N/A,#N/A,FALSE,"Summary";#N/A,#N/A,FALSE,"Income Statement";#N/A,#N/A,FALSE,"Balance Sheet";#N/A,#N/A,FALSE,"Ratios"}</definedName>
    <definedName name="wrn.SumIncBalRat.">{#N/A,#N/A,FALSE,"Summary";#N/A,#N/A,FALSE,"Income Statement";#N/A,#N/A,FALSE,"Balance Sheet";#N/A,#N/A,FALSE,"Ratios"}</definedName>
    <definedName name="wrn.Summary." localSheetId="25">{"Sum1",#N/A,FALSE,"Reserve Report";"Sum2",#N/A,FALSE,"Reserve Report";"Sum3",#N/A,FALSE,"Reserve Report";"Sum4",#N/A,FALSE,"Reserve Report"}</definedName>
    <definedName name="wrn.Summary." localSheetId="20">{"Sum1",#N/A,FALSE,"Reserve Report";"Sum2",#N/A,FALSE,"Reserve Report";"Sum3",#N/A,FALSE,"Reserve Report";"Sum4",#N/A,FALSE,"Reserve Report"}</definedName>
    <definedName name="wrn.Summary.">{"Sum1",#N/A,FALSE,"Reserve Report";"Sum2",#N/A,FALSE,"Reserve Report";"Sum3",#N/A,FALSE,"Reserve Report";"Sum4",#N/A,FALSE,"Reserve Report"}</definedName>
    <definedName name="wrn.summary.." localSheetId="25">{#N/A,#N/A,TRUE,"KEY DATA";#N/A,#N/A,TRUE,"KEY DATA Base Case";#N/A,#N/A,TRUE,"JULY";#N/A,#N/A,TRUE,"AUG";#N/A,#N/A,TRUE,"SEPT";#N/A,#N/A,TRUE,"3Q"}</definedName>
    <definedName name="wrn.summary.." localSheetId="20">{#N/A,#N/A,TRUE,"KEY DATA";#N/A,#N/A,TRUE,"KEY DATA Base Case";#N/A,#N/A,TRUE,"JULY";#N/A,#N/A,TRUE,"AUG";#N/A,#N/A,TRUE,"SEPT";#N/A,#N/A,TRUE,"3Q"}</definedName>
    <definedName name="wrn.summary..">{#N/A,#N/A,TRUE,"KEY DATA";#N/A,#N/A,TRUE,"KEY DATA Base Case";#N/A,#N/A,TRUE,"JULY";#N/A,#N/A,TRUE,"AUG";#N/A,#N/A,TRUE,"SEPT";#N/A,#N/A,TRUE,"3Q"}</definedName>
    <definedName name="wrn.Summary._.2." localSheetId="25">{#N/A,#N/A,TRUE,"Model"}</definedName>
    <definedName name="wrn.Summary._.2." localSheetId="20">{#N/A,#N/A,TRUE,"Model"}</definedName>
    <definedName name="wrn.Summary._.2.">{#N/A,#N/A,TRUE,"Model"}</definedName>
    <definedName name="wrn.Summary._.reports." localSheetId="25">{#N/A,#N/A,FALSE,"Commentary";#N/A,#N/A,FALSE,"Executive P &amp; L Summary";#N/A,#N/A,FALSE,"Executive BS Summary &amp; Key Figs";#N/A,#N/A,FALSE,"Head count";#N/A,#N/A,FALSE,"AFE's"}</definedName>
    <definedName name="wrn.Summary._.reports." localSheetId="20">{#N/A,#N/A,FALSE,"Commentary";#N/A,#N/A,FALSE,"Executive P &amp; L Summary";#N/A,#N/A,FALSE,"Executive BS Summary &amp; Key Figs";#N/A,#N/A,FALSE,"Head count";#N/A,#N/A,FALSE,"AFE's"}</definedName>
    <definedName name="wrn.Summary._.reports.">{#N/A,#N/A,FALSE,"Commentary";#N/A,#N/A,FALSE,"Executive P &amp; L Summary";#N/A,#N/A,FALSE,"Executive BS Summary &amp; Key Figs";#N/A,#N/A,FALSE,"Head count";#N/A,#N/A,FALSE,"AFE's"}</definedName>
    <definedName name="wrn.summary._.schedules." localSheetId="25">{"summary1",#N/A,FALSE,"Summary of Values";"summary2",#N/A,FALSE,"Summary of Values"}</definedName>
    <definedName name="wrn.summary._.schedules." localSheetId="20">{"summary1",#N/A,FALSE,"Summary of Values";"summary2",#N/A,FALSE,"Summary of Values"}</definedName>
    <definedName name="wrn.summary._.schedules.">{"summary1",#N/A,FALSE,"Summary of Values";"summary2",#N/A,FALSE,"Summary of Values"}</definedName>
    <definedName name="wrn.Summary.Decom" localSheetId="25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Decom" localSheetId="20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Decom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localSheetId="25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localSheetId="20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ANDbackup." localSheetId="25">{#N/A,#N/A,FALSE,"Prem_Sum";#N/A,#N/A,FALSE,"Prem"}</definedName>
    <definedName name="wrn.summaryANDbackup." localSheetId="20">{#N/A,#N/A,FALSE,"Prem_Sum";#N/A,#N/A,FALSE,"Prem"}</definedName>
    <definedName name="wrn.summaryANDbackup.">{#N/A,#N/A,FALSE,"Prem_Sum";#N/A,#N/A,FALSE,"Prem"}</definedName>
    <definedName name="wrn.SummaryPgs." localSheetId="25">{#N/A,#N/A,FALSE,"CreditStat";#N/A,#N/A,FALSE,"SPbrkup";#N/A,#N/A,FALSE,"MerSPsyn";#N/A,#N/A,FALSE,"MerSPwKCsyn";#N/A,#N/A,FALSE,"MerSPwKCsyn (2)";#N/A,#N/A,FALSE,"CreditStat (2)"}</definedName>
    <definedName name="wrn.SummaryPgs." localSheetId="20">{#N/A,#N/A,FALSE,"CreditStat";#N/A,#N/A,FALSE,"SPbrkup";#N/A,#N/A,FALSE,"MerSPsyn";#N/A,#N/A,FALSE,"MerSPwKCsyn";#N/A,#N/A,FALSE,"MerSPwKCsyn (2)";#N/A,#N/A,FALSE,"CreditStat (2)"}</definedName>
    <definedName name="wrn.SummaryPgs.">{#N/A,#N/A,FALSE,"CreditStat";#N/A,#N/A,FALSE,"SPbrkup";#N/A,#N/A,FALSE,"MerSPsyn";#N/A,#N/A,FALSE,"MerSPwKCsyn";#N/A,#N/A,FALSE,"MerSPwKCsyn (2)";#N/A,#N/A,FALSE,"CreditStat (2)"}</definedName>
    <definedName name="wrn.Supplemental_Reports." localSheetId="25">{#N/A,#N/A,FALSE,"Report Data";#N/A,#N/A,FALSE,"COMP POOL";#N/A,#N/A,FALSE,"COMP POOL NB95";#N/A,#N/A,FALSE,"COMP POOL NB94"}</definedName>
    <definedName name="wrn.Supplemental_Reports." localSheetId="20">{#N/A,#N/A,FALSE,"Report Data";#N/A,#N/A,FALSE,"COMP POOL";#N/A,#N/A,FALSE,"COMP POOL NB95";#N/A,#N/A,FALSE,"COMP POOL NB94"}</definedName>
    <definedName name="wrn.Supplemental_Reports.">{#N/A,#N/A,FALSE,"Report Data";#N/A,#N/A,FALSE,"COMP POOL";#N/A,#N/A,FALSE,"COMP POOL NB95";#N/A,#N/A,FALSE,"COMP POOL NB94"}</definedName>
    <definedName name="wrn.Target." localSheetId="25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20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25">{"targetdcf",#N/A,FALSE,"Merger consequences";"TARGETASSU",#N/A,FALSE,"Merger consequences";"TERMINAL VALUE",#N/A,FALSE,"Merger consequences"}</definedName>
    <definedName name="wrn.TARGET._.DCF." localSheetId="20">{"targetdcf",#N/A,FALSE,"Merger consequences";"TARGETASSU",#N/A,FALSE,"Merger consequences";"TERMINAL VALUE",#N/A,FALSE,"Merger consequences"}</definedName>
    <definedName name="wrn.TARGET._.DCF.">{"targetdcf",#N/A,FALSE,"Merger consequences";"TARGETASSU",#N/A,FALSE,"Merger consequences";"TERMINAL VALUE",#N/A,FALSE,"Merger consequences"}</definedName>
    <definedName name="wrn.TargetLBO." localSheetId="25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20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25">{#N/A,#N/A,FALSE,"Tar-Ass";#N/A,#N/A,FALSE,"Tar-IS";#N/A,#N/A,FALSE,"Tar-BS";#N/A,#N/A,FALSE,"Tar-Adg BS";#N/A,#N/A,FALSE,"Tar-CF"}</definedName>
    <definedName name="wrn.TargetState." localSheetId="20">{#N/A,#N/A,FALSE,"Tar-Ass";#N/A,#N/A,FALSE,"Tar-IS";#N/A,#N/A,FALSE,"Tar-BS";#N/A,#N/A,FALSE,"Tar-Adg BS";#N/A,#N/A,FALSE,"Tar-CF"}</definedName>
    <definedName name="wrn.TargetState.">{#N/A,#N/A,FALSE,"Tar-Ass";#N/A,#N/A,FALSE,"Tar-IS";#N/A,#N/A,FALSE,"Tar-BS";#N/A,#N/A,FALSE,"Tar-Adg BS";#N/A,#N/A,FALSE,"Tar-CF"}</definedName>
    <definedName name="wrn.TargetVal." localSheetId="25">{#N/A,#N/A,TRUE,"Val - sum";#N/A,#N/A,TRUE,"Val - Sum1";#N/A,#N/A,TRUE,"Val - sum2";#N/A,#N/A,TRUE,"Val - Sum3";#N/A,#N/A,TRUE,"Tar-DCF";#N/A,#N/A,TRUE,"Tar-Val LBO";#N/A,#N/A,TRUE,"Tar-Mult Val"}</definedName>
    <definedName name="wrn.TargetVal." localSheetId="20">{#N/A,#N/A,TRUE,"Val - sum";#N/A,#N/A,TRUE,"Val - Sum1";#N/A,#N/A,TRUE,"Val - sum2";#N/A,#N/A,TRUE,"Val - Sum3";#N/A,#N/A,TRUE,"Tar-DCF";#N/A,#N/A,TRUE,"Tar-Val LBO";#N/A,#N/A,TRUE,"Tar-Mult Val"}</definedName>
    <definedName name="wrn.TargetVal.">{#N/A,#N/A,TRUE,"Val - sum";#N/A,#N/A,TRUE,"Val - Sum1";#N/A,#N/A,TRUE,"Val - sum2";#N/A,#N/A,TRUE,"Val - Sum3";#N/A,#N/A,TRUE,"Tar-DCF";#N/A,#N/A,TRUE,"Tar-Val LBO";#N/A,#N/A,TRUE,"Tar-Mult Val"}</definedName>
    <definedName name="wrn.TAXATION." localSheetId="25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20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C." localSheetId="25">{"TEC - DVMD",#N/A,FALSE,"Aout_2000";"TEC - projets en cours",#N/A,FALSE,"Aout_2000";"TEC - projets terminés",#N/A,FALSE,"Aout_2000"}</definedName>
    <definedName name="wrn.TEC." localSheetId="20">{"TEC - DVMD",#N/A,FALSE,"Aout_2000";"TEC - projets en cours",#N/A,FALSE,"Aout_2000";"TEC - projets terminés",#N/A,FALSE,"Aout_2000"}</definedName>
    <definedName name="wrn.TEC.">{"TEC - DVMD",#N/A,FALSE,"Aout_2000";"TEC - projets en cours",#N/A,FALSE,"Aout_2000";"TEC - projets terminés",#N/A,FALSE,"Aout_2000"}</definedName>
    <definedName name="wrn.technology." localSheetId="25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20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25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20">{#N/A,#N/A,FALSE,"FS_Summary";#N/A,#N/A,FALSE,"Tel_Summary";#N/A,#N/A,FALSE,"Tomahawk";#N/A,#N/A,FALSE,"Medical Marketing";#N/A,#N/A,FALSE,"DIMAC";#N/A,#N/A,FALSE,"Epsilon";#N/A,#N/A,FALSE,"Direct";#N/A,#N/A,FALSE,"DIMAC(2)"}</definedName>
    <definedName name="wrn.tel2.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25">{#N/A,#N/A,FALSE,"FS_Summary";#N/A,#N/A,FALSE,"Tomahawk";#N/A,#N/A,FALSE,"Medical Marketing";#N/A,#N/A,FALSE,"Epsilon";#N/A,#N/A,FALSE,"DIMAC";#N/A,#N/A,FALSE,"Direct";#N/A,#N/A,FALSE,"DIMAC(2)"}</definedName>
    <definedName name="wrn.telem." localSheetId="20">{#N/A,#N/A,FALSE,"FS_Summary";#N/A,#N/A,FALSE,"Tomahawk";#N/A,#N/A,FALSE,"Medical Marketing";#N/A,#N/A,FALSE,"Epsilon";#N/A,#N/A,FALSE,"DIMAC";#N/A,#N/A,FALSE,"Direct";#N/A,#N/A,FALSE,"DIMAC(2)"}</definedName>
    <definedName name="wrn.telem.">{#N/A,#N/A,FALSE,"FS_Summary";#N/A,#N/A,FALSE,"Tomahawk";#N/A,#N/A,FALSE,"Medical Marketing";#N/A,#N/A,FALSE,"Epsilon";#N/A,#N/A,FALSE,"DIMAC";#N/A,#N/A,FALSE,"Direct";#N/A,#N/A,FALSE,"DIMAC(2)"}</definedName>
    <definedName name="wrn.TestL." localSheetId="25">{#N/A,#N/A,FALSE,"TESTING";#N/A,#N/A,FALSE,"TESTING"}</definedName>
    <definedName name="wrn.TestL." localSheetId="20">{#N/A,#N/A,FALSE,"TESTING";#N/A,#N/A,FALSE,"TESTING"}</definedName>
    <definedName name="wrn.TestL.">{#N/A,#N/A,FALSE,"TESTING";#N/A,#N/A,FALSE,"TESTING"}</definedName>
    <definedName name="wrn.TestP." localSheetId="25">{#N/A,#N/A,FALSE,"TESTING";#N/A,#N/A,FALSE,"TESTING"}</definedName>
    <definedName name="wrn.TestP." localSheetId="20">{#N/A,#N/A,FALSE,"TESTING";#N/A,#N/A,FALSE,"TESTING"}</definedName>
    <definedName name="wrn.TestP.">{#N/A,#N/A,FALSE,"TESTING";#N/A,#N/A,FALSE,"TESTING"}</definedName>
    <definedName name="wrn.TheWholeEnchilada." localSheetId="25">{"CSheet",#N/A,FALSE,"C";"SmCap",#N/A,FALSE,"VAL1";"GulfCoast",#N/A,FALSE,"VAL1";"nav",#N/A,FALSE,"NAV";"Summary",#N/A,FALSE,"NAV"}</definedName>
    <definedName name="wrn.TheWholeEnchilada." localSheetId="20">{"CSheet",#N/A,FALSE,"C";"SmCap",#N/A,FALSE,"VAL1";"GulfCoast",#N/A,FALSE,"VAL1";"nav",#N/A,FALSE,"NAV";"Summary",#N/A,FALSE,"NAV"}</definedName>
    <definedName name="wrn.TheWholeEnchilada.">{"CSheet",#N/A,FALSE,"C";"SmCap",#N/A,FALSE,"VAL1";"GulfCoast",#N/A,FALSE,"VAL1";"nav",#N/A,FALSE,"NAV";"Summary",#N/A,FALSE,"NAV"}</definedName>
    <definedName name="wrn.todo." localSheetId="25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20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localSheetId="25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20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25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20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localSheetId="25">{"Total",#N/A,FALSE,"Total Proved";"PDP",#N/A,FALSE,"Total Proved";"PNP",#N/A,FALSE,"Total Proved";"PUD",#N/A,FALSE,"Total Proved"}</definedName>
    <definedName name="wrn.Total._.Proved." localSheetId="20">{"Total",#N/A,FALSE,"Total Proved";"PDP",#N/A,FALSE,"Total Proved";"PNP",#N/A,FALSE,"Total Proved";"PUD",#N/A,FALSE,"Total Proved"}</definedName>
    <definedName name="wrn.Total._.Proved.">{"Total",#N/A,FALSE,"Total Proved";"PDP",#N/A,FALSE,"Total Proved";"PNP",#N/A,FALSE,"Total Proved";"PUD",#N/A,FALSE,"Total Proved"}</definedName>
    <definedName name="wrn.Total._.Proved._.plus._.Probable." localSheetId="25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20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>{"Total",#N/A,FALSE,"Total Proved + Probable";"PDP",#N/A,FALSE,"Total Proved + Probable";"PNP",#N/A,FALSE,"Total Proved + Probable";"PUD",#N/A,FALSE,"Total Proved + Probable";"Prob",#N/A,FALSE,"Total Proved + Probable"}</definedName>
    <definedName name="wrn.total._.year." localSheetId="25">{#N/A,#N/A,FALSE,"2003_Input - P&amp;L"}</definedName>
    <definedName name="wrn.total._.year." localSheetId="20">{#N/A,#N/A,FALSE,"2003_Input - P&amp;L"}</definedName>
    <definedName name="wrn.total._.year.">{#N/A,#N/A,FALSE,"2003_Input - P&amp;L"}</definedName>
    <definedName name="wrn.totalcomp." localSheetId="25">{"comp1",#N/A,FALSE,"COMPS";"footnotes",#N/A,FALSE,"COMPS"}</definedName>
    <definedName name="wrn.totalcomp." localSheetId="20">{"comp1",#N/A,FALSE,"COMPS";"footnotes",#N/A,FALSE,"COMPS"}</definedName>
    <definedName name="wrn.totalcomp.">{"comp1",#N/A,FALSE,"COMPS";"footnotes",#N/A,FALSE,"COMPS"}</definedName>
    <definedName name="wrn.totalcomp.1" localSheetId="25">{"comp1",#N/A,FALSE,"COMPS";"footnotes",#N/A,FALSE,"COMPS"}</definedName>
    <definedName name="wrn.totalcomp.1" localSheetId="20">{"comp1",#N/A,FALSE,"COMPS";"footnotes",#N/A,FALSE,"COMPS"}</definedName>
    <definedName name="wrn.totalcomp.1">{"comp1",#N/A,FALSE,"COMPS";"footnotes",#N/A,FALSE,"COMPS"}</definedName>
    <definedName name="wrn.trademark._.and._.trade._.name." localSheetId="25">{"trademark1",#N/A,FALSE,"Trademark(s) and Trade Name(s)"}</definedName>
    <definedName name="wrn.trademark._.and._.trade._.name." localSheetId="20">{"trademark1",#N/A,FALSE,"Trademark(s) and Trade Name(s)"}</definedName>
    <definedName name="wrn.trademark._.and._.trade._.name.">{"trademark1",#N/A,FALSE,"Trademark(s) and Trade Name(s)"}</definedName>
    <definedName name="wrn.trans._.sum." localSheetId="25">{"trans assumptions",#N/A,FALSE,"Merger";"trans accretion",#N/A,FALSE,"Merger"}</definedName>
    <definedName name="wrn.trans._.sum." localSheetId="20">{"trans assumptions",#N/A,FALSE,"Merger";"trans accretion",#N/A,FALSE,"Merger"}</definedName>
    <definedName name="wrn.trans._.sum.">{"trans assumptions",#N/A,FALSE,"Merger";"trans accretion",#N/A,FALSE,"Merger"}</definedName>
    <definedName name="wrn.TransPrcd_123." localSheetId="25">{#N/A,#N/A,TRUE,"TransPrcd 1";#N/A,#N/A,TRUE,"TransPrcd 2";#N/A,#N/A,TRUE,"TransPrcd 3"}</definedName>
    <definedName name="wrn.TransPrcd_123." localSheetId="20">{#N/A,#N/A,TRUE,"TransPrcd 1";#N/A,#N/A,TRUE,"TransPrcd 2";#N/A,#N/A,TRUE,"TransPrcd 3"}</definedName>
    <definedName name="wrn.TransPrcd_123.">{#N/A,#N/A,TRUE,"TransPrcd 1";#N/A,#N/A,TRUE,"TransPrcd 2";#N/A,#N/A,TRUE,"TransPrcd 3"}</definedName>
    <definedName name="wrn.Tweety." localSheetId="25">{#N/A,#N/A,FALSE,"A&amp;E";#N/A,#N/A,FALSE,"HighTop";#N/A,#N/A,FALSE,"JG";#N/A,#N/A,FALSE,"RI";#N/A,#N/A,FALSE,"woHT";#N/A,#N/A,FALSE,"woHT&amp;JG"}</definedName>
    <definedName name="wrn.Tweety." localSheetId="20">{#N/A,#N/A,FALSE,"A&amp;E";#N/A,#N/A,FALSE,"HighTop";#N/A,#N/A,FALSE,"JG";#N/A,#N/A,FALSE,"RI";#N/A,#N/A,FALSE,"woHT";#N/A,#N/A,FALSE,"woHT&amp;JG"}</definedName>
    <definedName name="wrn.Tweety.">{#N/A,#N/A,FALSE,"A&amp;E";#N/A,#N/A,FALSE,"HighTop";#N/A,#N/A,FALSE,"JG";#N/A,#N/A,FALSE,"RI";#N/A,#N/A,FALSE,"woHT";#N/A,#N/A,FALSE,"woHT&amp;JG"}</definedName>
    <definedName name="wrn.Tycon._.Model." localSheetId="25">{"rtn",#N/A,FALSE,"RTN";"tables",#N/A,FALSE,"RTN";"cf",#N/A,FALSE,"CF";"stats",#N/A,FALSE,"Stats";"prop",#N/A,FALSE,"Prop"}</definedName>
    <definedName name="wrn.Tycon._.Model." localSheetId="20">{"rtn",#N/A,FALSE,"RTN";"tables",#N/A,FALSE,"RTN";"cf",#N/A,FALSE,"CF";"stats",#N/A,FALSE,"Stats";"prop",#N/A,FALSE,"Prop"}</definedName>
    <definedName name="wrn.Tycon._.Model.">{"rtn",#N/A,FALSE,"RTN";"tables",#N/A,FALSE,"RTN";"cf",#N/A,FALSE,"CF";"stats",#N/A,FALSE,"Stats";"prop",#N/A,FALSE,"Prop"}</definedName>
    <definedName name="wrn.Typhoon." localSheetId="25">{"Agg Output",#N/A,FALSE,"Operational Drivers Output";"NW Output",#N/A,FALSE,"Operational Drivers Output";"South Output",#N/A,FALSE,"Operational Drivers Output";"Central Output",#N/A,FALSE,"Operational Drivers Output"}</definedName>
    <definedName name="wrn.Typhoon." localSheetId="20">{"Agg Output",#N/A,FALSE,"Operational Drivers Output";"NW Output",#N/A,FALSE,"Operational Drivers Output";"South Output",#N/A,FALSE,"Operational Drivers Output";"Central Output",#N/A,FALSE,"Operational Drivers Output"}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p." localSheetId="25">{"up stand alones",#N/A,FALSE,"Acquiror"}</definedName>
    <definedName name="wrn.up." localSheetId="20">{"up stand alones",#N/A,FALSE,"Acquiror"}</definedName>
    <definedName name="wrn.up.">{"up stand alones",#N/A,FALSE,"Acquiror"}</definedName>
    <definedName name="wrn.upstairs." localSheetId="25">{"histincome",#N/A,FALSE,"hyfins";"closing balance",#N/A,FALSE,"hyfins"}</definedName>
    <definedName name="wrn.upstairs." localSheetId="20">{"histincome",#N/A,FALSE,"hyfins";"closing balance",#N/A,FALSE,"hyfins"}</definedName>
    <definedName name="wrn.upstairs.">{"histincome",#N/A,FALSE,"hyfins";"closing balance",#N/A,FALSE,"hyfins"}</definedName>
    <definedName name="wrn.VALUATION." localSheetId="25">{#N/A,#N/A,FALSE,"Valuation Assumptions";#N/A,#N/A,FALSE,"Summary";#N/A,#N/A,FALSE,"DCF";#N/A,#N/A,FALSE,"Valuation";#N/A,#N/A,FALSE,"WACC";#N/A,#N/A,FALSE,"UBVH";#N/A,#N/A,FALSE,"Free Cash Flow"}</definedName>
    <definedName name="wrn.VALUATION." localSheetId="20">{#N/A,#N/A,FALSE,"Valuation Assumptions";#N/A,#N/A,FALSE,"Summary";#N/A,#N/A,FALSE,"DCF";#N/A,#N/A,FALSE,"Valuation";#N/A,#N/A,FALSE,"WACC";#N/A,#N/A,FALSE,"UBVH";#N/A,#N/A,FALSE,"Free Cash Flow"}</definedName>
    <definedName name="wrn.VALUATION.">{#N/A,#N/A,FALSE,"Valuation Assumptions";#N/A,#N/A,FALSE,"Summary";#N/A,#N/A,FALSE,"DCF";#N/A,#N/A,FALSE,"Valuation";#N/A,#N/A,FALSE,"WACC";#N/A,#N/A,FALSE,"UBVH";#N/A,#N/A,FALSE,"Free Cash Flow"}</definedName>
    <definedName name="wrn.Wacc." localSheetId="25">{"Area1",#N/A,FALSE,"OREWACC";"Area2",#N/A,FALSE,"OREWACC"}</definedName>
    <definedName name="wrn.Wacc." localSheetId="20">{"Area1",#N/A,FALSE,"OREWACC";"Area2",#N/A,FALSE,"OREWACC"}</definedName>
    <definedName name="wrn.Wacc.">{"Area1",#N/A,FALSE,"OREWACC";"Area2",#N/A,FALSE,"OREWACC"}</definedName>
    <definedName name="wrn.WATERTOWN._.BUDGET." localSheetId="25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localSheetId="20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localSheetId="25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 localSheetId="20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_.Scrap._.Report." localSheetId="25">{#N/A,#N/A,TRUE,"GEM Total";#N/A,#N/A,TRUE,"Final Assembly";#N/A,#N/A,TRUE,"Cleaning";#N/A,#N/A,TRUE,"Schooping,Clearing";#N/A,#N/A,TRUE,"Winding"}</definedName>
    <definedName name="wrn.Weekly._.Scrap._.Report." localSheetId="20">{#N/A,#N/A,TRUE,"GEM Total";#N/A,#N/A,TRUE,"Final Assembly";#N/A,#N/A,TRUE,"Cleaning";#N/A,#N/A,TRUE,"Schooping,Clearing";#N/A,#N/A,TRUE,"Winding"}</definedName>
    <definedName name="wrn.Weekly._.Scrap._.Report.">{#N/A,#N/A,TRUE,"GEM Total";#N/A,#N/A,TRUE,"Final Assembly";#N/A,#N/A,TRUE,"Cleaning";#N/A,#N/A,TRUE,"Schooping,Clearing";#N/A,#N/A,TRUE,"Winding"}</definedName>
    <definedName name="wrn.weekly._.scrap._.report..." localSheetId="25">{#N/A,#N/A,TRUE,"GEM Total";#N/A,#N/A,TRUE,"Final Assembly";#N/A,#N/A,TRUE,"Cleaning";#N/A,#N/A,TRUE,"Schooping,Clearing";#N/A,#N/A,TRUE,"Winding"}</definedName>
    <definedName name="wrn.weekly._.scrap._.report..." localSheetId="20">{#N/A,#N/A,TRUE,"GEM Total";#N/A,#N/A,TRUE,"Final Assembly";#N/A,#N/A,TRUE,"Cleaning";#N/A,#N/A,TRUE,"Schooping,Clearing";#N/A,#N/A,TRUE,"Winding"}</definedName>
    <definedName name="wrn.weekly._.scrap._.report...">{#N/A,#N/A,TRUE,"GEM Total";#N/A,#N/A,TRUE,"Final Assembly";#N/A,#N/A,TRUE,"Cleaning";#N/A,#N/A,TRUE,"Schooping,Clearing";#N/A,#N/A,TRUE,"Winding"}</definedName>
    <definedName name="wrn.West." localSheetId="25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." localSheetId="20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.">{"Total West",#N/A,FALSE,"West";"Austin",#N/A,FALSE,"West";"Dallas",#N/A,FALSE,"West";"Houston",#N/A,FALSE,"West";"Las Vegas",#N/A,FALSE,"West";"Pasadena",#N/A,FALSE,"West";"Phoenix",#N/A,FALSE,"West";"Pleasanton Admin",#N/A,FALSE,"West";"Pleasanton Sales",#N/A,FALSE,"West";"Portland",#N/A,FALSE,"West";"Salt Lake City",#N/A,FALSE,"West";"San Diego",#N/A,FALSE,"West";"Seattle",#N/A,FALSE,"West"}</definedName>
    <definedName name="wrn.Western._.Metal." localSheetId="25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localSheetId="20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 localSheetId="25">{#N/A,#N/A,FALSE,"assumptions";#N/A,#N/A,FALSE,"contrib_annual";#N/A,#N/A,FALSE,"historic";#N/A,#N/A,FALSE,"Proforma";#N/A,#N/A,FALSE,"CALENDARIZED";#N/A,#N/A,FALSE,"Has_gets";#N/A,#N/A,FALSE,"DILUTION"}</definedName>
    <definedName name="wrn.WHOLE." localSheetId="20">{#N/A,#N/A,FALSE,"assumptions";#N/A,#N/A,FALSE,"contrib_annual";#N/A,#N/A,FALSE,"historic";#N/A,#N/A,FALSE,"Proforma";#N/A,#N/A,FALSE,"CALENDARIZED";#N/A,#N/A,FALSE,"Has_gets";#N/A,#N/A,FALSE,"DILUTION"}</definedName>
    <definedName name="wrn.WHOLE.">{#N/A,#N/A,FALSE,"assumptions";#N/A,#N/A,FALSE,"contrib_annual";#N/A,#N/A,FALSE,"historic";#N/A,#N/A,FALSE,"Proforma";#N/A,#N/A,FALSE,"CALENDARIZED";#N/A,#N/A,FALSE,"Has_gets";#N/A,#N/A,FALSE,"DILUTION"}</definedName>
    <definedName name="wrn.Wholesale." localSheetId="25">{"Total Wholesale",#N/A,FALSE,"Wholesale";"Whsle_Admin",#N/A,FALSE,"Wholesale";"Whsle_Lombard",#N/A,FALSE,"Wholesale";"Whsle_Marlton",#N/A,FALSE,"Wholesale";"Whsle_Pleasanton",#N/A,FALSE,"Wholesale"}</definedName>
    <definedName name="wrn.Wholesale." localSheetId="20">{"Total Wholesale",#N/A,FALSE,"Wholesale";"Whsle_Admin",#N/A,FALSE,"Wholesale";"Whsle_Lombard",#N/A,FALSE,"Wholesale";"Whsle_Marlton",#N/A,FALSE,"Wholesale";"Whsle_Pleasanton",#N/A,FALSE,"Wholesale"}</definedName>
    <definedName name="wrn.Wholesale.">{"Total Wholesale",#N/A,FALSE,"Wholesale";"Whsle_Admin",#N/A,FALSE,"Wholesale";"Whsle_Lombard",#N/A,FALSE,"Wholesale";"Whsle_Marlton",#N/A,FALSE,"Wholesale";"Whsle_Pleasanton",#N/A,FALSE,"Wholesale"}</definedName>
    <definedName name="wrn.wicor." localSheetId="25">{#N/A,#N/A,FALSE,"FACTSHEETS";#N/A,#N/A,FALSE,"pump";#N/A,#N/A,FALSE,"filter"}</definedName>
    <definedName name="wrn.wicor." localSheetId="20">{#N/A,#N/A,FALSE,"FACTSHEETS";#N/A,#N/A,FALSE,"pump";#N/A,#N/A,FALSE,"filter"}</definedName>
    <definedName name="wrn.wicor.">{#N/A,#N/A,FALSE,"FACTSHEETS";#N/A,#N/A,FALSE,"pump";#N/A,#N/A,FALSE,"filter"}</definedName>
    <definedName name="wrn.work._.paper._.shcedules." localSheetId="25">{"summary1",#N/A,FALSE,"Summary of Values";"summary2",#N/A,FALSE,"Summary of Values";"weighted average returns",#N/A,FALSE,"WACC and WARA";"fixed asset detail",#N/A,FALSE,"Fixed Asset Detail"}</definedName>
    <definedName name="wrn.work._.paper._.shcedules." localSheetId="20">{"summary1",#N/A,FALSE,"Summary of Values";"summary2",#N/A,FALSE,"Summary of Values";"weighted average returns",#N/A,FALSE,"WACC and WARA";"fixed asset detail",#N/A,FALSE,"Fixed Asset Detail"}</definedName>
    <definedName name="wrn.work._.paper._.shcedules.">{"summary1",#N/A,FALSE,"Summary of Values";"summary2",#N/A,FALSE,"Summary of Values";"weighted average returns",#N/A,FALSE,"WACC and WARA";"fixed asset detail",#N/A,FALSE,"Fixed Asset Detail"}</definedName>
    <definedName name="wrn.WorkCap." localSheetId="25">{"WorkCap",#N/A,FALSE,"cashflw"}</definedName>
    <definedName name="wrn.WorkCap." localSheetId="20">{"WorkCap",#N/A,FALSE,"cashflw"}</definedName>
    <definedName name="wrn.WorkCap.">{"WorkCap",#N/A,FALSE,"cashflw"}</definedName>
    <definedName name="wrn.Workpapers." localSheetId="25">{"Cash Flow Input - Legal",#N/A,FALSE,"Sep 98";"Net Income Adj - Legal",#N/A,FALSE,"Sep 98";"Working Cap Adj - Legal",#N/A,FALSE,"Sep 98";"Equity - Legal",#N/A,FALSE,"Sep 98"}</definedName>
    <definedName name="wrn.Workpapers." localSheetId="20">{"Cash Flow Input - Legal",#N/A,FALSE,"Sep 98";"Net Income Adj - Legal",#N/A,FALSE,"Sep 98";"Working Cap Adj - Legal",#N/A,FALSE,"Sep 98";"Equity - Legal",#N/A,FALSE,"Sep 98"}</definedName>
    <definedName name="wrn.Workpapers.">{"Cash Flow Input - Legal",#N/A,FALSE,"Sep 98";"Net Income Adj - Legal",#N/A,FALSE,"Sep 98";"Working Cap Adj - Legal",#N/A,FALSE,"Sep 98";"Equity - Legal",#N/A,FALSE,"Sep 98"}</definedName>
    <definedName name="wrn.Y95current." localSheetId="25">{"Y95current",#N/A,FALSE,"Sheet4"}</definedName>
    <definedName name="wrn.Y95current." localSheetId="20">{"Y95current",#N/A,FALSE,"Sheet4"}</definedName>
    <definedName name="wrn.Y95current.">{"Y95current",#N/A,FALSE,"Sheet4"}</definedName>
    <definedName name="wrn.Y95qtrs." localSheetId="25">{"Y95qtrs",#N/A,FALSE,"Sheet4"}</definedName>
    <definedName name="wrn.Y95qtrs." localSheetId="20">{"Y95qtrs",#N/A,FALSE,"Sheet4"}</definedName>
    <definedName name="wrn.Y95qtrs.">{"Y95qtrs",#N/A,FALSE,"Sheet4"}</definedName>
    <definedName name="wrn.YTD._.CON._.VS._.BUD." localSheetId="25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 localSheetId="20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._.VS._.BUD.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localSheetId="25">{"YTD CONSOL IS",#N/A,FALSE,"CONSOL";"MTD CONSOL BS",#N/A,FALSE,"CONSOL";"YTD CONSOL CF",#N/A,FALSE,"CONSOL";"YTD CONSOL COGS",#N/A,FALSE,"CONSOL";"YTD CONSOL SGA",#N/A,FALSE,"CONSOL"}</definedName>
    <definedName name="wrn.YTD._.CONSOL._.STMTS." localSheetId="20">{"YTD CONSOL IS",#N/A,FALSE,"CONSOL";"MTD CONSOL BS",#N/A,FALSE,"CONSOL";"YTD CONSOL CF",#N/A,FALSE,"CONSOL";"YTD CONSOL COGS",#N/A,FALSE,"CONSOL";"YTD CONSOL SGA",#N/A,FALSE,"CONSOL"}</definedName>
    <definedName name="wrn.YTD._.CONSOL._.STMTS.">{"YTD CONSOL IS",#N/A,FALSE,"CONSOL";"MTD CONSOL BS",#N/A,FALSE,"CONSOL";"YTD CONSOL CF",#N/A,FALSE,"CONSOL";"YTD CONSOL COGS",#N/A,FALSE,"CONSOL";"YTD CONSOL SGA",#N/A,FALSE,"CONSOL"}</definedName>
    <definedName name="wrn.YTD._.CTT._.STMTS." localSheetId="25">{"YTD CTT IS",#N/A,FALSE,"CTT";"MTD CTT BS",#N/A,FALSE,"CTT";"YTD CTT CF",#N/A,FALSE,"CTT";"YTD CTT COGS",#N/A,FALSE,"CTT";"YTD CTT SGA",#N/A,FALSE,"CTT"}</definedName>
    <definedName name="wrn.YTD._.CTT._.STMTS." localSheetId="20">{"YTD CTT IS",#N/A,FALSE,"CTT";"MTD CTT BS",#N/A,FALSE,"CTT";"YTD CTT CF",#N/A,FALSE,"CTT";"YTD CTT COGS",#N/A,FALSE,"CTT";"YTD CTT SGA",#N/A,FALSE,"CTT"}</definedName>
    <definedName name="wrn.YTD._.CTT._.STMTS.">{"YTD CTT IS",#N/A,FALSE,"CTT";"MTD CTT BS",#N/A,FALSE,"CTT";"YTD CTT CF",#N/A,FALSE,"CTT";"YTD CTT COGS",#N/A,FALSE,"CTT";"YTD CTT SGA",#N/A,FALSE,"CTT"}</definedName>
    <definedName name="wrn.YTD._.CTT._.VS._.BUD." localSheetId="25">{"YTD CTT IS",#N/A,FALSE,"CTT VS BUDGET";"MTD CTT VS BUD BS",#N/A,FALSE,"CTT VS BUDGET";"YTD CTT CF",#N/A,FALSE,"CTT VS BUDGET";"YTD CTT COGS",#N/A,FALSE,"CTT VS BUDGET";"YTD CTT SGA",#N/A,FALSE,"CTT VS BUDGET"}</definedName>
    <definedName name="wrn.YTD._.CTT._.VS._.BUD." localSheetId="20">{"YTD CTT IS",#N/A,FALSE,"CTT VS BUDGET";"MTD CTT VS BUD BS",#N/A,FALSE,"CTT VS BUDGET";"YTD CTT CF",#N/A,FALSE,"CTT VS BUDGET";"YTD CTT COGS",#N/A,FALSE,"CTT VS BUDGET";"YTD CTT SGA",#N/A,FALSE,"CTT VS BUDGET"}</definedName>
    <definedName name="wrn.YTD._.CTT._.VS._.BUD.">{"YTD CTT IS",#N/A,FALSE,"CTT VS BUDGET";"MTD CTT VS BUD BS",#N/A,FALSE,"CTT VS BUDGET";"YTD CTT CF",#N/A,FALSE,"CTT VS BUDGET";"YTD CTT COGS",#N/A,FALSE,"CTT VS BUDGET";"YTD CTT SGA",#N/A,FALSE,"CTT VS BUDGET"}</definedName>
    <definedName name="wrn.YTD._.WLLC._.STMTS." localSheetId="25">{"YTDIS",#N/A,FALSE,"WLLC";"MTDBS",#N/A,FALSE,"WLLC";"YTDCF",#N/A,FALSE,"WLLC";"YTDCOGS",#N/A,FALSE,"WLLC";"YTDSGA",#N/A,FALSE,"WLLC"}</definedName>
    <definedName name="wrn.YTD._.WLLC._.STMTS." localSheetId="20">{"YTDIS",#N/A,FALSE,"WLLC";"MTDBS",#N/A,FALSE,"WLLC";"YTDCF",#N/A,FALSE,"WLLC";"YTDCOGS",#N/A,FALSE,"WLLC";"YTDSGA",#N/A,FALSE,"WLLC"}</definedName>
    <definedName name="wrn.YTD._.WLLC._.STMTS.">{"YTDIS",#N/A,FALSE,"WLLC";"MTDBS",#N/A,FALSE,"WLLC";"YTDCF",#N/A,FALSE,"WLLC";"YTDCOGS",#N/A,FALSE,"WLLC";"YTDSGA",#N/A,FALSE,"WLLC"}</definedName>
    <definedName name="wrn.YTD._.WLLC._.VS._.BUDG." localSheetId="25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 localSheetId="20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_.WLLC._.VS._.BUDG.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דוח_מרכז." localSheetId="25">{"רווח והפסד",#N/A,FALSE,"תכנית לבנק (2)";"באור_ראשון",#N/A,FALSE,"תכנית לבנק (2)";"באור_שני",#N/A,FALSE,"תכנית לבנק (2)";"מכירות",#N/A,FALSE,"SALES"}</definedName>
    <definedName name="wrn.דוח_מרכז." localSheetId="20">{"רווח והפסד",#N/A,FALSE,"תכנית לבנק (2)";"באור_ראשון",#N/A,FALSE,"תכנית לבנק (2)";"באור_שני",#N/A,FALSE,"תכנית לבנק (2)";"מכירות",#N/A,FALSE,"SALES"}</definedName>
    <definedName name="wrn.דוח_מרכז.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localSheetId="25">{"הערות",#N/A,FALSE,"תקציב מול ביצוע (2)"}</definedName>
    <definedName name="wrn.הערות._.רבעון._.3." localSheetId="20">{"הערות",#N/A,FALSE,"תקציב מול ביצוע (2)"}</definedName>
    <definedName name="wrn.הערות._.רבעון._.3.">{"הערות",#N/A,FALSE,"תקציב מול ביצוע (2)"}</definedName>
    <definedName name="wrn.השקעות." localSheetId="25">{"השקעות",#N/A,FALSE,"investments";"מפעל חדש",#N/A,FALSE,"nf"}</definedName>
    <definedName name="wrn.השקעות." localSheetId="20">{"השקעות",#N/A,FALSE,"investments";"מפעל חדש",#N/A,FALSE,"nf"}</definedName>
    <definedName name="wrn.השקעות.">{"השקעות",#N/A,FALSE,"investments";"מפעל חדש",#N/A,FALSE,"nf"}</definedName>
    <definedName name="wrn.טבלאות_עזר." localSheetId="25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 localSheetId="20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localSheetId="25">{"מאזן",#N/A,FALSE,"מאזן בוחן"}</definedName>
    <definedName name="wrn.מאזן." localSheetId="20">{"מאזן",#N/A,FALSE,"מאזן בוחן"}</definedName>
    <definedName name="wrn.מאזן.">{"מאזן",#N/A,FALSE,"מאזן בוחן"}</definedName>
    <definedName name="wrn.מאזן_בוחן_כללי." localSheetId="25">{#N/A,#N/A,FALSE,"מאזן בוחן";"כל_מאזן_בוחן",#N/A,FALSE,"מאזן בוחן"}</definedName>
    <definedName name="wrn.מאזן_בוחן_כללי." localSheetId="20">{#N/A,#N/A,FALSE,"מאזן בוחן";"כל_מאזן_בוחן",#N/A,FALSE,"מאזן בוחן"}</definedName>
    <definedName name="wrn.מאזן_בוחן_כללי.">{#N/A,#N/A,FALSE,"מאזן בוחן";"כל_מאזן_בוחן",#N/A,FALSE,"מאזן בוחן"}</definedName>
    <definedName name="wrn.מופ." localSheetId="25">{"באור_מופ",#N/A,FALSE,"R&amp;D";"מופ_לפי_מוצרים",#N/A,FALSE,"R&amp;D"}</definedName>
    <definedName name="wrn.מופ." localSheetId="20">{"באור_מופ",#N/A,FALSE,"R&amp;D";"מופ_לפי_מוצרים",#N/A,FALSE,"R&amp;D"}</definedName>
    <definedName name="wrn.מופ.">{"באור_מופ",#N/A,FALSE,"R&amp;D";"מופ_לפי_מוצרים",#N/A,FALSE,"R&amp;D"}</definedName>
    <definedName name="wrn.סעיפי_מאזן_בוחן." localSheetId="25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 localSheetId="20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localSheetId="25">{"רווה",#N/A,FALSE,"מאזן בוחן"}</definedName>
    <definedName name="wrn.רווה." localSheetId="20">{"רווה",#N/A,FALSE,"מאזן בוחן"}</definedName>
    <definedName name="wrn.רווה.">{"רווה",#N/A,FALSE,"מאזן בוחן"}</definedName>
    <definedName name="wrn.רווה_לפי_מוצרים." localSheetId="25">{"ossix",#N/A,FALSE,"ossix";"דרמיקול",#N/A,FALSE,"dermicol";"reflux",#N/A,FALSE,"reflux";"מופ_לפי_מוצרים",#N/A,FALSE,"R&amp;D"}</definedName>
    <definedName name="wrn.רווה_לפי_מוצרים." localSheetId="20">{"ossix",#N/A,FALSE,"ossix";"דרמיקול",#N/A,FALSE,"dermicol";"reflux",#N/A,FALSE,"reflux";"מופ_לפי_מוצרים",#N/A,FALSE,"R&amp;D"}</definedName>
    <definedName name="wrn.רווה_לפי_מוצרים.">{"ossix",#N/A,FALSE,"ossix";"דרמיקול",#N/A,FALSE,"dermicol";"reflux",#N/A,FALSE,"reflux";"מופ_לפי_מוצרים",#N/A,FALSE,"R&amp;D"}</definedName>
    <definedName name="wrn.שכר_כולל." localSheetId="25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 localSheetId="20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localSheetId="25">{"תזרים",#N/A,FALSE,"cf"}</definedName>
    <definedName name="wrn.תזרים." localSheetId="20">{"תזרים",#N/A,FALSE,"cf"}</definedName>
    <definedName name="wrn.תזרים.">{"תזרים",#N/A,FALSE,"cf"}</definedName>
    <definedName name="wrn1.1.1" localSheetId="25">{#N/A,#N/A,FALSE,"Calc";#N/A,#N/A,FALSE,"Sensitivity";#N/A,#N/A,FALSE,"LT Earn.Dil.";#N/A,#N/A,FALSE,"Dil. AVP"}</definedName>
    <definedName name="wrn1.1.1" localSheetId="20">{#N/A,#N/A,FALSE,"Calc";#N/A,#N/A,FALSE,"Sensitivity";#N/A,#N/A,FALSE,"LT Earn.Dil.";#N/A,#N/A,FALSE,"Dil. AVP"}</definedName>
    <definedName name="wrn1.1.1">{#N/A,#N/A,FALSE,"Calc";#N/A,#N/A,FALSE,"Sensitivity";#N/A,#N/A,FALSE,"LT Earn.Dil.";#N/A,#N/A,FALSE,"Dil. AVP"}</definedName>
    <definedName name="wrn1.summary" localSheetId="25">{#N/A,#N/A,TRUE,"KEY DATA";#N/A,#N/A,TRUE,"KEY DATA Base Case";#N/A,#N/A,TRUE,"JULY";#N/A,#N/A,TRUE,"AUG";#N/A,#N/A,TRUE,"SEPT";#N/A,#N/A,TRUE,"3Q"}</definedName>
    <definedName name="wrn1.summary" localSheetId="20">{#N/A,#N/A,TRUE,"KEY DATA";#N/A,#N/A,TRUE,"KEY DATA Base Case";#N/A,#N/A,TRUE,"JULY";#N/A,#N/A,TRUE,"AUG";#N/A,#N/A,TRUE,"SEPT";#N/A,#N/A,TRUE,"3Q"}</definedName>
    <definedName name="wrn1.summary">{#N/A,#N/A,TRUE,"KEY DATA";#N/A,#N/A,TRUE,"KEY DATA Base Case";#N/A,#N/A,TRUE,"JULY";#N/A,#N/A,TRUE,"AUG";#N/A,#N/A,TRUE,"SEPT";#N/A,#N/A,TRUE,"3Q"}</definedName>
    <definedName name="wrn1.summary.." localSheetId="25">{#N/A,#N/A,TRUE,"KEY DATA";#N/A,#N/A,TRUE,"KEY DATA Base Case";#N/A,#N/A,TRUE,"JULY";#N/A,#N/A,TRUE,"AUG";#N/A,#N/A,TRUE,"SEPT";#N/A,#N/A,TRUE,"3Q"}</definedName>
    <definedName name="wrn1.summary.." localSheetId="20">{#N/A,#N/A,TRUE,"KEY DATA";#N/A,#N/A,TRUE,"KEY DATA Base Case";#N/A,#N/A,TRUE,"JULY";#N/A,#N/A,TRUE,"AUG";#N/A,#N/A,TRUE,"SEPT";#N/A,#N/A,TRUE,"3Q"}</definedName>
    <definedName name="wrn1.summary..">{#N/A,#N/A,TRUE,"KEY DATA";#N/A,#N/A,TRUE,"KEY DATA Base Case";#N/A,#N/A,TRUE,"JULY";#N/A,#N/A,TRUE,"AUG";#N/A,#N/A,TRUE,"SEPT";#N/A,#N/A,TRUE,"3Q"}</definedName>
    <definedName name="WRN2.Document" localSheetId="25">{"consolidated",#N/A,FALSE,"Sheet1";"cms",#N/A,FALSE,"Sheet1";"fse",#N/A,FALSE,"Sheet1"}</definedName>
    <definedName name="WRN2.Document" localSheetId="20">{"consolidated",#N/A,FALSE,"Sheet1";"cms",#N/A,FALSE,"Sheet1";"fse",#N/A,FALSE,"Sheet1"}</definedName>
    <definedName name="WRN2.Document">{"consolidated",#N/A,FALSE,"Sheet1";"cms",#N/A,FALSE,"Sheet1";"fse",#N/A,FALSE,"Sheet1"}</definedName>
    <definedName name="wrn2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25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localSheetId="20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>{#N/A,#N/A,TRUE,"Notes";#N/A,#N/A,TRUE,"Cap Struct";#N/A,#N/A,TRUE,"OBS";#N/A,#N/A,TRUE,"bal Sheet";#N/A,#N/A,TRUE,"Inc stmt";#N/A,#N/A,TRUE,"csh flw";#N/A,#N/A,TRUE,"debt";#N/A,#N/A,TRUE,"detail 96,97";#N/A,#N/A,TRUE,"Covenants"}</definedName>
    <definedName name="wrnn" localSheetId="25">{"comps",#N/A,FALSE,"public comps";"backup",#N/A,FALSE,"public comps"}</definedName>
    <definedName name="wrnn" localSheetId="20">{"comps",#N/A,FALSE,"public comps";"backup",#N/A,FALSE,"public comps"}</definedName>
    <definedName name="wrnn">{"comps",#N/A,FALSE,"public comps";"backup",#N/A,FALSE,"public comps"}</definedName>
    <definedName name="wvu.cash." localSheetId="2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localSheetId="20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25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2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localSheetId="20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25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5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5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2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localSheetId="20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25">{"assumption 50 50",#N/A,TRUE,"Merger";"has gets cash",#N/A,TRUE,"Merger";"accretion dilution",#N/A,TRUE,"Merger";"comparison credit stats",#N/A,TRUE,"Merger";"pf credit stats",#N/A,TRUE,"Merger";"pf sheets",#N/A,TRUE,"Merger"}</definedName>
    <definedName name="ww" localSheetId="20">{"assumption 50 50",#N/A,TRUE,"Merger";"has gets cash",#N/A,TRUE,"Merger";"accretion dilution",#N/A,TRUE,"Merger";"comparison credit stats",#N/A,TRUE,"Merger";"pf credit stats",#N/A,TRUE,"Merger";"pf sheets",#N/A,TRUE,"Merger"}</definedName>
    <definedName name="ww">{"assumption 50 50",#N/A,TRUE,"Merger";"has gets cash",#N/A,TRUE,"Merger";"accretion dilution",#N/A,TRUE,"Merger";"comparison credit stats",#N/A,TRUE,"Merger";"pf credit stats",#N/A,TRUE,"Merger";"pf sheets",#N/A,TRUE,"Merger"}</definedName>
    <definedName name="ww.Rele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w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" localSheetId="25">{#N/A,#N/A,FALSE,"Aging Summary";#N/A,#N/A,FALSE,"Ratio Analysis";#N/A,#N/A,FALSE,"Test 120 Day Accts";#N/A,#N/A,FALSE,"Tickmarks"}</definedName>
    <definedName name="x" localSheetId="20">{#N/A,#N/A,FALSE,"Aging Summary";#N/A,#N/A,FALSE,"Ratio Analysis";#N/A,#N/A,FALSE,"Test 120 Day Accts";#N/A,#N/A,FALSE,"Tickmarks"}</definedName>
    <definedName name="x">{#N/A,#N/A,FALSE,"Aging Summary";#N/A,#N/A,FALSE,"Ratio Analysis";#N/A,#N/A,FALSE,"Test 120 Day Accts";#N/A,#N/A,FALSE,"Tickmarks"}</definedName>
    <definedName name="xcxzc" localSheetId="25">{#N/A,#N/A,FALSE,"AD_Purchase";#N/A,#N/A,FALSE,"Credit";#N/A,#N/A,FALSE,"PF Acquisition";#N/A,#N/A,FALSE,"PF Offering"}</definedName>
    <definedName name="xcxzc" localSheetId="20">{#N/A,#N/A,FALSE,"AD_Purchase";#N/A,#N/A,FALSE,"Credit";#N/A,#N/A,FALSE,"PF Acquisition";#N/A,#N/A,FALSE,"PF Offering"}</definedName>
    <definedName name="xcxzc">{#N/A,#N/A,FALSE,"AD_Purchase";#N/A,#N/A,FALSE,"Credit";#N/A,#N/A,FALSE,"PF Acquisition";#N/A,#N/A,FALSE,"PF Offering"}</definedName>
    <definedName name="xdfsd" localSheetId="25">{#N/A,#N/A,TRUE,"Acquirer_Cases_Input";#N/A,#N/A,TRUE,"Acquirer_Input";#N/A,#N/A,TRUE,"Acquirer"}</definedName>
    <definedName name="xdfsd" localSheetId="20">{#N/A,#N/A,TRUE,"Acquirer_Cases_Input";#N/A,#N/A,TRUE,"Acquirer_Input";#N/A,#N/A,TRUE,"Acquirer"}</definedName>
    <definedName name="xdfsd">{#N/A,#N/A,TRUE,"Acquirer_Cases_Input";#N/A,#N/A,TRUE,"Acquirer_Input";#N/A,#N/A,TRUE,"Acquirer"}</definedName>
    <definedName name="XRefColumnsCount">1</definedName>
    <definedName name="XRefCopyRangeCount">2</definedName>
    <definedName name="XRefPasteRangeCount">1</definedName>
    <definedName name="xvcb" localSheetId="25">{"bs",#N/A,FALSE,"SCF"}</definedName>
    <definedName name="xvcb" localSheetId="20">{"bs",#N/A,FALSE,"SCF"}</definedName>
    <definedName name="xvcb">{"bs",#N/A,FALSE,"SCF"}</definedName>
    <definedName name="xx" localSheetId="25">{"summary1",#N/A,FALSE,"Summary of Values";"summary2",#N/A,FALSE,"Summary of Values"}</definedName>
    <definedName name="xx" localSheetId="20">{"summary1",#N/A,FALSE,"Summary of Values";"summary2",#N/A,FALSE,"Summary of Values"}</definedName>
    <definedName name="xx">{"summary1",#N/A,FALSE,"Summary of Values";"summary2",#N/A,FALSE,"Summary of Values"}</definedName>
    <definedName name="xxx" localSheetId="25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 localSheetId="20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x" localSheetId="25">{"CSheet",#N/A,FALSE,"C";"SmCap",#N/A,FALSE,"VAL1";"GulfCoast",#N/A,FALSE,"VAL1";"nav",#N/A,FALSE,"NAV";"Summary",#N/A,FALSE,"NAV"}</definedName>
    <definedName name="xxxx" localSheetId="20">{"CSheet",#N/A,FALSE,"C";"SmCap",#N/A,FALSE,"VAL1";"GulfCoast",#N/A,FALSE,"VAL1";"nav",#N/A,FALSE,"NAV";"Summary",#N/A,FALSE,"NAV"}</definedName>
    <definedName name="xxxx">{"CSheet",#N/A,FALSE,"C";"SmCap",#N/A,FALSE,"VAL1";"GulfCoast",#N/A,FALSE,"VAL1";"nav",#N/A,FALSE,"NAV";"Summary",#N/A,FALSE,"NAV"}</definedName>
    <definedName name="xxxxx" localSheetId="25">{"Total",#N/A,FALSE,"Total Proved";"PDP",#N/A,FALSE,"Total Proved";"PNP",#N/A,FALSE,"Total Proved";"PUD",#N/A,FALSE,"Total Proved"}</definedName>
    <definedName name="xxxxx" localSheetId="20">{"Total",#N/A,FALSE,"Total Proved";"PDP",#N/A,FALSE,"Total Proved";"PNP",#N/A,FALSE,"Total Proved";"PUD",#N/A,FALSE,"Total Proved"}</definedName>
    <definedName name="xxxxx">{"Total",#N/A,FALSE,"Total Proved";"PDP",#N/A,FALSE,"Total Proved";"PNP",#N/A,FALSE,"Total Proved";"PUD",#N/A,FALSE,"Total Proved"}</definedName>
    <definedName name="xxxxxx" localSheetId="25">{"Total",#N/A,FALSE,"Total Proved + Probable";"PDP",#N/A,FALSE,"Total Proved + Probable";"PNP",#N/A,FALSE,"Total Proved + Probable";"PUD",#N/A,FALSE,"Total Proved + Probable";"Prob",#N/A,FALSE,"Total Proved + Probable"}</definedName>
    <definedName name="xxxxxx" localSheetId="20">{"Total",#N/A,FALSE,"Total Proved + Probable";"PDP",#N/A,FALSE,"Total Proved + Probable";"PNP",#N/A,FALSE,"Total Proved + Probable";"PUD",#N/A,FALSE,"Total Proved + Probable";"Prob",#N/A,FALSE,"Total Proved + Probable"}</definedName>
    <definedName name="xxxxxx">{"Total",#N/A,FALSE,"Total Proved + Probable";"PDP",#N/A,FALSE,"Total Proved + Probable";"PNP",#N/A,FALSE,"Total Proved + Probable";"PUD",#N/A,FALSE,"Total Proved + Probable";"Prob",#N/A,FALSE,"Total Proved + Probable"}</definedName>
    <definedName name="xxxxxxx" localSheetId="25">{"trademark1",#N/A,FALSE,"Trademark(s) and Trade Name(s)"}</definedName>
    <definedName name="xxxxxxx" localSheetId="20">{"trademark1",#N/A,FALSE,"Trademark(s) and Trade Name(s)"}</definedName>
    <definedName name="xxxxxxx">{"trademark1",#N/A,FALSE,"Trademark(s) and Trade Name(s)"}</definedName>
    <definedName name="xxxxxxxx" localSheetId="25">{"histincome",#N/A,FALSE,"hyfins";"closing balance",#N/A,FALSE,"hyfins"}</definedName>
    <definedName name="xxxxxxxx" localSheetId="20">{"histincome",#N/A,FALSE,"hyfins";"closing balance",#N/A,FALSE,"hyfins"}</definedName>
    <definedName name="xxxxxxxx">{"histincome",#N/A,FALSE,"hyfins";"closing balance",#N/A,FALSE,"hyfins"}</definedName>
    <definedName name="xyz" localSheetId="25">{"histincome",#N/A,FALSE,"hyfins";"closing balance",#N/A,FALSE,"hyfins"}</definedName>
    <definedName name="xyz" localSheetId="20">{"histincome",#N/A,FALSE,"hyfins";"closing balance",#N/A,FALSE,"hyfins"}</definedName>
    <definedName name="xyz">{"histincome",#N/A,FALSE,"hyfins";"closing balance",#N/A,FALSE,"hyfins"}</definedName>
    <definedName name="xzf" localSheetId="25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20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EAH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25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20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s" localSheetId="25">{"PAGE 1",#N/A,FALSE,"WEST_OT"}</definedName>
    <definedName name="yes" localSheetId="20">{"PAGE 1",#N/A,FALSE,"WEST_OT"}</definedName>
    <definedName name="yes">{"PAGE 1",#N/A,FALSE,"WEST_OT"}</definedName>
    <definedName name="yhn" localSheetId="25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20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ouh" localSheetId="25">{#N/A,#N/A,FALSE,"AD_Purchase";#N/A,#N/A,FALSE,"Credit";#N/A,#N/A,FALSE,"PF Acquisition";#N/A,#N/A,FALSE,"PF Offering"}</definedName>
    <definedName name="youh" localSheetId="20">{#N/A,#N/A,FALSE,"AD_Purchase";#N/A,#N/A,FALSE,"Credit";#N/A,#N/A,FALSE,"PF Acquisition";#N/A,#N/A,FALSE,"PF Offering"}</definedName>
    <definedName name="youh">{#N/A,#N/A,FALSE,"AD_Purchase";#N/A,#N/A,FALSE,"Credit";#N/A,#N/A,FALSE,"PF Acquisition";#N/A,#N/A,FALSE,"PF Offering"}</definedName>
    <definedName name="yrd" localSheetId="25">{"PAGE 1",#N/A,FALSE,"WEST_OT"}</definedName>
    <definedName name="yrd" localSheetId="20">{"PAGE 1",#N/A,FALSE,"WEST_OT"}</definedName>
    <definedName name="yrd">{"PAGE 1",#N/A,FALSE,"WEST_OT"}</definedName>
    <definedName name="yu" localSheetId="25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localSheetId="20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y" localSheetId="25">{#N/A,#N/A,TRUE,"Acquirer_Cases_Input";#N/A,#N/A,TRUE,"Acquirer_Input";#N/A,#N/A,TRUE,"Acquirer"}</definedName>
    <definedName name="yy" localSheetId="20">{#N/A,#N/A,TRUE,"Acquirer_Cases_Input";#N/A,#N/A,TRUE,"Acquirer_Input";#N/A,#N/A,TRUE,"Acquirer"}</definedName>
    <definedName name="yy">{#N/A,#N/A,TRUE,"Acquirer_Cases_Input";#N/A,#N/A,TRUE,"Acquirer_Input";#N/A,#N/A,TRUE,"Acquirer"}</definedName>
    <definedName name="yyy" localSheetId="25">{#N/A,#N/A,TRUE,"Fiber_Optic_Cable_Input ";#N/A,#N/A,TRUE,"Specialty_Fiber_Devices_Input";#N/A,#N/A,TRUE,"Optical_Fiber_Apparatus_Input"}</definedName>
    <definedName name="yyy" localSheetId="20">{#N/A,#N/A,TRUE,"Fiber_Optic_Cable_Input ";#N/A,#N/A,TRUE,"Specialty_Fiber_Devices_Input";#N/A,#N/A,TRUE,"Optical_Fiber_Apparatus_Input"}</definedName>
    <definedName name="yyy">{#N/A,#N/A,TRUE,"Fiber_Optic_Cable_Input ";#N/A,#N/A,TRUE,"Specialty_Fiber_Devices_Input";#N/A,#N/A,TRUE,"Optical_Fiber_Apparatus_Input"}</definedName>
    <definedName name="yyyyy" localSheetId="25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 localSheetId="20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z" localSheetId="25">{"CSheet",#N/A,FALSE,"C";"SmCap",#N/A,FALSE,"VAL1";"GulfCoast",#N/A,FALSE,"VAL1";"nav",#N/A,FALSE,"NAV";"Summary",#N/A,FALSE,"NAV"}</definedName>
    <definedName name="z" localSheetId="20">{"CSheet",#N/A,FALSE,"C";"SmCap",#N/A,FALSE,"VAL1";"GulfCoast",#N/A,FALSE,"VAL1";"nav",#N/A,FALSE,"NAV";"Summary",#N/A,FALSE,"NAV"}</definedName>
    <definedName name="z">{"CSheet",#N/A,FALSE,"C";"SmCap",#N/A,FALSE,"VAL1";"GulfCoast",#N/A,FALSE,"VAL1";"nav",#N/A,FALSE,"NAV";"Summary",#N/A,FALSE,"NAV"}</definedName>
    <definedName name="ｚ" localSheetId="25">{"'下期集計（10.27迄・速報値）'!$Q$16"}</definedName>
    <definedName name="ｚ" localSheetId="20">{"'下期集計（10.27迄・速報値）'!$Q$16"}</definedName>
    <definedName name="ｚ">{"'下期集計（10.27迄・速報値）'!$Q$16"}</definedName>
    <definedName name="Z_108943D4_F1C1_11D2_806D_00105A0ACAB3_.wvu.Cols">#REF!,#REF!</definedName>
    <definedName name="Z_108943D4_F1C1_11D2_806D_00105A0ACAB3_.wvu.Rows">#REF!,#REF!,#REF!,#REF!,#REF!,#REF!,#REF!,#REF!,#REF!,#REF!</definedName>
    <definedName name="Z_2E7403B0_7396_11D2_8061_00105A03258D_.wvu.Cols">#REF!,#REF!</definedName>
    <definedName name="Z_5C525311_F45E_11D3_A510_64E98A000000_.wvu.Cols">#REF!</definedName>
    <definedName name="Z_5C525311_F45E_11D3_A510_64E98A000000_.wvu.Rows">#REF!</definedName>
    <definedName name="Z_7C4D4874_67AD_11D4_B818_0050DA5BC25B_.wvu.Cols">#REF!</definedName>
    <definedName name="Z_7C4D4874_67AD_11D4_B818_0050DA5BC25B_.wvu.Rows">#REF!,#REF!,#REF!,#REF!,#REF!,#REF!,#REF!,#REF!,#REF!,#REF!,#REF!,#REF!</definedName>
    <definedName name="Z_9118CF73_A0E0_408F_82FC_D7B84F445576_.wvu.Cols">#REF!</definedName>
    <definedName name="Z_9118CF73_A0E0_408F_82FC_D7B84F445576_.wvu.PrintArea">#REF!</definedName>
    <definedName name="Z_9118CF73_A0E0_408F_82FC_D7B84F445576_.wvu.Rows">#REF!,#REF!</definedName>
    <definedName name="Z_D638BD64_F476_11D3_9808_00902750E8D4_.wvu.Rows">#REF!,#REF!,#REF!,#REF!,#REF!,#REF!,#REF!,#REF!,#REF!,#REF!</definedName>
    <definedName name="zcvqa" localSheetId="25">{#N/A,#N/A,FALSE,"AD_Purchase";#N/A,#N/A,FALSE,"Credit";#N/A,#N/A,FALSE,"PF Acquisition";#N/A,#N/A,FALSE,"PF Offering"}</definedName>
    <definedName name="zcvqa" localSheetId="20">{#N/A,#N/A,FALSE,"AD_Purchase";#N/A,#N/A,FALSE,"Credit";#N/A,#N/A,FALSE,"PF Acquisition";#N/A,#N/A,FALSE,"PF Offering"}</definedName>
    <definedName name="zcvqa">{#N/A,#N/A,FALSE,"AD_Purchase";#N/A,#N/A,FALSE,"Credit";#N/A,#N/A,FALSE,"PF Acquisition";#N/A,#N/A,FALSE,"PF Offering"}</definedName>
    <definedName name="zcvzaa" localSheetId="25">{#N/A,#N/A,FALSE,"Debt Accr";#N/A,#N/A,FALSE,"Stock Accr";#N/A,#N/A,FALSE,"Debt Stock Accr"}</definedName>
    <definedName name="zcvzaa" localSheetId="20">{#N/A,#N/A,FALSE,"Debt Accr";#N/A,#N/A,FALSE,"Stock Accr";#N/A,#N/A,FALSE,"Debt Stock Accr"}</definedName>
    <definedName name="zcvzaa">{#N/A,#N/A,FALSE,"Debt Accr";#N/A,#N/A,FALSE,"Stock Accr";#N/A,#N/A,FALSE,"Debt Stock Accr"}</definedName>
    <definedName name="zcxzxva" localSheetId="25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20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" localSheetId="25">{#N/A,#N/A,TRUE,"Falcons_Standalone";#N/A,#N/A,TRUE,"Target_Input";#N/A,#N/A,TRUE,"Target_Calendarized"}</definedName>
    <definedName name="zdf" localSheetId="20">{#N/A,#N/A,TRUE,"Falcons_Standalone";#N/A,#N/A,TRUE,"Target_Input";#N/A,#N/A,TRUE,"Target_Calendarized"}</definedName>
    <definedName name="zdf">{#N/A,#N/A,TRUE,"Falcons_Standalone";#N/A,#N/A,TRUE,"Target_Input";#N/A,#N/A,TRUE,"Target_Calendarized"}</definedName>
    <definedName name="zfill">#REF!</definedName>
    <definedName name="zscz" localSheetId="25">{#N/A,#N/A,FALSE,"Pooling";#N/A,#N/A,FALSE,"income";#N/A,#N/A,FALSE,"valuation"}</definedName>
    <definedName name="zscz" localSheetId="20">{#N/A,#N/A,FALSE,"Pooling";#N/A,#N/A,FALSE,"income";#N/A,#N/A,FALSE,"valuation"}</definedName>
    <definedName name="zscz">{#N/A,#N/A,FALSE,"Pooling";#N/A,#N/A,FALSE,"income";#N/A,#N/A,FALSE,"valuation"}</definedName>
    <definedName name="zx" localSheetId="25">{#N/A,#N/A,FALSE,"AD_Purchase";#N/A,#N/A,FALSE,"Credit";#N/A,#N/A,FALSE,"PF Acquisition";#N/A,#N/A,FALSE,"PF Offering"}</definedName>
    <definedName name="zx" localSheetId="20">{#N/A,#N/A,FALSE,"AD_Purchase";#N/A,#N/A,FALSE,"Credit";#N/A,#N/A,FALSE,"PF Acquisition";#N/A,#N/A,FALSE,"PF Offering"}</definedName>
    <definedName name="zx">{#N/A,#N/A,FALSE,"AD_Purchase";#N/A,#N/A,FALSE,"Credit";#N/A,#N/A,FALSE,"PF Acquisition";#N/A,#N/A,FALSE,"PF Offering"}</definedName>
    <definedName name="zxcc" localSheetId="25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20">{#N/A,#N/A,FALSE,"Projections";#N/A,#N/A,FALSE,"Contribution_Stock";#N/A,#N/A,FALSE,"PF_Combo_Stock";#N/A,#N/A,FALSE,"Projections";#N/A,#N/A,FALSE,"Contribution_Cash";#N/A,#N/A,FALSE,"PF_Combo_Cash";#N/A,#N/A,FALSE,"IPO_Cash"}</definedName>
    <definedName name="zxcc">{#N/A,#N/A,FALSE,"Projections";#N/A,#N/A,FALSE,"Contribution_Stock";#N/A,#N/A,FALSE,"PF_Combo_Stock";#N/A,#N/A,FALSE,"Projections";#N/A,#N/A,FALSE,"Contribution_Cash";#N/A,#N/A,FALSE,"PF_Combo_Cash";#N/A,#N/A,FALSE,"IPO_Cash"}</definedName>
    <definedName name="zz" localSheetId="25">{"summary1",#N/A,FALSE,"Summary of Values";"summary2",#N/A,FALSE,"Summary of Values";"weighted average returns",#N/A,FALSE,"WACC and WARA";"fixed asset detail",#N/A,FALSE,"Fixed Asset Detail"}</definedName>
    <definedName name="zz" localSheetId="20">{"summary1",#N/A,FALSE,"Summary of Values";"summary2",#N/A,FALSE,"Summary of Values";"weighted average returns",#N/A,FALSE,"WACC and WARA";"fixed asset detail",#N/A,FALSE,"Fixed Asset Detail"}</definedName>
    <definedName name="zz">{"summary1",#N/A,FALSE,"Summary of Values";"summary2",#N/A,FALSE,"Summary of Values";"weighted average returns",#N/A,FALSE,"WACC and WARA";"fixed asset detail",#N/A,FALSE,"Fixed Asset Detail"}</definedName>
    <definedName name="zzz" localSheetId="25">{#N/A,#N/A,TRUE,"GEM Total";#N/A,#N/A,TRUE,"Final Assembly";#N/A,#N/A,TRUE,"Cleaning";#N/A,#N/A,TRUE,"Schooping,Clearing";#N/A,#N/A,TRUE,"Winding"}</definedName>
    <definedName name="zzz" localSheetId="20">{#N/A,#N/A,TRUE,"GEM Total";#N/A,#N/A,TRUE,"Final Assembly";#N/A,#N/A,TRUE,"Cleaning";#N/A,#N/A,TRUE,"Schooping,Clearing";#N/A,#N/A,TRUE,"Winding"}</definedName>
    <definedName name="zzz">{#N/A,#N/A,TRUE,"GEM Total";#N/A,#N/A,TRUE,"Final Assembly";#N/A,#N/A,TRUE,"Cleaning";#N/A,#N/A,TRUE,"Schooping,Clearing";#N/A,#N/A,TRUE,"Winding"}</definedName>
    <definedName name="zzz.." localSheetId="25">{#N/A,#N/A,TRUE,"GEM Total";#N/A,#N/A,TRUE,"Final Assembly";#N/A,#N/A,TRUE,"Cleaning";#N/A,#N/A,TRUE,"Schooping,Clearing";#N/A,#N/A,TRUE,"Winding"}</definedName>
    <definedName name="zzz.." localSheetId="20">{#N/A,#N/A,TRUE,"GEM Total";#N/A,#N/A,TRUE,"Final Assembly";#N/A,#N/A,TRUE,"Cleaning";#N/A,#N/A,TRUE,"Schooping,Clearing";#N/A,#N/A,TRUE,"Winding"}</definedName>
    <definedName name="zzz..">{#N/A,#N/A,TRUE,"GEM Total";#N/A,#N/A,TRUE,"Final Assembly";#N/A,#N/A,TRUE,"Cleaning";#N/A,#N/A,TRUE,"Schooping,Clearing";#N/A,#N/A,TRUE,"Winding"}</definedName>
    <definedName name="zzz.com" localSheetId="25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20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z" localSheetId="25">{"var_page",#N/A,FALSE,"template"}</definedName>
    <definedName name="zzzzzz" localSheetId="20">{"var_page",#N/A,FALSE,"template"}</definedName>
    <definedName name="zzzzzz">{"var_page",#N/A,FALSE,"template"}</definedName>
    <definedName name="ぁ" localSheetId="25">{"'下期集計（10.27迄・速報値）'!$Q$16"}</definedName>
    <definedName name="ぁ" localSheetId="20">{"'下期集計（10.27迄・速報値）'!$Q$16"}</definedName>
    <definedName name="ぁ">{"'下期集計（10.27迄・速報値）'!$Q$16"}</definedName>
    <definedName name="あ" localSheetId="25">{"'下期集計（10.27迄・速報値）'!$Q$16"}</definedName>
    <definedName name="あ" localSheetId="20">{"'下期集計（10.27迄・速報値）'!$Q$16"}</definedName>
    <definedName name="あ">{"'下期集計（10.27迄・速報値）'!$Q$16"}</definedName>
    <definedName name="あああ" localSheetId="25">{"'下期集計（10.27迄・速報値）'!$Q$16"}</definedName>
    <definedName name="あああ" localSheetId="20">{"'下期集計（10.27迄・速報値）'!$Q$16"}</definedName>
    <definedName name="あああ">{"'下期集計（10.27迄・速報値）'!$Q$16"}</definedName>
    <definedName name="なんで" localSheetId="25">{"'下期集計（10.27迄・速報値）'!$Q$16"}</definedName>
    <definedName name="なんで" localSheetId="20">{"'下期集計（10.27迄・速報値）'!$Q$16"}</definedName>
    <definedName name="なんで">{"'下期集計（10.27迄・速報値）'!$Q$16"}</definedName>
    <definedName name="なんなの" localSheetId="25">{"'下期集計（10.27迄・速報値）'!$Q$16"}</definedName>
    <definedName name="なんなの" localSheetId="20">{"'下期集計（10.27迄・速報値）'!$Q$16"}</definedName>
    <definedName name="なんなの">{"'下期集計（10.27迄・速報値）'!$Q$16"}</definedName>
    <definedName name="אאא" localSheetId="25">{#N/A,#N/A,FALSE,"מאזן בוחן";"כל_מאזן_בוחן",#N/A,FALSE,"מאזן בוחן"}</definedName>
    <definedName name="אאא" localSheetId="20">{#N/A,#N/A,FALSE,"מאזן בוחן";"כל_מאזן_בוחן",#N/A,FALSE,"מאזן בוחן"}</definedName>
    <definedName name="אאא">{#N/A,#N/A,FALSE,"מאזן בוחן";"כל_מאזן_בוחן",#N/A,FALSE,"מאזן בוחן"}</definedName>
    <definedName name="בככ" localSheetId="25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 localSheetId="20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年間収支買掛" localSheetId="25">{"'下期集計（10.27迄・速報値）'!$Q$16"}</definedName>
    <definedName name="年間収支買掛" localSheetId="20">{"'下期集計（10.27迄・速報値）'!$Q$16"}</definedName>
    <definedName name="年間収支買掛">{"'下期集計（10.27迄・速報値）'!$Q$16"}</definedName>
    <definedName name="年間資金収支あ" localSheetId="25">{"'下期集計（10.27迄・速報値）'!$Q$16"}</definedName>
    <definedName name="年間資金収支あ" localSheetId="20">{"'下期集計（10.27迄・速報値）'!$Q$16"}</definedName>
    <definedName name="年間資金収支あ">{"'下期集計（10.27迄・速報値）'!$Q$16"}</definedName>
    <definedName name="日繰06" localSheetId="25">{"'下期集計（10.27迄・速報値）'!$Q$16"}</definedName>
    <definedName name="日繰06" localSheetId="20">{"'下期集計（10.27迄・速報値）'!$Q$16"}</definedName>
    <definedName name="日繰06">{"'下期集計（10.27迄・速報値）'!$Q$16"}</definedName>
    <definedName name="資金" localSheetId="25">{"'下期集計（10.27迄・速報値）'!$Q$16"}</definedName>
    <definedName name="資金" localSheetId="20">{"'下期集計（10.27迄・速報値）'!$Q$16"}</definedName>
    <definedName name="資金">{"'下期集計（10.27迄・速報値）'!$Q$16"}</definedName>
    <definedName name="金利体系" localSheetId="25">{"'下期集計（10.27迄・速報値）'!$Q$16"}</definedName>
    <definedName name="金利体系" localSheetId="20">{"'下期集計（10.27迄・速報値）'!$Q$16"}</definedName>
    <definedName name="金利体系">{"'下期集計（10.27迄・速報値）'!$Q$16"}</definedName>
    <definedName name="関連" localSheetId="25">{"'下期集計（10.27迄・速報値）'!$Q$16"}</definedName>
    <definedName name="関連" localSheetId="20">{"'下期集計（10.27迄・速報値）'!$Q$16"}</definedName>
    <definedName name="関連">{"'下期集計（10.27迄・速報値）'!$Q$16"}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Oq6yaEVexfVi/O1nGZrPj0+65MOeAhOvWuSBdulpCto="/>
    </ext>
  </extLst>
</workbook>
</file>

<file path=xl/calcChain.xml><?xml version="1.0" encoding="utf-8"?>
<calcChain xmlns="http://schemas.openxmlformats.org/spreadsheetml/2006/main">
  <c r="P8" i="6" l="1"/>
  <c r="CN97" i="5"/>
  <c r="CN96" i="5"/>
  <c r="CN95" i="5"/>
  <c r="CN94" i="5"/>
  <c r="CN93" i="5"/>
  <c r="CN92" i="5"/>
  <c r="CN91" i="5"/>
  <c r="CN90" i="5"/>
  <c r="CN89" i="5"/>
  <c r="CN88" i="5"/>
  <c r="CN87" i="5"/>
  <c r="CN86" i="5"/>
  <c r="CN85" i="5"/>
  <c r="CN84" i="5"/>
  <c r="CN83" i="5"/>
  <c r="CN78" i="5"/>
  <c r="CN77" i="5"/>
  <c r="CN76" i="5"/>
  <c r="CN75" i="5"/>
  <c r="CN74" i="5"/>
  <c r="CN73" i="5"/>
  <c r="CN72" i="5"/>
  <c r="CN71" i="5"/>
  <c r="CN70" i="5"/>
  <c r="CN63" i="5"/>
  <c r="CN62" i="5"/>
  <c r="CN61" i="5"/>
  <c r="CN60" i="5"/>
  <c r="CN59" i="5"/>
  <c r="CN58" i="5"/>
  <c r="CN53" i="5"/>
  <c r="CN52" i="5"/>
  <c r="CN51" i="5"/>
  <c r="CN50" i="5"/>
  <c r="CN49" i="5"/>
  <c r="CN48" i="5"/>
  <c r="CN47" i="5"/>
  <c r="CN46" i="5"/>
  <c r="CN45" i="5"/>
  <c r="CN44" i="5"/>
  <c r="CN43" i="5"/>
  <c r="CD23" i="5"/>
  <c r="CE23" i="5"/>
  <c r="CF23" i="5"/>
  <c r="AT21" i="5"/>
  <c r="AT20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CE17" i="5"/>
  <c r="CF17" i="5"/>
  <c r="CE13" i="5"/>
  <c r="CF13" i="5"/>
  <c r="CD21" i="5"/>
  <c r="CD20" i="5"/>
  <c r="CD19" i="5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CE11" i="5"/>
  <c r="CF11" i="5" s="1"/>
  <c r="O27" i="31"/>
  <c r="N27" i="31"/>
  <c r="M27" i="31"/>
  <c r="L27" i="31"/>
  <c r="K27" i="31"/>
  <c r="J27" i="31"/>
  <c r="I27" i="31"/>
  <c r="H27" i="31"/>
  <c r="G27" i="31"/>
  <c r="F27" i="31"/>
  <c r="E27" i="31"/>
  <c r="D27" i="31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M19" i="5"/>
  <c r="BN19" i="5"/>
  <c r="BO19" i="5"/>
  <c r="BP19" i="5"/>
  <c r="BQ19" i="5"/>
  <c r="AU20" i="5"/>
  <c r="AV20" i="5"/>
  <c r="AW20" i="5"/>
  <c r="AX20" i="5"/>
  <c r="AY20" i="5"/>
  <c r="BA20" i="5"/>
  <c r="BB20" i="5"/>
  <c r="BC20" i="5"/>
  <c r="BD20" i="5"/>
  <c r="BE20" i="5"/>
  <c r="BF20" i="5"/>
  <c r="BG20" i="5"/>
  <c r="BH20" i="5"/>
  <c r="BI20" i="5"/>
  <c r="BJ20" i="5"/>
  <c r="BK20" i="5"/>
  <c r="BM20" i="5"/>
  <c r="BN20" i="5"/>
  <c r="BO20" i="5"/>
  <c r="BP20" i="5"/>
  <c r="BQ20" i="5"/>
  <c r="AU21" i="5"/>
  <c r="AV21" i="5"/>
  <c r="AW21" i="5"/>
  <c r="AX21" i="5"/>
  <c r="AY21" i="5"/>
  <c r="BA21" i="5"/>
  <c r="BB21" i="5"/>
  <c r="BC21" i="5"/>
  <c r="BD21" i="5"/>
  <c r="BE21" i="5"/>
  <c r="BF21" i="5"/>
  <c r="BG21" i="5"/>
  <c r="BH21" i="5"/>
  <c r="BI21" i="5"/>
  <c r="BJ21" i="5"/>
  <c r="BK21" i="5"/>
  <c r="BM21" i="5"/>
  <c r="BN21" i="5"/>
  <c r="BO21" i="5"/>
  <c r="BP21" i="5"/>
  <c r="BQ21" i="5"/>
  <c r="Q26" i="31"/>
  <c r="Q25" i="31"/>
  <c r="Q24" i="31"/>
  <c r="Q20" i="31"/>
  <c r="H30" i="31"/>
  <c r="J30" i="31"/>
  <c r="E16" i="31"/>
  <c r="F16" i="31"/>
  <c r="G16" i="31"/>
  <c r="H16" i="31"/>
  <c r="J16" i="31"/>
  <c r="K16" i="31"/>
  <c r="L16" i="31"/>
  <c r="M16" i="31"/>
  <c r="N16" i="31"/>
  <c r="O16" i="31"/>
  <c r="D16" i="31"/>
  <c r="Q15" i="31"/>
  <c r="Q14" i="31"/>
  <c r="Q13" i="31"/>
  <c r="Q9" i="31"/>
  <c r="J22" i="31"/>
  <c r="H22" i="31"/>
  <c r="E22" i="31"/>
  <c r="E11" i="31"/>
  <c r="G11" i="31"/>
  <c r="I11" i="31"/>
  <c r="K11" i="31"/>
  <c r="L11" i="31"/>
  <c r="M11" i="31"/>
  <c r="N11" i="31"/>
  <c r="O11" i="31"/>
  <c r="B31" i="4"/>
  <c r="B20" i="4"/>
  <c r="F45" i="30"/>
  <c r="F41" i="30"/>
  <c r="F37" i="30"/>
  <c r="F24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0" i="30"/>
  <c r="F16" i="30"/>
  <c r="G11" i="30"/>
  <c r="D11" i="30"/>
  <c r="C3" i="30"/>
  <c r="F45" i="29"/>
  <c r="E45" i="29"/>
  <c r="D45" i="29"/>
  <c r="F34" i="29"/>
  <c r="E34" i="29"/>
  <c r="D34" i="29"/>
  <c r="E24" i="29"/>
  <c r="D24" i="29"/>
  <c r="AP413" i="27"/>
  <c r="AO413" i="27"/>
  <c r="AN413" i="27"/>
  <c r="AM413" i="27"/>
  <c r="AL413" i="27"/>
  <c r="AK413" i="27"/>
  <c r="AJ413" i="27"/>
  <c r="AI413" i="27"/>
  <c r="AH413" i="27"/>
  <c r="AG413" i="27"/>
  <c r="AF413" i="27"/>
  <c r="AE413" i="27"/>
  <c r="AD413" i="27"/>
  <c r="AC413" i="27"/>
  <c r="AB413" i="27"/>
  <c r="AA413" i="27"/>
  <c r="Z413" i="27"/>
  <c r="Y413" i="27"/>
  <c r="X413" i="27"/>
  <c r="W413" i="27"/>
  <c r="V413" i="27"/>
  <c r="U413" i="27"/>
  <c r="T413" i="27"/>
  <c r="S413" i="27"/>
  <c r="R413" i="27"/>
  <c r="Q413" i="27"/>
  <c r="P413" i="27"/>
  <c r="O413" i="27"/>
  <c r="N413" i="27"/>
  <c r="M413" i="27"/>
  <c r="L413" i="27"/>
  <c r="K413" i="27"/>
  <c r="J413" i="27"/>
  <c r="I413" i="27"/>
  <c r="H413" i="27"/>
  <c r="G413" i="27"/>
  <c r="AP412" i="27"/>
  <c r="AO412" i="27"/>
  <c r="AN412" i="27"/>
  <c r="AM412" i="27"/>
  <c r="AL412" i="27"/>
  <c r="AK412" i="27"/>
  <c r="AJ412" i="27"/>
  <c r="AI412" i="27"/>
  <c r="AH412" i="27"/>
  <c r="AG412" i="27"/>
  <c r="AF412" i="27"/>
  <c r="AE412" i="27"/>
  <c r="AD412" i="27"/>
  <c r="AC412" i="27"/>
  <c r="AB412" i="27"/>
  <c r="AA412" i="27"/>
  <c r="Z412" i="27"/>
  <c r="Y412" i="27"/>
  <c r="X412" i="27"/>
  <c r="W412" i="27"/>
  <c r="V412" i="27"/>
  <c r="U412" i="27"/>
  <c r="T412" i="27"/>
  <c r="S412" i="27"/>
  <c r="R412" i="27"/>
  <c r="Q412" i="27"/>
  <c r="P412" i="27"/>
  <c r="O412" i="27"/>
  <c r="N412" i="27"/>
  <c r="M412" i="27"/>
  <c r="L412" i="27"/>
  <c r="K412" i="27"/>
  <c r="J412" i="27"/>
  <c r="I412" i="27"/>
  <c r="H412" i="27"/>
  <c r="G412" i="27"/>
  <c r="AP411" i="27"/>
  <c r="AO411" i="27"/>
  <c r="AN411" i="27"/>
  <c r="AM411" i="27"/>
  <c r="AL411" i="27"/>
  <c r="AK411" i="27"/>
  <c r="AJ411" i="27"/>
  <c r="AI411" i="27"/>
  <c r="AH411" i="27"/>
  <c r="AG411" i="27"/>
  <c r="AF411" i="27"/>
  <c r="AE411" i="27"/>
  <c r="AD411" i="27"/>
  <c r="AC411" i="27"/>
  <c r="AB411" i="27"/>
  <c r="AA411" i="27"/>
  <c r="Z411" i="27"/>
  <c r="Y411" i="27"/>
  <c r="X411" i="27"/>
  <c r="W411" i="27"/>
  <c r="V411" i="27"/>
  <c r="U411" i="27"/>
  <c r="T411" i="27"/>
  <c r="S411" i="27"/>
  <c r="R411" i="27"/>
  <c r="Q411" i="27"/>
  <c r="P411" i="27"/>
  <c r="O411" i="27"/>
  <c r="N411" i="27"/>
  <c r="M411" i="27"/>
  <c r="L411" i="27"/>
  <c r="K411" i="27"/>
  <c r="J411" i="27"/>
  <c r="I411" i="27"/>
  <c r="H411" i="27"/>
  <c r="G411" i="27"/>
  <c r="AP410" i="27"/>
  <c r="AO410" i="27"/>
  <c r="AN410" i="27"/>
  <c r="AM410" i="27"/>
  <c r="AL410" i="27"/>
  <c r="AK410" i="27"/>
  <c r="AJ410" i="27"/>
  <c r="AI410" i="27"/>
  <c r="AH410" i="27"/>
  <c r="AG410" i="27"/>
  <c r="AF410" i="27"/>
  <c r="AE410" i="27"/>
  <c r="AD410" i="27"/>
  <c r="AC410" i="27"/>
  <c r="AB410" i="27"/>
  <c r="AA410" i="27"/>
  <c r="Z410" i="27"/>
  <c r="Y410" i="27"/>
  <c r="X410" i="27"/>
  <c r="W410" i="27"/>
  <c r="V410" i="27"/>
  <c r="U410" i="27"/>
  <c r="T410" i="27"/>
  <c r="S410" i="27"/>
  <c r="R410" i="27"/>
  <c r="Q410" i="27"/>
  <c r="P410" i="27"/>
  <c r="O410" i="27"/>
  <c r="N410" i="27"/>
  <c r="M410" i="27"/>
  <c r="L410" i="27"/>
  <c r="K410" i="27"/>
  <c r="J410" i="27"/>
  <c r="I410" i="27"/>
  <c r="H410" i="27"/>
  <c r="G410" i="27"/>
  <c r="AP409" i="27"/>
  <c r="AO409" i="27"/>
  <c r="AN409" i="27"/>
  <c r="AM409" i="27"/>
  <c r="AL409" i="27"/>
  <c r="AK409" i="27"/>
  <c r="AJ409" i="27"/>
  <c r="AI409" i="27"/>
  <c r="AH409" i="27"/>
  <c r="AG409" i="27"/>
  <c r="AF409" i="27"/>
  <c r="AE409" i="27"/>
  <c r="AD409" i="27"/>
  <c r="AC409" i="27"/>
  <c r="AB409" i="27"/>
  <c r="AA409" i="27"/>
  <c r="Z409" i="27"/>
  <c r="Y409" i="27"/>
  <c r="X409" i="27"/>
  <c r="W409" i="27"/>
  <c r="V409" i="27"/>
  <c r="U409" i="27"/>
  <c r="T409" i="27"/>
  <c r="S409" i="27"/>
  <c r="R409" i="27"/>
  <c r="Q409" i="27"/>
  <c r="P409" i="27"/>
  <c r="O409" i="27"/>
  <c r="N409" i="27"/>
  <c r="M409" i="27"/>
  <c r="L409" i="27"/>
  <c r="K409" i="27"/>
  <c r="J409" i="27"/>
  <c r="I409" i="27"/>
  <c r="H409" i="27"/>
  <c r="G409" i="27"/>
  <c r="AP408" i="27"/>
  <c r="AO408" i="27"/>
  <c r="AN408" i="27"/>
  <c r="AM408" i="27"/>
  <c r="AL408" i="27"/>
  <c r="AK408" i="27"/>
  <c r="AJ408" i="27"/>
  <c r="AI408" i="27"/>
  <c r="AH408" i="27"/>
  <c r="AG408" i="27"/>
  <c r="AF408" i="27"/>
  <c r="AE408" i="27"/>
  <c r="AD408" i="27"/>
  <c r="AC408" i="27"/>
  <c r="AB408" i="27"/>
  <c r="AA408" i="27"/>
  <c r="Z408" i="27"/>
  <c r="Y408" i="27"/>
  <c r="X408" i="27"/>
  <c r="W408" i="27"/>
  <c r="V408" i="27"/>
  <c r="U408" i="27"/>
  <c r="T408" i="27"/>
  <c r="S408" i="27"/>
  <c r="R408" i="27"/>
  <c r="Q408" i="27"/>
  <c r="P408" i="27"/>
  <c r="O408" i="27"/>
  <c r="N408" i="27"/>
  <c r="M408" i="27"/>
  <c r="L408" i="27"/>
  <c r="K408" i="27"/>
  <c r="J408" i="27"/>
  <c r="I408" i="27"/>
  <c r="H408" i="27"/>
  <c r="G408" i="27"/>
  <c r="AP407" i="27"/>
  <c r="AO407" i="27"/>
  <c r="AN407" i="27"/>
  <c r="AM407" i="27"/>
  <c r="AL407" i="27"/>
  <c r="AK407" i="27"/>
  <c r="AJ407" i="27"/>
  <c r="AI407" i="27"/>
  <c r="AH407" i="27"/>
  <c r="AG407" i="27"/>
  <c r="AF407" i="27"/>
  <c r="AE407" i="27"/>
  <c r="AD407" i="27"/>
  <c r="AC407" i="27"/>
  <c r="AB407" i="27"/>
  <c r="AA407" i="27"/>
  <c r="Z407" i="27"/>
  <c r="Y407" i="27"/>
  <c r="X407" i="27"/>
  <c r="W407" i="27"/>
  <c r="V407" i="27"/>
  <c r="U407" i="27"/>
  <c r="T407" i="27"/>
  <c r="S407" i="27"/>
  <c r="R407" i="27"/>
  <c r="Q407" i="27"/>
  <c r="P407" i="27"/>
  <c r="O407" i="27"/>
  <c r="N407" i="27"/>
  <c r="M407" i="27"/>
  <c r="L407" i="27"/>
  <c r="K407" i="27"/>
  <c r="J407" i="27"/>
  <c r="I407" i="27"/>
  <c r="H407" i="27"/>
  <c r="G407" i="27"/>
  <c r="AP406" i="27"/>
  <c r="AO406" i="27"/>
  <c r="AN406" i="27"/>
  <c r="AM406" i="27"/>
  <c r="AL406" i="27"/>
  <c r="AK406" i="27"/>
  <c r="AJ406" i="27"/>
  <c r="AI406" i="27"/>
  <c r="AH406" i="27"/>
  <c r="AG406" i="27"/>
  <c r="AF406" i="27"/>
  <c r="AE406" i="27"/>
  <c r="AD406" i="27"/>
  <c r="AC406" i="27"/>
  <c r="AB406" i="27"/>
  <c r="AA406" i="27"/>
  <c r="Z406" i="27"/>
  <c r="Y406" i="27"/>
  <c r="X406" i="27"/>
  <c r="W406" i="27"/>
  <c r="V406" i="27"/>
  <c r="U406" i="27"/>
  <c r="T406" i="27"/>
  <c r="S406" i="27"/>
  <c r="R406" i="27"/>
  <c r="Q406" i="27"/>
  <c r="P406" i="27"/>
  <c r="O406" i="27"/>
  <c r="N406" i="27"/>
  <c r="M406" i="27"/>
  <c r="L406" i="27"/>
  <c r="K406" i="27"/>
  <c r="J406" i="27"/>
  <c r="I406" i="27"/>
  <c r="H406" i="27"/>
  <c r="G406" i="27"/>
  <c r="AP405" i="27"/>
  <c r="AO405" i="27"/>
  <c r="AN405" i="27"/>
  <c r="AM405" i="27"/>
  <c r="AL405" i="27"/>
  <c r="AK405" i="27"/>
  <c r="AJ405" i="27"/>
  <c r="AI405" i="27"/>
  <c r="AH405" i="27"/>
  <c r="AG405" i="27"/>
  <c r="AF405" i="27"/>
  <c r="AE405" i="27"/>
  <c r="AD405" i="27"/>
  <c r="AC405" i="27"/>
  <c r="AB405" i="27"/>
  <c r="AA405" i="27"/>
  <c r="Z405" i="27"/>
  <c r="Y405" i="27"/>
  <c r="X405" i="27"/>
  <c r="W405" i="27"/>
  <c r="V405" i="27"/>
  <c r="U405" i="27"/>
  <c r="T405" i="27"/>
  <c r="S405" i="27"/>
  <c r="R405" i="27"/>
  <c r="Q405" i="27"/>
  <c r="P405" i="27"/>
  <c r="O405" i="27"/>
  <c r="N405" i="27"/>
  <c r="M405" i="27"/>
  <c r="L405" i="27"/>
  <c r="K405" i="27"/>
  <c r="J405" i="27"/>
  <c r="I405" i="27"/>
  <c r="H405" i="27"/>
  <c r="G405" i="27"/>
  <c r="AP404" i="27"/>
  <c r="AO404" i="27"/>
  <c r="AN404" i="27"/>
  <c r="AM404" i="27"/>
  <c r="AL404" i="27"/>
  <c r="AK404" i="27"/>
  <c r="AJ404" i="27"/>
  <c r="AI404" i="27"/>
  <c r="AH404" i="27"/>
  <c r="AG404" i="27"/>
  <c r="AF404" i="27"/>
  <c r="AE404" i="27"/>
  <c r="AD404" i="27"/>
  <c r="AC404" i="27"/>
  <c r="AB404" i="27"/>
  <c r="AA404" i="27"/>
  <c r="Z404" i="27"/>
  <c r="Y404" i="27"/>
  <c r="X404" i="27"/>
  <c r="W404" i="27"/>
  <c r="V404" i="27"/>
  <c r="U404" i="27"/>
  <c r="T404" i="27"/>
  <c r="S404" i="27"/>
  <c r="R404" i="27"/>
  <c r="Q404" i="27"/>
  <c r="P404" i="27"/>
  <c r="O404" i="27"/>
  <c r="N404" i="27"/>
  <c r="M404" i="27"/>
  <c r="L404" i="27"/>
  <c r="K404" i="27"/>
  <c r="J404" i="27"/>
  <c r="I404" i="27"/>
  <c r="H404" i="27"/>
  <c r="G404" i="27"/>
  <c r="AP403" i="27"/>
  <c r="AO403" i="27"/>
  <c r="AN403" i="27"/>
  <c r="AM403" i="27"/>
  <c r="AL403" i="27"/>
  <c r="AK403" i="27"/>
  <c r="AJ403" i="27"/>
  <c r="AI403" i="27"/>
  <c r="AH403" i="27"/>
  <c r="AG403" i="27"/>
  <c r="AF403" i="27"/>
  <c r="AE403" i="27"/>
  <c r="AD403" i="27"/>
  <c r="AC403" i="27"/>
  <c r="AB403" i="27"/>
  <c r="AA403" i="27"/>
  <c r="Z403" i="27"/>
  <c r="Y403" i="27"/>
  <c r="X403" i="27"/>
  <c r="W403" i="27"/>
  <c r="V403" i="27"/>
  <c r="U403" i="27"/>
  <c r="T403" i="27"/>
  <c r="S403" i="27"/>
  <c r="R403" i="27"/>
  <c r="Q403" i="27"/>
  <c r="P403" i="27"/>
  <c r="O403" i="27"/>
  <c r="N403" i="27"/>
  <c r="M403" i="27"/>
  <c r="L403" i="27"/>
  <c r="K403" i="27"/>
  <c r="J403" i="27"/>
  <c r="I403" i="27"/>
  <c r="H403" i="27"/>
  <c r="G403" i="27"/>
  <c r="AP402" i="27"/>
  <c r="AO402" i="27"/>
  <c r="AN402" i="27"/>
  <c r="AM402" i="27"/>
  <c r="AL402" i="27"/>
  <c r="AK402" i="27"/>
  <c r="AJ402" i="27"/>
  <c r="AI402" i="27"/>
  <c r="AH402" i="27"/>
  <c r="AG402" i="27"/>
  <c r="AF402" i="27"/>
  <c r="AE402" i="27"/>
  <c r="AD402" i="27"/>
  <c r="AC402" i="27"/>
  <c r="AB402" i="27"/>
  <c r="AA402" i="27"/>
  <c r="Z402" i="27"/>
  <c r="Y402" i="27"/>
  <c r="X402" i="27"/>
  <c r="W402" i="27"/>
  <c r="V402" i="27"/>
  <c r="U402" i="27"/>
  <c r="T402" i="27"/>
  <c r="S402" i="27"/>
  <c r="R402" i="27"/>
  <c r="Q402" i="27"/>
  <c r="P402" i="27"/>
  <c r="O402" i="27"/>
  <c r="N402" i="27"/>
  <c r="M402" i="27"/>
  <c r="L402" i="27"/>
  <c r="K402" i="27"/>
  <c r="J402" i="27"/>
  <c r="I402" i="27"/>
  <c r="H402" i="27"/>
  <c r="G402" i="27"/>
  <c r="AP401" i="27"/>
  <c r="AO401" i="27"/>
  <c r="AN401" i="27"/>
  <c r="AM401" i="27"/>
  <c r="AL401" i="27"/>
  <c r="AK401" i="27"/>
  <c r="AJ401" i="27"/>
  <c r="AI401" i="27"/>
  <c r="AH401" i="27"/>
  <c r="AG401" i="27"/>
  <c r="AF401" i="27"/>
  <c r="AE401" i="27"/>
  <c r="AD401" i="27"/>
  <c r="AC401" i="27"/>
  <c r="AB401" i="27"/>
  <c r="AA401" i="27"/>
  <c r="Z401" i="27"/>
  <c r="Y401" i="27"/>
  <c r="X401" i="27"/>
  <c r="W401" i="27"/>
  <c r="V401" i="27"/>
  <c r="U401" i="27"/>
  <c r="T401" i="27"/>
  <c r="S401" i="27"/>
  <c r="R401" i="27"/>
  <c r="Q401" i="27"/>
  <c r="P401" i="27"/>
  <c r="O401" i="27"/>
  <c r="N401" i="27"/>
  <c r="M401" i="27"/>
  <c r="L401" i="27"/>
  <c r="K401" i="27"/>
  <c r="J401" i="27"/>
  <c r="I401" i="27"/>
  <c r="H401" i="27"/>
  <c r="G401" i="27"/>
  <c r="AP400" i="27"/>
  <c r="AO400" i="27"/>
  <c r="AN400" i="27"/>
  <c r="AM400" i="27"/>
  <c r="AL400" i="27"/>
  <c r="AK400" i="27"/>
  <c r="AJ400" i="27"/>
  <c r="AI400" i="27"/>
  <c r="AH400" i="27"/>
  <c r="AG400" i="27"/>
  <c r="AF400" i="27"/>
  <c r="AE400" i="27"/>
  <c r="AD400" i="27"/>
  <c r="AC400" i="27"/>
  <c r="AB400" i="27"/>
  <c r="AA400" i="27"/>
  <c r="Z400" i="27"/>
  <c r="Y400" i="27"/>
  <c r="X400" i="27"/>
  <c r="W400" i="27"/>
  <c r="V400" i="27"/>
  <c r="U400" i="27"/>
  <c r="T400" i="27"/>
  <c r="S400" i="27"/>
  <c r="R400" i="27"/>
  <c r="Q400" i="27"/>
  <c r="P400" i="27"/>
  <c r="O400" i="27"/>
  <c r="N400" i="27"/>
  <c r="M400" i="27"/>
  <c r="L400" i="27"/>
  <c r="K400" i="27"/>
  <c r="J400" i="27"/>
  <c r="I400" i="27"/>
  <c r="H400" i="27"/>
  <c r="G400" i="27"/>
  <c r="AP399" i="27"/>
  <c r="AO399" i="27"/>
  <c r="AN399" i="27"/>
  <c r="AM399" i="27"/>
  <c r="AL399" i="27"/>
  <c r="AK399" i="27"/>
  <c r="AJ399" i="27"/>
  <c r="AI399" i="27"/>
  <c r="AH399" i="27"/>
  <c r="AG399" i="27"/>
  <c r="AF399" i="27"/>
  <c r="AE399" i="27"/>
  <c r="AD399" i="27"/>
  <c r="AC399" i="27"/>
  <c r="AB399" i="27"/>
  <c r="AA399" i="27"/>
  <c r="Z399" i="27"/>
  <c r="Y399" i="27"/>
  <c r="X399" i="27"/>
  <c r="W399" i="27"/>
  <c r="V399" i="27"/>
  <c r="U399" i="27"/>
  <c r="T399" i="27"/>
  <c r="S399" i="27"/>
  <c r="R399" i="27"/>
  <c r="Q399" i="27"/>
  <c r="P399" i="27"/>
  <c r="O399" i="27"/>
  <c r="N399" i="27"/>
  <c r="M399" i="27"/>
  <c r="L399" i="27"/>
  <c r="K399" i="27"/>
  <c r="J399" i="27"/>
  <c r="I399" i="27"/>
  <c r="H399" i="27"/>
  <c r="G399" i="27"/>
  <c r="AP398" i="27"/>
  <c r="AO398" i="27"/>
  <c r="AN398" i="27"/>
  <c r="AM398" i="27"/>
  <c r="AL398" i="27"/>
  <c r="AK398" i="27"/>
  <c r="AJ398" i="27"/>
  <c r="AI398" i="27"/>
  <c r="AH398" i="27"/>
  <c r="AG398" i="27"/>
  <c r="AF398" i="27"/>
  <c r="AE398" i="27"/>
  <c r="AD398" i="27"/>
  <c r="AC398" i="27"/>
  <c r="AB398" i="27"/>
  <c r="AA398" i="27"/>
  <c r="Z398" i="27"/>
  <c r="Y398" i="27"/>
  <c r="X398" i="27"/>
  <c r="W398" i="27"/>
  <c r="V398" i="27"/>
  <c r="U398" i="27"/>
  <c r="T398" i="27"/>
  <c r="S398" i="27"/>
  <c r="R398" i="27"/>
  <c r="Q398" i="27"/>
  <c r="P398" i="27"/>
  <c r="O398" i="27"/>
  <c r="N398" i="27"/>
  <c r="M398" i="27"/>
  <c r="L398" i="27"/>
  <c r="K398" i="27"/>
  <c r="J398" i="27"/>
  <c r="I398" i="27"/>
  <c r="H398" i="27"/>
  <c r="G398" i="27"/>
  <c r="AP397" i="27"/>
  <c r="AO397" i="27"/>
  <c r="AN397" i="27"/>
  <c r="AM397" i="27"/>
  <c r="AL397" i="27"/>
  <c r="AK397" i="27"/>
  <c r="AJ397" i="27"/>
  <c r="AI397" i="27"/>
  <c r="AH397" i="27"/>
  <c r="AG397" i="27"/>
  <c r="AF397" i="27"/>
  <c r="AE397" i="27"/>
  <c r="AD397" i="27"/>
  <c r="AC397" i="27"/>
  <c r="AB397" i="27"/>
  <c r="AA397" i="27"/>
  <c r="Z397" i="27"/>
  <c r="Y397" i="27"/>
  <c r="X397" i="27"/>
  <c r="W397" i="27"/>
  <c r="V397" i="27"/>
  <c r="U397" i="27"/>
  <c r="T397" i="27"/>
  <c r="S397" i="27"/>
  <c r="R397" i="27"/>
  <c r="Q397" i="27"/>
  <c r="P397" i="27"/>
  <c r="O397" i="27"/>
  <c r="N397" i="27"/>
  <c r="M397" i="27"/>
  <c r="L397" i="27"/>
  <c r="K397" i="27"/>
  <c r="J397" i="27"/>
  <c r="I397" i="27"/>
  <c r="H397" i="27"/>
  <c r="G397" i="27"/>
  <c r="AP396" i="27"/>
  <c r="AO396" i="27"/>
  <c r="AN396" i="27"/>
  <c r="AM396" i="27"/>
  <c r="AL396" i="27"/>
  <c r="AK396" i="27"/>
  <c r="AJ396" i="27"/>
  <c r="AI396" i="27"/>
  <c r="AH396" i="27"/>
  <c r="AG396" i="27"/>
  <c r="AF396" i="27"/>
  <c r="AE396" i="27"/>
  <c r="AD396" i="27"/>
  <c r="AC396" i="27"/>
  <c r="AB396" i="27"/>
  <c r="AA396" i="27"/>
  <c r="Z396" i="27"/>
  <c r="Y396" i="27"/>
  <c r="X396" i="27"/>
  <c r="W396" i="27"/>
  <c r="V396" i="27"/>
  <c r="U396" i="27"/>
  <c r="T396" i="27"/>
  <c r="S396" i="27"/>
  <c r="R396" i="27"/>
  <c r="Q396" i="27"/>
  <c r="P396" i="27"/>
  <c r="O396" i="27"/>
  <c r="N396" i="27"/>
  <c r="M396" i="27"/>
  <c r="L396" i="27"/>
  <c r="K396" i="27"/>
  <c r="J396" i="27"/>
  <c r="I396" i="27"/>
  <c r="H396" i="27"/>
  <c r="G396" i="27"/>
  <c r="AP395" i="27"/>
  <c r="AO395" i="27"/>
  <c r="AN395" i="27"/>
  <c r="AM395" i="27"/>
  <c r="AL395" i="27"/>
  <c r="AK395" i="27"/>
  <c r="AJ395" i="27"/>
  <c r="AI395" i="27"/>
  <c r="AH395" i="27"/>
  <c r="AG395" i="27"/>
  <c r="AF395" i="27"/>
  <c r="AE395" i="27"/>
  <c r="AD395" i="27"/>
  <c r="AC395" i="27"/>
  <c r="AB395" i="27"/>
  <c r="AA395" i="27"/>
  <c r="Z395" i="27"/>
  <c r="Y395" i="27"/>
  <c r="X395" i="27"/>
  <c r="W395" i="27"/>
  <c r="V395" i="27"/>
  <c r="U395" i="27"/>
  <c r="T395" i="27"/>
  <c r="S395" i="27"/>
  <c r="R395" i="27"/>
  <c r="Q395" i="27"/>
  <c r="P395" i="27"/>
  <c r="O395" i="27"/>
  <c r="N395" i="27"/>
  <c r="M395" i="27"/>
  <c r="L395" i="27"/>
  <c r="K395" i="27"/>
  <c r="J395" i="27"/>
  <c r="I395" i="27"/>
  <c r="H395" i="27"/>
  <c r="G395" i="27"/>
  <c r="AP394" i="27"/>
  <c r="AO394" i="27"/>
  <c r="AN394" i="27"/>
  <c r="AM394" i="27"/>
  <c r="AL394" i="27"/>
  <c r="AK394" i="27"/>
  <c r="AJ394" i="27"/>
  <c r="AI394" i="27"/>
  <c r="AH394" i="27"/>
  <c r="AG394" i="27"/>
  <c r="AF394" i="27"/>
  <c r="AE394" i="27"/>
  <c r="AD394" i="27"/>
  <c r="AC394" i="27"/>
  <c r="AB394" i="27"/>
  <c r="AA394" i="27"/>
  <c r="Z394" i="27"/>
  <c r="Y394" i="27"/>
  <c r="X394" i="27"/>
  <c r="W394" i="27"/>
  <c r="V394" i="27"/>
  <c r="U394" i="27"/>
  <c r="T394" i="27"/>
  <c r="S394" i="27"/>
  <c r="R394" i="27"/>
  <c r="Q394" i="27"/>
  <c r="P394" i="27"/>
  <c r="O394" i="27"/>
  <c r="N394" i="27"/>
  <c r="M394" i="27"/>
  <c r="L394" i="27"/>
  <c r="K394" i="27"/>
  <c r="J394" i="27"/>
  <c r="I394" i="27"/>
  <c r="H394" i="27"/>
  <c r="G394" i="27"/>
  <c r="AP393" i="27"/>
  <c r="AO393" i="27"/>
  <c r="AN393" i="27"/>
  <c r="AM393" i="27"/>
  <c r="AL393" i="27"/>
  <c r="AK393" i="27"/>
  <c r="AJ393" i="27"/>
  <c r="AI393" i="27"/>
  <c r="AH393" i="27"/>
  <c r="AG393" i="27"/>
  <c r="AF393" i="27"/>
  <c r="AE393" i="27"/>
  <c r="AD393" i="27"/>
  <c r="AC393" i="27"/>
  <c r="AB393" i="27"/>
  <c r="AA393" i="27"/>
  <c r="Z393" i="27"/>
  <c r="Y393" i="27"/>
  <c r="X393" i="27"/>
  <c r="W393" i="27"/>
  <c r="V393" i="27"/>
  <c r="U393" i="27"/>
  <c r="T393" i="27"/>
  <c r="S393" i="27"/>
  <c r="R393" i="27"/>
  <c r="Q393" i="27"/>
  <c r="P393" i="27"/>
  <c r="O393" i="27"/>
  <c r="N393" i="27"/>
  <c r="M393" i="27"/>
  <c r="L393" i="27"/>
  <c r="K393" i="27"/>
  <c r="J393" i="27"/>
  <c r="I393" i="27"/>
  <c r="H393" i="27"/>
  <c r="G393" i="27"/>
  <c r="AP392" i="27"/>
  <c r="AO392" i="27"/>
  <c r="AN392" i="27"/>
  <c r="AM392" i="27"/>
  <c r="AL392" i="27"/>
  <c r="AK392" i="27"/>
  <c r="AJ392" i="27"/>
  <c r="AI392" i="27"/>
  <c r="AH392" i="27"/>
  <c r="AG392" i="27"/>
  <c r="AF392" i="27"/>
  <c r="AE392" i="27"/>
  <c r="AD392" i="27"/>
  <c r="AC392" i="27"/>
  <c r="AB392" i="27"/>
  <c r="AA392" i="27"/>
  <c r="Z392" i="27"/>
  <c r="Y392" i="27"/>
  <c r="X392" i="27"/>
  <c r="W392" i="27"/>
  <c r="V392" i="27"/>
  <c r="U392" i="27"/>
  <c r="T392" i="27"/>
  <c r="S392" i="27"/>
  <c r="R392" i="27"/>
  <c r="Q392" i="27"/>
  <c r="P392" i="27"/>
  <c r="O392" i="27"/>
  <c r="N392" i="27"/>
  <c r="M392" i="27"/>
  <c r="L392" i="27"/>
  <c r="K392" i="27"/>
  <c r="J392" i="27"/>
  <c r="I392" i="27"/>
  <c r="H392" i="27"/>
  <c r="G392" i="27"/>
  <c r="AP391" i="27"/>
  <c r="AO391" i="27"/>
  <c r="AN391" i="27"/>
  <c r="AM391" i="27"/>
  <c r="AL391" i="27"/>
  <c r="AK391" i="27"/>
  <c r="AJ391" i="27"/>
  <c r="AI391" i="27"/>
  <c r="AH391" i="27"/>
  <c r="AG391" i="27"/>
  <c r="AF391" i="27"/>
  <c r="AE391" i="27"/>
  <c r="AD391" i="27"/>
  <c r="AC391" i="27"/>
  <c r="AB391" i="27"/>
  <c r="AA391" i="27"/>
  <c r="Z391" i="27"/>
  <c r="Y391" i="27"/>
  <c r="X391" i="27"/>
  <c r="W391" i="27"/>
  <c r="V391" i="27"/>
  <c r="U391" i="27"/>
  <c r="T391" i="27"/>
  <c r="S391" i="27"/>
  <c r="R391" i="27"/>
  <c r="Q391" i="27"/>
  <c r="P391" i="27"/>
  <c r="O391" i="27"/>
  <c r="N391" i="27"/>
  <c r="M391" i="27"/>
  <c r="L391" i="27"/>
  <c r="K391" i="27"/>
  <c r="J391" i="27"/>
  <c r="I391" i="27"/>
  <c r="H391" i="27"/>
  <c r="G391" i="27"/>
  <c r="AP390" i="27"/>
  <c r="AO390" i="27"/>
  <c r="AN390" i="27"/>
  <c r="AM390" i="27"/>
  <c r="AL390" i="27"/>
  <c r="AK390" i="27"/>
  <c r="AJ390" i="27"/>
  <c r="AI390" i="27"/>
  <c r="AH390" i="27"/>
  <c r="AG390" i="27"/>
  <c r="AF390" i="27"/>
  <c r="AE390" i="27"/>
  <c r="AD390" i="27"/>
  <c r="AC390" i="27"/>
  <c r="AB390" i="27"/>
  <c r="AA390" i="27"/>
  <c r="Z390" i="27"/>
  <c r="Y390" i="27"/>
  <c r="X390" i="27"/>
  <c r="W390" i="27"/>
  <c r="V390" i="27"/>
  <c r="U390" i="27"/>
  <c r="T390" i="27"/>
  <c r="S390" i="27"/>
  <c r="R390" i="27"/>
  <c r="Q390" i="27"/>
  <c r="P390" i="27"/>
  <c r="O390" i="27"/>
  <c r="N390" i="27"/>
  <c r="M390" i="27"/>
  <c r="L390" i="27"/>
  <c r="K390" i="27"/>
  <c r="J390" i="27"/>
  <c r="I390" i="27"/>
  <c r="H390" i="27"/>
  <c r="G390" i="27"/>
  <c r="AP389" i="27"/>
  <c r="AO389" i="27"/>
  <c r="AN389" i="27"/>
  <c r="AM389" i="27"/>
  <c r="AL389" i="27"/>
  <c r="AK389" i="27"/>
  <c r="AJ389" i="27"/>
  <c r="AI389" i="27"/>
  <c r="AH389" i="27"/>
  <c r="AG389" i="27"/>
  <c r="AF389" i="27"/>
  <c r="AE389" i="27"/>
  <c r="AD389" i="27"/>
  <c r="AC389" i="27"/>
  <c r="AB389" i="27"/>
  <c r="AA389" i="27"/>
  <c r="Z389" i="27"/>
  <c r="Y389" i="27"/>
  <c r="X389" i="27"/>
  <c r="W389" i="27"/>
  <c r="V389" i="27"/>
  <c r="U389" i="27"/>
  <c r="T389" i="27"/>
  <c r="S389" i="27"/>
  <c r="R389" i="27"/>
  <c r="Q389" i="27"/>
  <c r="P389" i="27"/>
  <c r="O389" i="27"/>
  <c r="N389" i="27"/>
  <c r="M389" i="27"/>
  <c r="L389" i="27"/>
  <c r="K389" i="27"/>
  <c r="J389" i="27"/>
  <c r="I389" i="27"/>
  <c r="H389" i="27"/>
  <c r="G389" i="27"/>
  <c r="AP388" i="27"/>
  <c r="AO388" i="27"/>
  <c r="AN388" i="27"/>
  <c r="AM388" i="27"/>
  <c r="AL388" i="27"/>
  <c r="AK388" i="27"/>
  <c r="AJ388" i="27"/>
  <c r="AI388" i="27"/>
  <c r="AH388" i="27"/>
  <c r="AG388" i="27"/>
  <c r="AF388" i="27"/>
  <c r="AE388" i="27"/>
  <c r="AD388" i="27"/>
  <c r="AC388" i="27"/>
  <c r="AB388" i="27"/>
  <c r="AA388" i="27"/>
  <c r="Z388" i="27"/>
  <c r="Y388" i="27"/>
  <c r="X388" i="27"/>
  <c r="W388" i="27"/>
  <c r="V388" i="27"/>
  <c r="U388" i="27"/>
  <c r="T388" i="27"/>
  <c r="S388" i="27"/>
  <c r="R388" i="27"/>
  <c r="Q388" i="27"/>
  <c r="P388" i="27"/>
  <c r="O388" i="27"/>
  <c r="N388" i="27"/>
  <c r="M388" i="27"/>
  <c r="L388" i="27"/>
  <c r="K388" i="27"/>
  <c r="J388" i="27"/>
  <c r="I388" i="27"/>
  <c r="H388" i="27"/>
  <c r="G388" i="27"/>
  <c r="AP387" i="27"/>
  <c r="AO387" i="27"/>
  <c r="AN387" i="27"/>
  <c r="AM387" i="27"/>
  <c r="AL387" i="27"/>
  <c r="AK387" i="27"/>
  <c r="AJ387" i="27"/>
  <c r="AI387" i="27"/>
  <c r="AH387" i="27"/>
  <c r="AG387" i="27"/>
  <c r="AF387" i="27"/>
  <c r="AE387" i="27"/>
  <c r="AD387" i="27"/>
  <c r="AC387" i="27"/>
  <c r="AB387" i="27"/>
  <c r="AA387" i="27"/>
  <c r="Z387" i="27"/>
  <c r="Y387" i="27"/>
  <c r="X387" i="27"/>
  <c r="W387" i="27"/>
  <c r="V387" i="27"/>
  <c r="U387" i="27"/>
  <c r="T387" i="27"/>
  <c r="S387" i="27"/>
  <c r="R387" i="27"/>
  <c r="Q387" i="27"/>
  <c r="P387" i="27"/>
  <c r="O387" i="27"/>
  <c r="N387" i="27"/>
  <c r="M387" i="27"/>
  <c r="L387" i="27"/>
  <c r="K387" i="27"/>
  <c r="J387" i="27"/>
  <c r="I387" i="27"/>
  <c r="H387" i="27"/>
  <c r="G387" i="27"/>
  <c r="AP386" i="27"/>
  <c r="AO386" i="27"/>
  <c r="AN386" i="27"/>
  <c r="AM386" i="27"/>
  <c r="AL386" i="27"/>
  <c r="AK386" i="27"/>
  <c r="AJ386" i="27"/>
  <c r="AI386" i="27"/>
  <c r="AH386" i="27"/>
  <c r="AG386" i="27"/>
  <c r="AF386" i="27"/>
  <c r="AE386" i="27"/>
  <c r="AD386" i="27"/>
  <c r="AC386" i="27"/>
  <c r="AB386" i="27"/>
  <c r="AA386" i="27"/>
  <c r="Z386" i="27"/>
  <c r="Y386" i="27"/>
  <c r="X386" i="27"/>
  <c r="W386" i="27"/>
  <c r="V386" i="27"/>
  <c r="U386" i="27"/>
  <c r="T386" i="27"/>
  <c r="S386" i="27"/>
  <c r="R386" i="27"/>
  <c r="Q386" i="27"/>
  <c r="P386" i="27"/>
  <c r="O386" i="27"/>
  <c r="N386" i="27"/>
  <c r="M386" i="27"/>
  <c r="L386" i="27"/>
  <c r="K386" i="27"/>
  <c r="J386" i="27"/>
  <c r="I386" i="27"/>
  <c r="H386" i="27"/>
  <c r="G386" i="27"/>
  <c r="AP385" i="27"/>
  <c r="AO385" i="27"/>
  <c r="AN385" i="27"/>
  <c r="AM385" i="27"/>
  <c r="AL385" i="27"/>
  <c r="AK385" i="27"/>
  <c r="AJ385" i="27"/>
  <c r="AI385" i="27"/>
  <c r="AH385" i="27"/>
  <c r="AG385" i="27"/>
  <c r="AF385" i="27"/>
  <c r="AE385" i="27"/>
  <c r="AD385" i="27"/>
  <c r="AC385" i="27"/>
  <c r="AB385" i="27"/>
  <c r="AA385" i="27"/>
  <c r="Z385" i="27"/>
  <c r="Y385" i="27"/>
  <c r="X385" i="27"/>
  <c r="W385" i="27"/>
  <c r="V385" i="27"/>
  <c r="U385" i="27"/>
  <c r="T385" i="27"/>
  <c r="S385" i="27"/>
  <c r="R385" i="27"/>
  <c r="Q385" i="27"/>
  <c r="P385" i="27"/>
  <c r="O385" i="27"/>
  <c r="N385" i="27"/>
  <c r="M385" i="27"/>
  <c r="L385" i="27"/>
  <c r="K385" i="27"/>
  <c r="J385" i="27"/>
  <c r="I385" i="27"/>
  <c r="H385" i="27"/>
  <c r="G385" i="27"/>
  <c r="AP384" i="27"/>
  <c r="AO384" i="27"/>
  <c r="AN384" i="27"/>
  <c r="AM384" i="27"/>
  <c r="AL384" i="27"/>
  <c r="AK384" i="27"/>
  <c r="AJ384" i="27"/>
  <c r="AI384" i="27"/>
  <c r="AH384" i="27"/>
  <c r="AG384" i="27"/>
  <c r="AF384" i="27"/>
  <c r="AE384" i="27"/>
  <c r="AD384" i="27"/>
  <c r="AC384" i="27"/>
  <c r="AB384" i="27"/>
  <c r="AA384" i="27"/>
  <c r="Z384" i="27"/>
  <c r="Y384" i="27"/>
  <c r="X384" i="27"/>
  <c r="W384" i="27"/>
  <c r="V384" i="27"/>
  <c r="U384" i="27"/>
  <c r="T384" i="27"/>
  <c r="S384" i="27"/>
  <c r="R384" i="27"/>
  <c r="Q384" i="27"/>
  <c r="P384" i="27"/>
  <c r="O384" i="27"/>
  <c r="N384" i="27"/>
  <c r="M384" i="27"/>
  <c r="L384" i="27"/>
  <c r="K384" i="27"/>
  <c r="J384" i="27"/>
  <c r="I384" i="27"/>
  <c r="H384" i="27"/>
  <c r="G384" i="27"/>
  <c r="AP383" i="27"/>
  <c r="AO383" i="27"/>
  <c r="AN383" i="27"/>
  <c r="AM383" i="27"/>
  <c r="AL383" i="27"/>
  <c r="AK383" i="27"/>
  <c r="AJ383" i="27"/>
  <c r="AI383" i="27"/>
  <c r="AH383" i="27"/>
  <c r="AG383" i="27"/>
  <c r="AF383" i="27"/>
  <c r="AE383" i="27"/>
  <c r="AD383" i="27"/>
  <c r="AC383" i="27"/>
  <c r="AB383" i="27"/>
  <c r="AA383" i="27"/>
  <c r="Z383" i="27"/>
  <c r="Y383" i="27"/>
  <c r="X383" i="27"/>
  <c r="W383" i="27"/>
  <c r="V383" i="27"/>
  <c r="U383" i="27"/>
  <c r="T383" i="27"/>
  <c r="S383" i="27"/>
  <c r="R383" i="27"/>
  <c r="Q383" i="27"/>
  <c r="P383" i="27"/>
  <c r="O383" i="27"/>
  <c r="N383" i="27"/>
  <c r="M383" i="27"/>
  <c r="L383" i="27"/>
  <c r="K383" i="27"/>
  <c r="J383" i="27"/>
  <c r="I383" i="27"/>
  <c r="H383" i="27"/>
  <c r="G383" i="27"/>
  <c r="AP382" i="27"/>
  <c r="AO382" i="27"/>
  <c r="AN382" i="27"/>
  <c r="AM382" i="27"/>
  <c r="AL382" i="27"/>
  <c r="AK382" i="27"/>
  <c r="AJ382" i="27"/>
  <c r="AI382" i="27"/>
  <c r="AH382" i="27"/>
  <c r="AG382" i="27"/>
  <c r="AF382" i="27"/>
  <c r="AE382" i="27"/>
  <c r="AD382" i="27"/>
  <c r="AC382" i="27"/>
  <c r="AB382" i="27"/>
  <c r="AA382" i="27"/>
  <c r="Z382" i="27"/>
  <c r="Y382" i="27"/>
  <c r="X382" i="27"/>
  <c r="W382" i="27"/>
  <c r="V382" i="27"/>
  <c r="U382" i="27"/>
  <c r="T382" i="27"/>
  <c r="S382" i="27"/>
  <c r="R382" i="27"/>
  <c r="Q382" i="27"/>
  <c r="P382" i="27"/>
  <c r="O382" i="27"/>
  <c r="N382" i="27"/>
  <c r="M382" i="27"/>
  <c r="L382" i="27"/>
  <c r="K382" i="27"/>
  <c r="J382" i="27"/>
  <c r="I382" i="27"/>
  <c r="H382" i="27"/>
  <c r="G382" i="27"/>
  <c r="AP381" i="27"/>
  <c r="AO381" i="27"/>
  <c r="AN381" i="27"/>
  <c r="AM381" i="27"/>
  <c r="AL381" i="27"/>
  <c r="AK381" i="27"/>
  <c r="AJ381" i="27"/>
  <c r="AI381" i="27"/>
  <c r="AH381" i="27"/>
  <c r="AG381" i="27"/>
  <c r="AF381" i="27"/>
  <c r="AE381" i="27"/>
  <c r="AD381" i="27"/>
  <c r="AC381" i="27"/>
  <c r="AB381" i="27"/>
  <c r="AA381" i="27"/>
  <c r="Z381" i="27"/>
  <c r="Y381" i="27"/>
  <c r="X381" i="27"/>
  <c r="W381" i="27"/>
  <c r="V381" i="27"/>
  <c r="U381" i="27"/>
  <c r="T381" i="27"/>
  <c r="S381" i="27"/>
  <c r="R381" i="27"/>
  <c r="Q381" i="27"/>
  <c r="P381" i="27"/>
  <c r="O381" i="27"/>
  <c r="N381" i="27"/>
  <c r="M381" i="27"/>
  <c r="L381" i="27"/>
  <c r="K381" i="27"/>
  <c r="J381" i="27"/>
  <c r="I381" i="27"/>
  <c r="H381" i="27"/>
  <c r="G381" i="27"/>
  <c r="AP380" i="27"/>
  <c r="AO380" i="27"/>
  <c r="AN380" i="27"/>
  <c r="AM380" i="27"/>
  <c r="AL380" i="27"/>
  <c r="AK380" i="27"/>
  <c r="AJ380" i="27"/>
  <c r="AI380" i="27"/>
  <c r="AH380" i="27"/>
  <c r="AG380" i="27"/>
  <c r="AF380" i="27"/>
  <c r="AE380" i="27"/>
  <c r="AD380" i="27"/>
  <c r="AC380" i="27"/>
  <c r="AB380" i="27"/>
  <c r="AA380" i="27"/>
  <c r="Z380" i="27"/>
  <c r="Y380" i="27"/>
  <c r="X380" i="27"/>
  <c r="W380" i="27"/>
  <c r="V380" i="27"/>
  <c r="U380" i="27"/>
  <c r="T380" i="27"/>
  <c r="S380" i="27"/>
  <c r="R380" i="27"/>
  <c r="Q380" i="27"/>
  <c r="P380" i="27"/>
  <c r="O380" i="27"/>
  <c r="N380" i="27"/>
  <c r="M380" i="27"/>
  <c r="L380" i="27"/>
  <c r="K380" i="27"/>
  <c r="J380" i="27"/>
  <c r="I380" i="27"/>
  <c r="H380" i="27"/>
  <c r="G380" i="27"/>
  <c r="AS379" i="27"/>
  <c r="AR379" i="27"/>
  <c r="AS378" i="27"/>
  <c r="AR378" i="27"/>
  <c r="AS377" i="27"/>
  <c r="AR377" i="27"/>
  <c r="AS376" i="27"/>
  <c r="AR376" i="27"/>
  <c r="AS375" i="27"/>
  <c r="AR375" i="27"/>
  <c r="AS374" i="27"/>
  <c r="AR374" i="27"/>
  <c r="AS373" i="27"/>
  <c r="AR373" i="27"/>
  <c r="AS372" i="27"/>
  <c r="AR372" i="27"/>
  <c r="AS371" i="27"/>
  <c r="AR371" i="27"/>
  <c r="AS370" i="27"/>
  <c r="AR370" i="27"/>
  <c r="AS369" i="27"/>
  <c r="AR369" i="27"/>
  <c r="AS368" i="27"/>
  <c r="AR368" i="27"/>
  <c r="AS367" i="27"/>
  <c r="AR367" i="27"/>
  <c r="AS366" i="27"/>
  <c r="AR366" i="27"/>
  <c r="AS365" i="27"/>
  <c r="AR365" i="27"/>
  <c r="AS364" i="27"/>
  <c r="AR364" i="27"/>
  <c r="AS363" i="27"/>
  <c r="AR363" i="27"/>
  <c r="AS362" i="27"/>
  <c r="AR362" i="27"/>
  <c r="AS361" i="27"/>
  <c r="AR361" i="27"/>
  <c r="AS360" i="27"/>
  <c r="AR360" i="27"/>
  <c r="AS359" i="27"/>
  <c r="AR359" i="27"/>
  <c r="AS358" i="27"/>
  <c r="AR358" i="27"/>
  <c r="AS357" i="27"/>
  <c r="AR357" i="27"/>
  <c r="AS356" i="27"/>
  <c r="AR356" i="27"/>
  <c r="AS355" i="27"/>
  <c r="AR355" i="27"/>
  <c r="AS354" i="27"/>
  <c r="AR354" i="27"/>
  <c r="AS353" i="27"/>
  <c r="AR353" i="27"/>
  <c r="AS352" i="27"/>
  <c r="AR352" i="27"/>
  <c r="AS351" i="27"/>
  <c r="AR351" i="27"/>
  <c r="AS350" i="27"/>
  <c r="AR350" i="27"/>
  <c r="AS349" i="27"/>
  <c r="AR349" i="27"/>
  <c r="AS348" i="27"/>
  <c r="AR348" i="27"/>
  <c r="AS347" i="27"/>
  <c r="AR347" i="27"/>
  <c r="AS346" i="27"/>
  <c r="AR346" i="27"/>
  <c r="AS345" i="27"/>
  <c r="AR345" i="27"/>
  <c r="AS344" i="27"/>
  <c r="AR344" i="27"/>
  <c r="AS343" i="27"/>
  <c r="AR343" i="27"/>
  <c r="AS342" i="27"/>
  <c r="AR342" i="27"/>
  <c r="AS341" i="27"/>
  <c r="AR341" i="27"/>
  <c r="AS340" i="27"/>
  <c r="AR340" i="27"/>
  <c r="AS339" i="27"/>
  <c r="AR339" i="27"/>
  <c r="AS338" i="27"/>
  <c r="AR338" i="27"/>
  <c r="AS337" i="27"/>
  <c r="AR337" i="27"/>
  <c r="AS336" i="27"/>
  <c r="AR336" i="27"/>
  <c r="AS335" i="27"/>
  <c r="AR335" i="27"/>
  <c r="AS334" i="27"/>
  <c r="AR334" i="27"/>
  <c r="AS333" i="27"/>
  <c r="AR333" i="27"/>
  <c r="AS332" i="27"/>
  <c r="AR332" i="27"/>
  <c r="AS331" i="27"/>
  <c r="AR331" i="27"/>
  <c r="AS330" i="27"/>
  <c r="AR330" i="27"/>
  <c r="AS329" i="27"/>
  <c r="AR329" i="27"/>
  <c r="AS328" i="27"/>
  <c r="AR328" i="27"/>
  <c r="AS327" i="27"/>
  <c r="AR327" i="27"/>
  <c r="AS326" i="27"/>
  <c r="AR326" i="27"/>
  <c r="AS325" i="27"/>
  <c r="AR325" i="27"/>
  <c r="AS324" i="27"/>
  <c r="AR324" i="27"/>
  <c r="AS323" i="27"/>
  <c r="AR323" i="27"/>
  <c r="AS322" i="27"/>
  <c r="AR322" i="27"/>
  <c r="AS321" i="27"/>
  <c r="AR321" i="27"/>
  <c r="AS320" i="27"/>
  <c r="AR320" i="27"/>
  <c r="AS319" i="27"/>
  <c r="AR319" i="27"/>
  <c r="AS318" i="27"/>
  <c r="AR318" i="27"/>
  <c r="AS317" i="27"/>
  <c r="AR317" i="27"/>
  <c r="AS316" i="27"/>
  <c r="AR316" i="27"/>
  <c r="AS315" i="27"/>
  <c r="AR315" i="27"/>
  <c r="AS314" i="27"/>
  <c r="AR314" i="27"/>
  <c r="AS313" i="27"/>
  <c r="AR313" i="27"/>
  <c r="AS312" i="27"/>
  <c r="AR312" i="27"/>
  <c r="AS311" i="27"/>
  <c r="AR311" i="27"/>
  <c r="AS310" i="27"/>
  <c r="AR310" i="27"/>
  <c r="AS309" i="27"/>
  <c r="AR309" i="27"/>
  <c r="AS308" i="27"/>
  <c r="AR308" i="27"/>
  <c r="AS307" i="27"/>
  <c r="AR307" i="27"/>
  <c r="AS306" i="27"/>
  <c r="AR306" i="27"/>
  <c r="AS305" i="27"/>
  <c r="AR305" i="27"/>
  <c r="AS304" i="27"/>
  <c r="AR304" i="27"/>
  <c r="AS303" i="27"/>
  <c r="AR303" i="27"/>
  <c r="AS302" i="27"/>
  <c r="AR302" i="27"/>
  <c r="AS301" i="27"/>
  <c r="AR301" i="27"/>
  <c r="AS300" i="27"/>
  <c r="AR300" i="27"/>
  <c r="AS299" i="27"/>
  <c r="AR299" i="27"/>
  <c r="AS298" i="27"/>
  <c r="AR298" i="27"/>
  <c r="AS297" i="27"/>
  <c r="AR297" i="27"/>
  <c r="AS296" i="27"/>
  <c r="AR296" i="27"/>
  <c r="AS295" i="27"/>
  <c r="AR295" i="27"/>
  <c r="AS294" i="27"/>
  <c r="AR294" i="27"/>
  <c r="AS293" i="27"/>
  <c r="AR293" i="27"/>
  <c r="AS292" i="27"/>
  <c r="AR292" i="27"/>
  <c r="AS291" i="27"/>
  <c r="AR291" i="27"/>
  <c r="AS290" i="27"/>
  <c r="AR290" i="27"/>
  <c r="AS289" i="27"/>
  <c r="AR289" i="27"/>
  <c r="AS288" i="27"/>
  <c r="AR288" i="27"/>
  <c r="AS287" i="27"/>
  <c r="AR287" i="27"/>
  <c r="AS286" i="27"/>
  <c r="AR286" i="27"/>
  <c r="AS285" i="27"/>
  <c r="AR285" i="27"/>
  <c r="AS284" i="27"/>
  <c r="AR284" i="27"/>
  <c r="AS283" i="27"/>
  <c r="AR283" i="27"/>
  <c r="AS282" i="27"/>
  <c r="AR282" i="27"/>
  <c r="AS281" i="27"/>
  <c r="AR281" i="27"/>
  <c r="AS280" i="27"/>
  <c r="AR280" i="27"/>
  <c r="AS279" i="27"/>
  <c r="AR279" i="27"/>
  <c r="AS278" i="27"/>
  <c r="AR278" i="27"/>
  <c r="AS277" i="27"/>
  <c r="AR277" i="27"/>
  <c r="AS276" i="27"/>
  <c r="AR276" i="27"/>
  <c r="AS275" i="27"/>
  <c r="AR275" i="27"/>
  <c r="AS274" i="27"/>
  <c r="AR274" i="27"/>
  <c r="AS273" i="27"/>
  <c r="AR273" i="27"/>
  <c r="AS272" i="27"/>
  <c r="AR272" i="27"/>
  <c r="AS271" i="27"/>
  <c r="AR271" i="27"/>
  <c r="AS270" i="27"/>
  <c r="AR270" i="27"/>
  <c r="AS269" i="27"/>
  <c r="AR269" i="27"/>
  <c r="AS268" i="27"/>
  <c r="AR268" i="27"/>
  <c r="AS267" i="27"/>
  <c r="AR267" i="27"/>
  <c r="AS266" i="27"/>
  <c r="AR266" i="27"/>
  <c r="AS265" i="27"/>
  <c r="AR265" i="27"/>
  <c r="AS264" i="27"/>
  <c r="AR264" i="27"/>
  <c r="AS263" i="27"/>
  <c r="AR263" i="27"/>
  <c r="AS262" i="27"/>
  <c r="AR262" i="27"/>
  <c r="AS261" i="27"/>
  <c r="AR261" i="27"/>
  <c r="AS260" i="27"/>
  <c r="AR260" i="27"/>
  <c r="AS259" i="27"/>
  <c r="AR259" i="27"/>
  <c r="AS258" i="27"/>
  <c r="AR258" i="27"/>
  <c r="AS257" i="27"/>
  <c r="AR257" i="27"/>
  <c r="AS256" i="27"/>
  <c r="AR256" i="27"/>
  <c r="AS255" i="27"/>
  <c r="AR255" i="27"/>
  <c r="AS254" i="27"/>
  <c r="AR254" i="27"/>
  <c r="AS253" i="27"/>
  <c r="AR253" i="27"/>
  <c r="AS252" i="27"/>
  <c r="AR252" i="27"/>
  <c r="AS251" i="27"/>
  <c r="AR251" i="27"/>
  <c r="AS250" i="27"/>
  <c r="AR250" i="27"/>
  <c r="AS249" i="27"/>
  <c r="AR249" i="27"/>
  <c r="AS248" i="27"/>
  <c r="AR248" i="27"/>
  <c r="AS247" i="27"/>
  <c r="AR247" i="27"/>
  <c r="AS246" i="27"/>
  <c r="AR246" i="27"/>
  <c r="AS245" i="27"/>
  <c r="AR245" i="27"/>
  <c r="AS244" i="27"/>
  <c r="AR244" i="27"/>
  <c r="AS243" i="27"/>
  <c r="AR243" i="27"/>
  <c r="AS242" i="27"/>
  <c r="AR242" i="27"/>
  <c r="AS241" i="27"/>
  <c r="AR241" i="27"/>
  <c r="AS240" i="27"/>
  <c r="AR240" i="27"/>
  <c r="AS239" i="27"/>
  <c r="AR239" i="27"/>
  <c r="AS238" i="27"/>
  <c r="AR238" i="27"/>
  <c r="AS237" i="27"/>
  <c r="AR237" i="27"/>
  <c r="AS236" i="27"/>
  <c r="AR236" i="27"/>
  <c r="AS235" i="27"/>
  <c r="AR235" i="27"/>
  <c r="AS234" i="27"/>
  <c r="AR234" i="27"/>
  <c r="AS233" i="27"/>
  <c r="AR233" i="27"/>
  <c r="AS232" i="27"/>
  <c r="AR232" i="27"/>
  <c r="AS231" i="27"/>
  <c r="AR231" i="27"/>
  <c r="AS230" i="27"/>
  <c r="AR230" i="27"/>
  <c r="AS229" i="27"/>
  <c r="AR229" i="27"/>
  <c r="AS228" i="27"/>
  <c r="AR228" i="27"/>
  <c r="AS227" i="27"/>
  <c r="AR227" i="27"/>
  <c r="AS226" i="27"/>
  <c r="AR226" i="27"/>
  <c r="AS225" i="27"/>
  <c r="AR225" i="27"/>
  <c r="AS224" i="27"/>
  <c r="AR224" i="27"/>
  <c r="AS223" i="27"/>
  <c r="AR223" i="27"/>
  <c r="AS222" i="27"/>
  <c r="AR222" i="27"/>
  <c r="AS221" i="27"/>
  <c r="AR221" i="27"/>
  <c r="AS220" i="27"/>
  <c r="AR220" i="27"/>
  <c r="AS219" i="27"/>
  <c r="AR219" i="27"/>
  <c r="AS218" i="27"/>
  <c r="AR218" i="27"/>
  <c r="AS217" i="27"/>
  <c r="AR217" i="27"/>
  <c r="AS216" i="27"/>
  <c r="AR216" i="27"/>
  <c r="AS215" i="27"/>
  <c r="AR215" i="27"/>
  <c r="AS214" i="27"/>
  <c r="AR214" i="27"/>
  <c r="AS213" i="27"/>
  <c r="AR213" i="27"/>
  <c r="AS212" i="27"/>
  <c r="AR212" i="27"/>
  <c r="AS211" i="27"/>
  <c r="AR211" i="27"/>
  <c r="AS210" i="27"/>
  <c r="AR210" i="27"/>
  <c r="AS209" i="27"/>
  <c r="AR209" i="27"/>
  <c r="AS208" i="27"/>
  <c r="AR208" i="27"/>
  <c r="AS207" i="27"/>
  <c r="AR207" i="27"/>
  <c r="AS206" i="27"/>
  <c r="AR206" i="27"/>
  <c r="AS205" i="27"/>
  <c r="AR205" i="27"/>
  <c r="AS204" i="27"/>
  <c r="AR204" i="27"/>
  <c r="AS203" i="27"/>
  <c r="AR203" i="27"/>
  <c r="AS202" i="27"/>
  <c r="AR202" i="27"/>
  <c r="AS201" i="27"/>
  <c r="AR201" i="27"/>
  <c r="AS200" i="27"/>
  <c r="AR200" i="27"/>
  <c r="AS199" i="27"/>
  <c r="AR199" i="27"/>
  <c r="AS198" i="27"/>
  <c r="AR198" i="27"/>
  <c r="AS197" i="27"/>
  <c r="AR197" i="27"/>
  <c r="AS196" i="27"/>
  <c r="AR196" i="27"/>
  <c r="AS195" i="27"/>
  <c r="AR195" i="27"/>
  <c r="AS194" i="27"/>
  <c r="AR194" i="27"/>
  <c r="AS193" i="27"/>
  <c r="AR193" i="27"/>
  <c r="AS192" i="27"/>
  <c r="AR192" i="27"/>
  <c r="AS191" i="27"/>
  <c r="AR191" i="27"/>
  <c r="AS190" i="27"/>
  <c r="AR190" i="27"/>
  <c r="AS189" i="27"/>
  <c r="AR189" i="27"/>
  <c r="AS188" i="27"/>
  <c r="AR188" i="27"/>
  <c r="AS187" i="27"/>
  <c r="AR187" i="27"/>
  <c r="AS186" i="27"/>
  <c r="AR186" i="27"/>
  <c r="AS185" i="27"/>
  <c r="AR185" i="27"/>
  <c r="AS184" i="27"/>
  <c r="AR184" i="27"/>
  <c r="AS183" i="27"/>
  <c r="AR183" i="27"/>
  <c r="AS182" i="27"/>
  <c r="AR182" i="27"/>
  <c r="AS181" i="27"/>
  <c r="AR181" i="27"/>
  <c r="AS180" i="27"/>
  <c r="AR180" i="27"/>
  <c r="AS179" i="27"/>
  <c r="AR179" i="27"/>
  <c r="AS178" i="27"/>
  <c r="AR178" i="27"/>
  <c r="AS177" i="27"/>
  <c r="AR177" i="27"/>
  <c r="AS176" i="27"/>
  <c r="AR176" i="27"/>
  <c r="AS175" i="27"/>
  <c r="AR175" i="27"/>
  <c r="AS174" i="27"/>
  <c r="AR174" i="27"/>
  <c r="AS173" i="27"/>
  <c r="AR173" i="27"/>
  <c r="AS172" i="27"/>
  <c r="AR172" i="27"/>
  <c r="AS171" i="27"/>
  <c r="AR171" i="27"/>
  <c r="AS170" i="27"/>
  <c r="AR170" i="27"/>
  <c r="AS169" i="27"/>
  <c r="AR169" i="27"/>
  <c r="AS168" i="27"/>
  <c r="AR168" i="27"/>
  <c r="AS167" i="27"/>
  <c r="AR167" i="27"/>
  <c r="AS166" i="27"/>
  <c r="AR166" i="27"/>
  <c r="AS165" i="27"/>
  <c r="AR165" i="27"/>
  <c r="AS164" i="27"/>
  <c r="AR164" i="27"/>
  <c r="AS163" i="27"/>
  <c r="AR163" i="27"/>
  <c r="AS162" i="27"/>
  <c r="AR162" i="27"/>
  <c r="AS161" i="27"/>
  <c r="AR161" i="27"/>
  <c r="AS160" i="27"/>
  <c r="AR160" i="27"/>
  <c r="AS159" i="27"/>
  <c r="AR159" i="27"/>
  <c r="AS158" i="27"/>
  <c r="AR158" i="27"/>
  <c r="AS157" i="27"/>
  <c r="AR157" i="27"/>
  <c r="AS156" i="27"/>
  <c r="AR156" i="27"/>
  <c r="AS155" i="27"/>
  <c r="AR155" i="27"/>
  <c r="AS154" i="27"/>
  <c r="AR154" i="27"/>
  <c r="AS153" i="27"/>
  <c r="AR153" i="27"/>
  <c r="AS152" i="27"/>
  <c r="AR152" i="27"/>
  <c r="AS151" i="27"/>
  <c r="AR151" i="27"/>
  <c r="AS150" i="27"/>
  <c r="AR150" i="27"/>
  <c r="AS149" i="27"/>
  <c r="AR149" i="27"/>
  <c r="AS148" i="27"/>
  <c r="AR148" i="27"/>
  <c r="AS147" i="27"/>
  <c r="AR147" i="27"/>
  <c r="AS146" i="27"/>
  <c r="AR146" i="27"/>
  <c r="AS145" i="27"/>
  <c r="AR145" i="27"/>
  <c r="AS144" i="27"/>
  <c r="AR144" i="27"/>
  <c r="AS143" i="27"/>
  <c r="AR143" i="27"/>
  <c r="AS142" i="27"/>
  <c r="AR142" i="27"/>
  <c r="AS141" i="27"/>
  <c r="AR141" i="27"/>
  <c r="AS140" i="27"/>
  <c r="AR140" i="27"/>
  <c r="AS139" i="27"/>
  <c r="AR139" i="27"/>
  <c r="AS138" i="27"/>
  <c r="AR138" i="27"/>
  <c r="AS137" i="27"/>
  <c r="AR137" i="27"/>
  <c r="AS136" i="27"/>
  <c r="AR136" i="27"/>
  <c r="AS135" i="27"/>
  <c r="AR135" i="27"/>
  <c r="AS134" i="27"/>
  <c r="AR134" i="27"/>
  <c r="AS133" i="27"/>
  <c r="AR133" i="27"/>
  <c r="AS132" i="27"/>
  <c r="AR132" i="27"/>
  <c r="AS131" i="27"/>
  <c r="AR131" i="27"/>
  <c r="AS130" i="27"/>
  <c r="AR130" i="27"/>
  <c r="AS129" i="27"/>
  <c r="AR129" i="27"/>
  <c r="AS128" i="27"/>
  <c r="AR128" i="27"/>
  <c r="AS127" i="27"/>
  <c r="AR127" i="27"/>
  <c r="AS126" i="27"/>
  <c r="AR126" i="27"/>
  <c r="AS125" i="27"/>
  <c r="AR125" i="27"/>
  <c r="AS124" i="27"/>
  <c r="AR124" i="27"/>
  <c r="AS123" i="27"/>
  <c r="AR123" i="27"/>
  <c r="AS122" i="27"/>
  <c r="AR122" i="27"/>
  <c r="AS121" i="27"/>
  <c r="AR121" i="27"/>
  <c r="AS120" i="27"/>
  <c r="AR120" i="27"/>
  <c r="AS119" i="27"/>
  <c r="AR119" i="27"/>
  <c r="AS118" i="27"/>
  <c r="AR118" i="27"/>
  <c r="AS117" i="27"/>
  <c r="AR117" i="27"/>
  <c r="AS116" i="27"/>
  <c r="AR116" i="27"/>
  <c r="AS115" i="27"/>
  <c r="AR115" i="27"/>
  <c r="AS114" i="27"/>
  <c r="AR114" i="27"/>
  <c r="AS113" i="27"/>
  <c r="AR113" i="27"/>
  <c r="AS112" i="27"/>
  <c r="AR112" i="27"/>
  <c r="AS111" i="27"/>
  <c r="AR111" i="27"/>
  <c r="AS110" i="27"/>
  <c r="AR110" i="27"/>
  <c r="AS109" i="27"/>
  <c r="AR109" i="27"/>
  <c r="AS108" i="27"/>
  <c r="AR108" i="27"/>
  <c r="AS107" i="27"/>
  <c r="AR107" i="27"/>
  <c r="AS106" i="27"/>
  <c r="AR106" i="27"/>
  <c r="AS105" i="27"/>
  <c r="AR105" i="27"/>
  <c r="AS104" i="27"/>
  <c r="AR104" i="27"/>
  <c r="AS103" i="27"/>
  <c r="AR103" i="27"/>
  <c r="AS102" i="27"/>
  <c r="AR102" i="27"/>
  <c r="AS101" i="27"/>
  <c r="AR101" i="27"/>
  <c r="AS100" i="27"/>
  <c r="AR100" i="27"/>
  <c r="AS99" i="27"/>
  <c r="AR99" i="27"/>
  <c r="AS98" i="27"/>
  <c r="AR98" i="27"/>
  <c r="AS97" i="27"/>
  <c r="AR97" i="27"/>
  <c r="AS96" i="27"/>
  <c r="AR96" i="27"/>
  <c r="AS95" i="27"/>
  <c r="AR95" i="27"/>
  <c r="AS94" i="27"/>
  <c r="AR94" i="27"/>
  <c r="AS93" i="27"/>
  <c r="AR93" i="27"/>
  <c r="AS92" i="27"/>
  <c r="AR92" i="27"/>
  <c r="AS91" i="27"/>
  <c r="AR91" i="27"/>
  <c r="AS90" i="27"/>
  <c r="AR90" i="27"/>
  <c r="AS89" i="27"/>
  <c r="AR89" i="27"/>
  <c r="AS88" i="27"/>
  <c r="AR88" i="27"/>
  <c r="AS87" i="27"/>
  <c r="AR87" i="27"/>
  <c r="AS86" i="27"/>
  <c r="AR86" i="27"/>
  <c r="AS85" i="27"/>
  <c r="AR85" i="27"/>
  <c r="AS84" i="27"/>
  <c r="AR84" i="27"/>
  <c r="AS83" i="27"/>
  <c r="AR83" i="27"/>
  <c r="AS82" i="27"/>
  <c r="AR82" i="27"/>
  <c r="AS81" i="27"/>
  <c r="AR81" i="27"/>
  <c r="AS80" i="27"/>
  <c r="AR80" i="27"/>
  <c r="AS79" i="27"/>
  <c r="AR79" i="27"/>
  <c r="AS78" i="27"/>
  <c r="AR78" i="27"/>
  <c r="AS77" i="27"/>
  <c r="AR77" i="27"/>
  <c r="AS76" i="27"/>
  <c r="AR76" i="27"/>
  <c r="AS75" i="27"/>
  <c r="AR75" i="27"/>
  <c r="AS74" i="27"/>
  <c r="AR74" i="27"/>
  <c r="AS73" i="27"/>
  <c r="AR73" i="27"/>
  <c r="AS72" i="27"/>
  <c r="AR72" i="27"/>
  <c r="AS71" i="27"/>
  <c r="AR71" i="27"/>
  <c r="AS70" i="27"/>
  <c r="AR70" i="27"/>
  <c r="AS69" i="27"/>
  <c r="AR69" i="27"/>
  <c r="AS68" i="27"/>
  <c r="AR68" i="27"/>
  <c r="AS67" i="27"/>
  <c r="AR67" i="27"/>
  <c r="AS66" i="27"/>
  <c r="AR66" i="27"/>
  <c r="AS65" i="27"/>
  <c r="AR65" i="27"/>
  <c r="AS64" i="27"/>
  <c r="AR64" i="27"/>
  <c r="AS63" i="27"/>
  <c r="AR63" i="27"/>
  <c r="AS62" i="27"/>
  <c r="AR62" i="27"/>
  <c r="AS61" i="27"/>
  <c r="AR61" i="27"/>
  <c r="AS60" i="27"/>
  <c r="AR60" i="27"/>
  <c r="AS59" i="27"/>
  <c r="AR59" i="27"/>
  <c r="AS58" i="27"/>
  <c r="AR58" i="27"/>
  <c r="AS57" i="27"/>
  <c r="AR57" i="27"/>
  <c r="AS56" i="27"/>
  <c r="AR56" i="27"/>
  <c r="AS55" i="27"/>
  <c r="AR55" i="27"/>
  <c r="AS54" i="27"/>
  <c r="AR54" i="27"/>
  <c r="AS53" i="27"/>
  <c r="AR53" i="27"/>
  <c r="AS52" i="27"/>
  <c r="AR52" i="27"/>
  <c r="AS51" i="27"/>
  <c r="AR51" i="27"/>
  <c r="AS50" i="27"/>
  <c r="AR50" i="27"/>
  <c r="AS49" i="27"/>
  <c r="AR49" i="27"/>
  <c r="AS48" i="27"/>
  <c r="AR48" i="27"/>
  <c r="AS47" i="27"/>
  <c r="AR47" i="27"/>
  <c r="AS46" i="27"/>
  <c r="AR46" i="27"/>
  <c r="AS45" i="27"/>
  <c r="AR45" i="27"/>
  <c r="AS44" i="27"/>
  <c r="AR44" i="27"/>
  <c r="AS43" i="27"/>
  <c r="AR43" i="27"/>
  <c r="AS42" i="27"/>
  <c r="AR42" i="27"/>
  <c r="AS41" i="27"/>
  <c r="AR41" i="27"/>
  <c r="AS40" i="27"/>
  <c r="AR40" i="27"/>
  <c r="AH39" i="27"/>
  <c r="R39" i="27"/>
  <c r="AE38" i="27"/>
  <c r="S38" i="27"/>
  <c r="R38" i="27"/>
  <c r="AE37" i="27"/>
  <c r="R37" i="27"/>
  <c r="AE36" i="27"/>
  <c r="S36" i="27"/>
  <c r="AP35" i="27"/>
  <c r="AF35" i="27"/>
  <c r="T35" i="27"/>
  <c r="R35" i="27"/>
  <c r="Q35" i="27"/>
  <c r="AE34" i="27"/>
  <c r="S34" i="27"/>
  <c r="AE33" i="27"/>
  <c r="S33" i="27"/>
  <c r="R33" i="27"/>
  <c r="AE31" i="27"/>
  <c r="S31" i="27"/>
  <c r="R31" i="27"/>
  <c r="AE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AE29" i="27"/>
  <c r="W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AE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AE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AE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AE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AE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AE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AE21" i="27"/>
  <c r="S21" i="27"/>
  <c r="R21" i="27"/>
  <c r="Q21" i="27"/>
  <c r="P21" i="27"/>
  <c r="O21" i="27"/>
  <c r="AE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AE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AE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AE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AG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AE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AE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AE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AE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AE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AE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AE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AE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AE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AE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AF3" i="27"/>
  <c r="AW230" i="26"/>
  <c r="AV230" i="26"/>
  <c r="AU230" i="26"/>
  <c r="AT230" i="26"/>
  <c r="AS230" i="26"/>
  <c r="AR230" i="26"/>
  <c r="AQ230" i="26"/>
  <c r="AP230" i="26"/>
  <c r="AO230" i="26"/>
  <c r="AN230" i="26"/>
  <c r="AM230" i="26"/>
  <c r="AL230" i="26"/>
  <c r="AK230" i="26"/>
  <c r="AJ230" i="26"/>
  <c r="AI230" i="26"/>
  <c r="AH230" i="26"/>
  <c r="AG230" i="26"/>
  <c r="AF230" i="26"/>
  <c r="AE230" i="26"/>
  <c r="AD230" i="26"/>
  <c r="AC230" i="26"/>
  <c r="AB230" i="26"/>
  <c r="AA230" i="26"/>
  <c r="Z230" i="26"/>
  <c r="Y230" i="26"/>
  <c r="X230" i="26"/>
  <c r="W230" i="26"/>
  <c r="V230" i="26"/>
  <c r="U230" i="26"/>
  <c r="T230" i="26"/>
  <c r="S230" i="26"/>
  <c r="R230" i="26"/>
  <c r="Q230" i="26"/>
  <c r="P230" i="26"/>
  <c r="AW216" i="26"/>
  <c r="AV216" i="26"/>
  <c r="AU216" i="26"/>
  <c r="AT216" i="26"/>
  <c r="AS216" i="26"/>
  <c r="AR216" i="26"/>
  <c r="AQ216" i="26"/>
  <c r="AP216" i="26"/>
  <c r="AO216" i="26"/>
  <c r="AN216" i="26"/>
  <c r="AM216" i="26"/>
  <c r="AL216" i="26"/>
  <c r="AK216" i="26"/>
  <c r="AJ216" i="26"/>
  <c r="AI216" i="26"/>
  <c r="AH216" i="26"/>
  <c r="AG216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T216" i="26"/>
  <c r="S216" i="26"/>
  <c r="R216" i="26"/>
  <c r="Q216" i="26"/>
  <c r="P216" i="26"/>
  <c r="AW208" i="26"/>
  <c r="AV208" i="26"/>
  <c r="AU208" i="26"/>
  <c r="AT208" i="26"/>
  <c r="AS208" i="26"/>
  <c r="AR208" i="26"/>
  <c r="AQ208" i="26"/>
  <c r="AP208" i="26"/>
  <c r="AO208" i="26"/>
  <c r="AN208" i="26"/>
  <c r="AM208" i="26"/>
  <c r="AL208" i="26"/>
  <c r="AK208" i="26"/>
  <c r="AJ208" i="26"/>
  <c r="AI208" i="26"/>
  <c r="AH208" i="26"/>
  <c r="AG208" i="26"/>
  <c r="AF208" i="26"/>
  <c r="AE208" i="26"/>
  <c r="AD208" i="26"/>
  <c r="AC208" i="26"/>
  <c r="AB208" i="26"/>
  <c r="AA208" i="26"/>
  <c r="Z208" i="26"/>
  <c r="Y208" i="26"/>
  <c r="X208" i="26"/>
  <c r="W208" i="26"/>
  <c r="V208" i="26"/>
  <c r="U208" i="26"/>
  <c r="T208" i="26"/>
  <c r="S208" i="26"/>
  <c r="R208" i="26"/>
  <c r="Q208" i="26"/>
  <c r="P208" i="26"/>
  <c r="AW205" i="26"/>
  <c r="AV205" i="26"/>
  <c r="AU205" i="26"/>
  <c r="AT205" i="26"/>
  <c r="AS205" i="26"/>
  <c r="AR205" i="26"/>
  <c r="AQ205" i="26"/>
  <c r="AP205" i="26"/>
  <c r="AO205" i="26"/>
  <c r="AN205" i="26"/>
  <c r="AM205" i="26"/>
  <c r="AL205" i="26"/>
  <c r="AK205" i="26"/>
  <c r="AJ205" i="26"/>
  <c r="AI205" i="26"/>
  <c r="AH205" i="26"/>
  <c r="AG205" i="26"/>
  <c r="AF205" i="26"/>
  <c r="AE205" i="26"/>
  <c r="AD205" i="26"/>
  <c r="AC205" i="26"/>
  <c r="AB205" i="26"/>
  <c r="AA205" i="26"/>
  <c r="Z205" i="26"/>
  <c r="Y205" i="26"/>
  <c r="X205" i="26"/>
  <c r="W205" i="26"/>
  <c r="V205" i="26"/>
  <c r="U205" i="26"/>
  <c r="T205" i="26"/>
  <c r="S205" i="26"/>
  <c r="R205" i="26"/>
  <c r="Q205" i="26"/>
  <c r="P205" i="26"/>
  <c r="AW202" i="26"/>
  <c r="AV202" i="26"/>
  <c r="AU202" i="26"/>
  <c r="AT202" i="26"/>
  <c r="AS202" i="26"/>
  <c r="AR202" i="26"/>
  <c r="AQ202" i="26"/>
  <c r="AP202" i="26"/>
  <c r="AO202" i="26"/>
  <c r="AN202" i="26"/>
  <c r="AM202" i="26"/>
  <c r="AL202" i="26"/>
  <c r="AK202" i="26"/>
  <c r="AJ202" i="26"/>
  <c r="AI202" i="26"/>
  <c r="AH202" i="26"/>
  <c r="AG202" i="26"/>
  <c r="AF202" i="26"/>
  <c r="AE202" i="26"/>
  <c r="AD202" i="26"/>
  <c r="AC202" i="26"/>
  <c r="AB202" i="26"/>
  <c r="AA202" i="26"/>
  <c r="Z202" i="26"/>
  <c r="Y202" i="26"/>
  <c r="X202" i="26"/>
  <c r="W202" i="26"/>
  <c r="V202" i="26"/>
  <c r="U202" i="26"/>
  <c r="T202" i="26"/>
  <c r="S202" i="26"/>
  <c r="R202" i="26"/>
  <c r="Q202" i="26"/>
  <c r="P202" i="26"/>
  <c r="AW197" i="26"/>
  <c r="AV197" i="26"/>
  <c r="AU197" i="26"/>
  <c r="AT197" i="26"/>
  <c r="AS197" i="26"/>
  <c r="AR197" i="26"/>
  <c r="AQ197" i="26"/>
  <c r="AP197" i="26"/>
  <c r="AO197" i="26"/>
  <c r="AN197" i="26"/>
  <c r="AM197" i="26"/>
  <c r="AL197" i="26"/>
  <c r="AK197" i="26"/>
  <c r="AJ197" i="26"/>
  <c r="AI197" i="26"/>
  <c r="AH197" i="26"/>
  <c r="AG197" i="26"/>
  <c r="AF197" i="26"/>
  <c r="AE197" i="26"/>
  <c r="AD197" i="26"/>
  <c r="AC197" i="26"/>
  <c r="AB197" i="26"/>
  <c r="AA197" i="26"/>
  <c r="Z197" i="26"/>
  <c r="Y197" i="26"/>
  <c r="X197" i="26"/>
  <c r="W197" i="26"/>
  <c r="V197" i="26"/>
  <c r="U197" i="26"/>
  <c r="T197" i="26"/>
  <c r="S197" i="26"/>
  <c r="R197" i="26"/>
  <c r="Q197" i="26"/>
  <c r="P197" i="26"/>
  <c r="AW191" i="26"/>
  <c r="AV191" i="26"/>
  <c r="AU191" i="26"/>
  <c r="AT191" i="26"/>
  <c r="AS191" i="26"/>
  <c r="AR191" i="26"/>
  <c r="AQ191" i="26"/>
  <c r="AP191" i="26"/>
  <c r="AO191" i="26"/>
  <c r="AN191" i="26"/>
  <c r="AM191" i="26"/>
  <c r="AL191" i="26"/>
  <c r="AK191" i="26"/>
  <c r="AJ191" i="26"/>
  <c r="AI191" i="26"/>
  <c r="AH191" i="26"/>
  <c r="AG191" i="26"/>
  <c r="AF191" i="26"/>
  <c r="AE191" i="26"/>
  <c r="AD191" i="26"/>
  <c r="AC191" i="26"/>
  <c r="AB191" i="26"/>
  <c r="AA191" i="26"/>
  <c r="Z191" i="26"/>
  <c r="Y191" i="26"/>
  <c r="X191" i="26"/>
  <c r="W191" i="26"/>
  <c r="V191" i="26"/>
  <c r="U191" i="26"/>
  <c r="T191" i="26"/>
  <c r="S191" i="26"/>
  <c r="R191" i="26"/>
  <c r="Q191" i="26"/>
  <c r="P191" i="26"/>
  <c r="AW186" i="26"/>
  <c r="AV186" i="26"/>
  <c r="AU186" i="26"/>
  <c r="AT186" i="26"/>
  <c r="AS186" i="26"/>
  <c r="AR186" i="26"/>
  <c r="AQ186" i="26"/>
  <c r="AP186" i="26"/>
  <c r="AO186" i="26"/>
  <c r="AN186" i="26"/>
  <c r="AM186" i="26"/>
  <c r="AL186" i="26"/>
  <c r="AK186" i="26"/>
  <c r="AJ186" i="26"/>
  <c r="AI186" i="26"/>
  <c r="AH186" i="26"/>
  <c r="AG186" i="26"/>
  <c r="AF186" i="26"/>
  <c r="AE186" i="26"/>
  <c r="AD186" i="26"/>
  <c r="AC186" i="26"/>
  <c r="AB186" i="26"/>
  <c r="AA186" i="26"/>
  <c r="Z186" i="26"/>
  <c r="Y186" i="26"/>
  <c r="X186" i="26"/>
  <c r="W186" i="26"/>
  <c r="V186" i="26"/>
  <c r="U186" i="26"/>
  <c r="T186" i="26"/>
  <c r="S186" i="26"/>
  <c r="R186" i="26"/>
  <c r="Q186" i="26"/>
  <c r="P186" i="26"/>
  <c r="AW183" i="26"/>
  <c r="AV183" i="26"/>
  <c r="AU183" i="26"/>
  <c r="AT183" i="26"/>
  <c r="AS183" i="26"/>
  <c r="AR183" i="26"/>
  <c r="AQ183" i="26"/>
  <c r="AP183" i="26"/>
  <c r="AO183" i="26"/>
  <c r="AN183" i="26"/>
  <c r="AM183" i="26"/>
  <c r="AL183" i="26"/>
  <c r="AK183" i="26"/>
  <c r="AJ183" i="26"/>
  <c r="AI183" i="26"/>
  <c r="AH183" i="26"/>
  <c r="AG183" i="26"/>
  <c r="AF183" i="26"/>
  <c r="AE183" i="26"/>
  <c r="AD183" i="26"/>
  <c r="AC183" i="26"/>
  <c r="AB183" i="26"/>
  <c r="AA183" i="26"/>
  <c r="Z183" i="26"/>
  <c r="Y183" i="26"/>
  <c r="X183" i="26"/>
  <c r="W183" i="26"/>
  <c r="V183" i="26"/>
  <c r="U183" i="26"/>
  <c r="T183" i="26"/>
  <c r="S183" i="26"/>
  <c r="R183" i="26"/>
  <c r="Q183" i="26"/>
  <c r="P183" i="26"/>
  <c r="AW179" i="26"/>
  <c r="AV179" i="26"/>
  <c r="AU179" i="26"/>
  <c r="AT179" i="26"/>
  <c r="AS179" i="26"/>
  <c r="AR179" i="26"/>
  <c r="AQ179" i="26"/>
  <c r="AP179" i="26"/>
  <c r="AO179" i="26"/>
  <c r="AN179" i="26"/>
  <c r="AM179" i="26"/>
  <c r="AL179" i="26"/>
  <c r="AK179" i="26"/>
  <c r="AJ179" i="26"/>
  <c r="AI179" i="26"/>
  <c r="AH179" i="26"/>
  <c r="AG179" i="26"/>
  <c r="AF179" i="26"/>
  <c r="AE179" i="26"/>
  <c r="AD179" i="26"/>
  <c r="AC179" i="26"/>
  <c r="AB179" i="26"/>
  <c r="AA179" i="26"/>
  <c r="Z179" i="26"/>
  <c r="Y179" i="26"/>
  <c r="X179" i="26"/>
  <c r="W179" i="26"/>
  <c r="V179" i="26"/>
  <c r="U179" i="26"/>
  <c r="T179" i="26"/>
  <c r="S179" i="26"/>
  <c r="R179" i="26"/>
  <c r="Q179" i="26"/>
  <c r="P179" i="26"/>
  <c r="AW173" i="26"/>
  <c r="AV173" i="26"/>
  <c r="AU173" i="26"/>
  <c r="AT173" i="26"/>
  <c r="AS173" i="26"/>
  <c r="AR173" i="26"/>
  <c r="AQ173" i="26"/>
  <c r="AP173" i="26"/>
  <c r="AO173" i="26"/>
  <c r="AN173" i="26"/>
  <c r="AM173" i="26"/>
  <c r="AL173" i="26"/>
  <c r="AK173" i="26"/>
  <c r="AJ173" i="26"/>
  <c r="AI173" i="26"/>
  <c r="AH173" i="26"/>
  <c r="AG173" i="26"/>
  <c r="AF173" i="26"/>
  <c r="AE173" i="26"/>
  <c r="AD173" i="26"/>
  <c r="AC173" i="26"/>
  <c r="AB173" i="26"/>
  <c r="AA173" i="26"/>
  <c r="Z173" i="26"/>
  <c r="Y173" i="26"/>
  <c r="X173" i="26"/>
  <c r="W173" i="26"/>
  <c r="V173" i="26"/>
  <c r="U173" i="26"/>
  <c r="T173" i="26"/>
  <c r="S173" i="26"/>
  <c r="R173" i="26"/>
  <c r="Q173" i="26"/>
  <c r="P173" i="26"/>
  <c r="AW165" i="26"/>
  <c r="AV165" i="26"/>
  <c r="AU165" i="26"/>
  <c r="AT165" i="26"/>
  <c r="AS165" i="26"/>
  <c r="AR165" i="26"/>
  <c r="AQ165" i="26"/>
  <c r="AP165" i="26"/>
  <c r="AO165" i="26"/>
  <c r="AN165" i="26"/>
  <c r="AM165" i="26"/>
  <c r="AL165" i="26"/>
  <c r="AK165" i="26"/>
  <c r="AJ165" i="26"/>
  <c r="AI165" i="26"/>
  <c r="AH165" i="26"/>
  <c r="AG165" i="26"/>
  <c r="AF165" i="26"/>
  <c r="AE165" i="26"/>
  <c r="AD165" i="26"/>
  <c r="AC165" i="26"/>
  <c r="AB165" i="26"/>
  <c r="AA165" i="26"/>
  <c r="Z165" i="26"/>
  <c r="Y165" i="26"/>
  <c r="X165" i="26"/>
  <c r="W165" i="26"/>
  <c r="V165" i="26"/>
  <c r="U165" i="26"/>
  <c r="T165" i="26"/>
  <c r="S165" i="26"/>
  <c r="R165" i="26"/>
  <c r="Q165" i="26"/>
  <c r="P165" i="26"/>
  <c r="AW156" i="26"/>
  <c r="AV156" i="26"/>
  <c r="AU156" i="26"/>
  <c r="AT156" i="26"/>
  <c r="AS156" i="26"/>
  <c r="AR156" i="26"/>
  <c r="AQ156" i="26"/>
  <c r="AP156" i="26"/>
  <c r="AO156" i="26"/>
  <c r="AN156" i="26"/>
  <c r="AM156" i="26"/>
  <c r="AL156" i="26"/>
  <c r="AK156" i="26"/>
  <c r="AJ156" i="26"/>
  <c r="AI156" i="26"/>
  <c r="AH156" i="26"/>
  <c r="AG156" i="26"/>
  <c r="AF156" i="26"/>
  <c r="AE156" i="26"/>
  <c r="AD156" i="26"/>
  <c r="AC156" i="26"/>
  <c r="AB156" i="26"/>
  <c r="AA156" i="26"/>
  <c r="Z156" i="26"/>
  <c r="Y156" i="26"/>
  <c r="X156" i="26"/>
  <c r="W156" i="26"/>
  <c r="V156" i="26"/>
  <c r="U156" i="26"/>
  <c r="T156" i="26"/>
  <c r="S156" i="26"/>
  <c r="R156" i="26"/>
  <c r="Q156" i="26"/>
  <c r="P156" i="26"/>
  <c r="AW151" i="26"/>
  <c r="AV151" i="26"/>
  <c r="AU151" i="26"/>
  <c r="AT151" i="26"/>
  <c r="AS151" i="26"/>
  <c r="AR151" i="26"/>
  <c r="AQ151" i="26"/>
  <c r="AP151" i="26"/>
  <c r="AO151" i="26"/>
  <c r="AN151" i="26"/>
  <c r="AM151" i="26"/>
  <c r="AL151" i="26"/>
  <c r="AK151" i="26"/>
  <c r="AJ151" i="26"/>
  <c r="AI151" i="26"/>
  <c r="AH151" i="26"/>
  <c r="AG151" i="26"/>
  <c r="AF151" i="26"/>
  <c r="AE151" i="26"/>
  <c r="AD151" i="26"/>
  <c r="AC151" i="26"/>
  <c r="AB151" i="26"/>
  <c r="AA151" i="26"/>
  <c r="Z151" i="26"/>
  <c r="Y151" i="26"/>
  <c r="X151" i="26"/>
  <c r="W151" i="26"/>
  <c r="V151" i="26"/>
  <c r="U151" i="26"/>
  <c r="T151" i="26"/>
  <c r="S151" i="26"/>
  <c r="R151" i="26"/>
  <c r="Q151" i="26"/>
  <c r="P151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AW134" i="26"/>
  <c r="AV134" i="26"/>
  <c r="AU134" i="26"/>
  <c r="AT134" i="26"/>
  <c r="AS134" i="26"/>
  <c r="AR134" i="26"/>
  <c r="AQ134" i="26"/>
  <c r="AP134" i="26"/>
  <c r="AO134" i="26"/>
  <c r="AN134" i="26"/>
  <c r="AM134" i="26"/>
  <c r="AL134" i="26"/>
  <c r="AK134" i="26"/>
  <c r="AJ134" i="26"/>
  <c r="AI134" i="26"/>
  <c r="AH134" i="26"/>
  <c r="AG134" i="26"/>
  <c r="AF134" i="26"/>
  <c r="AE134" i="26"/>
  <c r="AD134" i="26"/>
  <c r="AC134" i="26"/>
  <c r="AB134" i="26"/>
  <c r="AA134" i="26"/>
  <c r="Z134" i="26"/>
  <c r="Y134" i="26"/>
  <c r="X134" i="26"/>
  <c r="W134" i="26"/>
  <c r="V134" i="26"/>
  <c r="U134" i="26"/>
  <c r="T134" i="26"/>
  <c r="S134" i="26"/>
  <c r="R134" i="26"/>
  <c r="Q134" i="26"/>
  <c r="P134" i="26"/>
  <c r="AW124" i="26"/>
  <c r="AV124" i="26"/>
  <c r="AU124" i="26"/>
  <c r="AT124" i="26"/>
  <c r="AS124" i="26"/>
  <c r="AR124" i="26"/>
  <c r="AQ124" i="26"/>
  <c r="AP124" i="26"/>
  <c r="AO124" i="26"/>
  <c r="AN124" i="26"/>
  <c r="AM124" i="26"/>
  <c r="AL124" i="26"/>
  <c r="AK124" i="26"/>
  <c r="AJ124" i="26"/>
  <c r="AI124" i="26"/>
  <c r="AH124" i="26"/>
  <c r="AG124" i="26"/>
  <c r="AF124" i="26"/>
  <c r="AE124" i="26"/>
  <c r="AD124" i="26"/>
  <c r="AC124" i="26"/>
  <c r="AB124" i="26"/>
  <c r="AA124" i="26"/>
  <c r="Z124" i="26"/>
  <c r="Y124" i="26"/>
  <c r="X124" i="26"/>
  <c r="W124" i="26"/>
  <c r="V124" i="26"/>
  <c r="U124" i="26"/>
  <c r="T124" i="26"/>
  <c r="S124" i="26"/>
  <c r="R124" i="26"/>
  <c r="Q124" i="26"/>
  <c r="P124" i="26"/>
  <c r="AW112" i="26"/>
  <c r="AV112" i="26"/>
  <c r="AU112" i="26"/>
  <c r="AT112" i="26"/>
  <c r="AS112" i="26"/>
  <c r="AR112" i="26"/>
  <c r="AQ112" i="26"/>
  <c r="AP112" i="26"/>
  <c r="AO112" i="26"/>
  <c r="AN112" i="26"/>
  <c r="AM112" i="26"/>
  <c r="AL112" i="26"/>
  <c r="AK112" i="26"/>
  <c r="AJ112" i="26"/>
  <c r="AI112" i="26"/>
  <c r="AH112" i="26"/>
  <c r="AG112" i="26"/>
  <c r="AF112" i="26"/>
  <c r="AE112" i="26"/>
  <c r="AD112" i="26"/>
  <c r="AC112" i="26"/>
  <c r="AB112" i="26"/>
  <c r="AA112" i="26"/>
  <c r="Z112" i="26"/>
  <c r="Y112" i="26"/>
  <c r="X112" i="26"/>
  <c r="W112" i="26"/>
  <c r="V112" i="26"/>
  <c r="U112" i="26"/>
  <c r="T112" i="26"/>
  <c r="S112" i="26"/>
  <c r="R112" i="26"/>
  <c r="Q112" i="26"/>
  <c r="P112" i="26"/>
  <c r="AW103" i="26"/>
  <c r="AV103" i="26"/>
  <c r="AU103" i="26"/>
  <c r="AT103" i="26"/>
  <c r="AS103" i="26"/>
  <c r="AR103" i="26"/>
  <c r="AQ103" i="26"/>
  <c r="AP103" i="26"/>
  <c r="AO103" i="26"/>
  <c r="AN103" i="26"/>
  <c r="AM103" i="26"/>
  <c r="AL103" i="26"/>
  <c r="AK103" i="26"/>
  <c r="AJ103" i="26"/>
  <c r="AI103" i="26"/>
  <c r="AH103" i="26"/>
  <c r="AG103" i="26"/>
  <c r="AF103" i="26"/>
  <c r="AE103" i="26"/>
  <c r="AD103" i="26"/>
  <c r="AC103" i="26"/>
  <c r="AB103" i="26"/>
  <c r="AA103" i="26"/>
  <c r="Z103" i="26"/>
  <c r="Y103" i="26"/>
  <c r="X103" i="26"/>
  <c r="W103" i="26"/>
  <c r="V103" i="26"/>
  <c r="U103" i="26"/>
  <c r="T103" i="26"/>
  <c r="S103" i="26"/>
  <c r="R103" i="26"/>
  <c r="Q103" i="26"/>
  <c r="P103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AW64" i="26"/>
  <c r="AV64" i="26"/>
  <c r="AU64" i="26"/>
  <c r="AT64" i="26"/>
  <c r="AS64" i="26"/>
  <c r="AR64" i="26"/>
  <c r="AQ64" i="26"/>
  <c r="AP64" i="26"/>
  <c r="AO64" i="26"/>
  <c r="AN64" i="26"/>
  <c r="AM64" i="26"/>
  <c r="AL64" i="26"/>
  <c r="AK64" i="26"/>
  <c r="AJ64" i="26"/>
  <c r="AI64" i="26"/>
  <c r="AH64" i="26"/>
  <c r="AG64" i="26"/>
  <c r="AF64" i="26"/>
  <c r="AE64" i="26"/>
  <c r="AD64" i="26"/>
  <c r="AC64" i="26"/>
  <c r="AB64" i="26"/>
  <c r="AA64" i="26"/>
  <c r="Z64" i="26"/>
  <c r="Y64" i="26"/>
  <c r="X64" i="26"/>
  <c r="W64" i="26"/>
  <c r="V64" i="26"/>
  <c r="U64" i="26"/>
  <c r="T64" i="26"/>
  <c r="S64" i="26"/>
  <c r="R64" i="26"/>
  <c r="Q64" i="26"/>
  <c r="P64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AW26" i="26"/>
  <c r="AV26" i="26"/>
  <c r="AU26" i="26"/>
  <c r="AT26" i="26"/>
  <c r="AS26" i="26"/>
  <c r="AR26" i="26"/>
  <c r="AQ26" i="26"/>
  <c r="AP26" i="26"/>
  <c r="AO26" i="26"/>
  <c r="AN26" i="26"/>
  <c r="AM26" i="26"/>
  <c r="AL26" i="26"/>
  <c r="AK26" i="26"/>
  <c r="AJ26" i="26"/>
  <c r="AI26" i="26"/>
  <c r="AH26" i="26"/>
  <c r="AG26" i="26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AQ3" i="26" a="1"/>
  <c r="AI3" i="26" a="1"/>
  <c r="AR64" i="25" a="1"/>
  <c r="AQ64" i="25" a="1"/>
  <c r="AP64" i="25" a="1"/>
  <c r="AO64" i="25" a="1"/>
  <c r="AN64" i="25" a="1"/>
  <c r="AM64" i="25" a="1"/>
  <c r="AL64" i="25" a="1"/>
  <c r="AK64" i="25" a="1"/>
  <c r="AJ64" i="25" a="1"/>
  <c r="AI64" i="25" a="1"/>
  <c r="AH64" i="25" a="1"/>
  <c r="AG64" i="25" a="1"/>
  <c r="AF64" i="25" a="1"/>
  <c r="AE64" i="25" a="1"/>
  <c r="AE64" i="25"/>
  <c r="AD64" i="25" a="1"/>
  <c r="AC64" i="25" a="1"/>
  <c r="AC64" i="25"/>
  <c r="AB64" i="25" a="1"/>
  <c r="AA64" i="25" a="1"/>
  <c r="Z64" i="25" a="1"/>
  <c r="Y64" i="25" a="1"/>
  <c r="X64" i="25" a="1"/>
  <c r="W64" i="25" a="1"/>
  <c r="V64" i="25" a="1"/>
  <c r="U64" i="25" a="1"/>
  <c r="T64" i="25" a="1"/>
  <c r="S64" i="25" a="1"/>
  <c r="R64" i="25" a="1"/>
  <c r="Q64" i="25" a="1"/>
  <c r="P64" i="25" a="1"/>
  <c r="O64" i="25" a="1"/>
  <c r="N64" i="25" a="1"/>
  <c r="M64" i="25" a="1"/>
  <c r="L64" i="25" a="1"/>
  <c r="AR63" i="25" a="1"/>
  <c r="AR63" i="25"/>
  <c r="AQ63" i="25" a="1"/>
  <c r="AQ63" i="25"/>
  <c r="AP63" i="25" a="1"/>
  <c r="AO63" i="25" a="1"/>
  <c r="AN63" i="25" a="1"/>
  <c r="AM63" i="25" a="1"/>
  <c r="AL63" i="25" a="1"/>
  <c r="AK63" i="25" a="1"/>
  <c r="AJ63" i="25" a="1"/>
  <c r="AI63" i="25" a="1"/>
  <c r="AH63" i="25" a="1"/>
  <c r="AG63" i="25" a="1"/>
  <c r="AF63" i="25" a="1"/>
  <c r="AF63" i="25"/>
  <c r="AE63" i="25" a="1"/>
  <c r="AD63" i="25" a="1"/>
  <c r="AC63" i="25" a="1"/>
  <c r="AC63" i="25"/>
  <c r="AB63" i="25" a="1"/>
  <c r="AA63" i="25" a="1"/>
  <c r="Z63" i="25" a="1"/>
  <c r="Y63" i="25" a="1"/>
  <c r="X63" i="25" a="1"/>
  <c r="W63" i="25" a="1"/>
  <c r="V63" i="25" a="1"/>
  <c r="U63" i="25" a="1"/>
  <c r="T63" i="25" a="1"/>
  <c r="T63" i="25"/>
  <c r="S63" i="25" a="1"/>
  <c r="S63" i="25"/>
  <c r="R63" i="25" a="1"/>
  <c r="R63" i="25"/>
  <c r="Q63" i="25" a="1"/>
  <c r="Q63" i="25"/>
  <c r="P63" i="25" a="1"/>
  <c r="P63" i="25"/>
  <c r="O63" i="25" a="1"/>
  <c r="O63" i="25"/>
  <c r="N63" i="25" a="1"/>
  <c r="N63" i="25"/>
  <c r="M63" i="25" a="1"/>
  <c r="L63" i="25" a="1"/>
  <c r="AR62" i="25" a="1"/>
  <c r="AR62" i="25"/>
  <c r="AQ62" i="25" a="1"/>
  <c r="AQ62" i="25"/>
  <c r="AP62" i="25" a="1"/>
  <c r="AP62" i="25"/>
  <c r="AO62" i="25" a="1"/>
  <c r="AO62" i="25"/>
  <c r="AN62" i="25" a="1"/>
  <c r="AN62" i="25"/>
  <c r="AM62" i="25" a="1"/>
  <c r="AL62" i="25" a="1"/>
  <c r="AK62" i="25" a="1"/>
  <c r="AJ62" i="25" a="1"/>
  <c r="AI62" i="25" a="1"/>
  <c r="AH62" i="25" a="1"/>
  <c r="AG62" i="25" a="1"/>
  <c r="AG62" i="25"/>
  <c r="AF62" i="25" a="1"/>
  <c r="AE62" i="25" a="1"/>
  <c r="AD62" i="25" a="1"/>
  <c r="AC62" i="25" a="1"/>
  <c r="AB62" i="25" a="1"/>
  <c r="AA62" i="25" a="1"/>
  <c r="Z62" i="25" a="1"/>
  <c r="Y62" i="25" a="1"/>
  <c r="X62" i="25" a="1"/>
  <c r="W62" i="25" a="1"/>
  <c r="V62" i="25" a="1"/>
  <c r="U62" i="25" a="1"/>
  <c r="T62" i="25" a="1"/>
  <c r="S62" i="25" a="1"/>
  <c r="R62" i="25" a="1"/>
  <c r="Q62" i="25" a="1"/>
  <c r="P62" i="25" a="1"/>
  <c r="O62" i="25" a="1"/>
  <c r="N62" i="25" a="1"/>
  <c r="M62" i="25" a="1"/>
  <c r="L62" i="25" a="1"/>
  <c r="AR61" i="25" a="1"/>
  <c r="AQ61" i="25" a="1"/>
  <c r="AP61" i="25" a="1"/>
  <c r="AO61" i="25" a="1"/>
  <c r="AN61" i="25" a="1"/>
  <c r="AM61" i="25" a="1"/>
  <c r="AL61" i="25" a="1"/>
  <c r="AK61" i="25" a="1"/>
  <c r="AJ61" i="25" a="1"/>
  <c r="AI61" i="25" a="1"/>
  <c r="AH61" i="25" a="1"/>
  <c r="AG61" i="25" a="1"/>
  <c r="AF61" i="25" a="1"/>
  <c r="AE61" i="25" a="1"/>
  <c r="AD61" i="25" a="1"/>
  <c r="AC61" i="25" a="1"/>
  <c r="AB61" i="25" a="1"/>
  <c r="AA61" i="25" a="1"/>
  <c r="Z61" i="25" a="1"/>
  <c r="Y61" i="25" a="1"/>
  <c r="X61" i="25" a="1"/>
  <c r="W61" i="25" a="1"/>
  <c r="V61" i="25" a="1"/>
  <c r="U61" i="25" a="1"/>
  <c r="T61" i="25" a="1"/>
  <c r="S61" i="25" a="1"/>
  <c r="R61" i="25" a="1"/>
  <c r="Q61" i="25" a="1"/>
  <c r="P61" i="25" a="1"/>
  <c r="O61" i="25" a="1"/>
  <c r="N61" i="25" a="1"/>
  <c r="M61" i="25" a="1"/>
  <c r="L61" i="25" a="1"/>
  <c r="AR60" i="25" a="1"/>
  <c r="AQ60" i="25" a="1"/>
  <c r="AP60" i="25" a="1"/>
  <c r="AO60" i="25" a="1"/>
  <c r="AN60" i="25" a="1"/>
  <c r="AM60" i="25" a="1"/>
  <c r="AL60" i="25" a="1"/>
  <c r="AK60" i="25" a="1"/>
  <c r="AJ60" i="25" a="1"/>
  <c r="AI60" i="25" a="1"/>
  <c r="AH60" i="25" a="1"/>
  <c r="AG60" i="25" a="1"/>
  <c r="AF60" i="25" a="1"/>
  <c r="AE60" i="25" a="1"/>
  <c r="AD60" i="25" a="1"/>
  <c r="AC60" i="25" a="1"/>
  <c r="AB60" i="25" a="1"/>
  <c r="AA60" i="25" a="1"/>
  <c r="Z60" i="25" a="1"/>
  <c r="Y60" i="25" a="1"/>
  <c r="X60" i="25" a="1"/>
  <c r="W60" i="25" a="1"/>
  <c r="V60" i="25" a="1"/>
  <c r="U60" i="25" a="1"/>
  <c r="T60" i="25" a="1"/>
  <c r="S60" i="25" a="1"/>
  <c r="R60" i="25" a="1"/>
  <c r="Q60" i="25" a="1"/>
  <c r="P60" i="25" a="1"/>
  <c r="O60" i="25" a="1"/>
  <c r="N60" i="25" a="1"/>
  <c r="M60" i="25" a="1"/>
  <c r="L60" i="25" a="1"/>
  <c r="AR59" i="25" a="1"/>
  <c r="AR59" i="25"/>
  <c r="AQ59" i="25" a="1"/>
  <c r="AP59" i="25" a="1"/>
  <c r="AO59" i="25" a="1"/>
  <c r="AN59" i="25" a="1"/>
  <c r="AM59" i="25" a="1"/>
  <c r="AL59" i="25" a="1"/>
  <c r="AK59" i="25" a="1"/>
  <c r="AJ59" i="25" a="1"/>
  <c r="AI59" i="25" a="1"/>
  <c r="AH59" i="25" a="1"/>
  <c r="AG59" i="25" a="1"/>
  <c r="AF59" i="25" a="1"/>
  <c r="AE59" i="25" a="1"/>
  <c r="AD59" i="25" a="1"/>
  <c r="AC59" i="25" a="1"/>
  <c r="AC59" i="25"/>
  <c r="AB59" i="25" a="1"/>
  <c r="AA59" i="25" a="1"/>
  <c r="Z59" i="25" a="1"/>
  <c r="Y59" i="25" a="1"/>
  <c r="X59" i="25" a="1"/>
  <c r="W59" i="25" a="1"/>
  <c r="V59" i="25" a="1"/>
  <c r="U59" i="25" a="1"/>
  <c r="T59" i="25" a="1"/>
  <c r="S59" i="25" a="1"/>
  <c r="R59" i="25" a="1"/>
  <c r="Q59" i="25" a="1"/>
  <c r="P59" i="25" a="1"/>
  <c r="O59" i="25" a="1"/>
  <c r="N59" i="25" a="1"/>
  <c r="M59" i="25" a="1"/>
  <c r="L59" i="25" a="1"/>
  <c r="AR58" i="25" a="1"/>
  <c r="AR58" i="25"/>
  <c r="AQ58" i="25" a="1"/>
  <c r="AQ58" i="25"/>
  <c r="AP58" i="25" a="1"/>
  <c r="AP58" i="25"/>
  <c r="AO58" i="25" a="1"/>
  <c r="AN58" i="25" a="1"/>
  <c r="AM58" i="25" a="1"/>
  <c r="AL58" i="25" a="1"/>
  <c r="AK58" i="25" a="1"/>
  <c r="AJ58" i="25" a="1"/>
  <c r="AI58" i="25" a="1"/>
  <c r="AH58" i="25" a="1"/>
  <c r="AG58" i="25" a="1"/>
  <c r="AF58" i="25" a="1"/>
  <c r="AE58" i="25" a="1"/>
  <c r="AD58" i="25" a="1"/>
  <c r="AC58" i="25" a="1"/>
  <c r="AB58" i="25" a="1"/>
  <c r="AA58" i="25" a="1"/>
  <c r="Z58" i="25" a="1"/>
  <c r="Y58" i="25" a="1"/>
  <c r="X58" i="25" a="1"/>
  <c r="W58" i="25" a="1"/>
  <c r="V58" i="25" a="1"/>
  <c r="U58" i="25" a="1"/>
  <c r="T58" i="25" a="1"/>
  <c r="S58" i="25" a="1"/>
  <c r="R58" i="25" a="1"/>
  <c r="Q58" i="25" a="1"/>
  <c r="P58" i="25" a="1"/>
  <c r="O58" i="25" a="1"/>
  <c r="N58" i="25" a="1"/>
  <c r="M58" i="25" a="1"/>
  <c r="L58" i="25" a="1"/>
  <c r="AR57" i="25" a="1"/>
  <c r="AR57" i="25"/>
  <c r="AQ57" i="25" a="1"/>
  <c r="AQ57" i="25"/>
  <c r="AP57" i="25" a="1"/>
  <c r="AP57" i="25"/>
  <c r="AO57" i="25" a="1"/>
  <c r="AN57" i="25" a="1"/>
  <c r="AM57" i="25" a="1"/>
  <c r="AL57" i="25" a="1"/>
  <c r="AK57" i="25" a="1"/>
  <c r="AJ57" i="25" a="1"/>
  <c r="AI57" i="25" a="1"/>
  <c r="AH57" i="25" a="1"/>
  <c r="AG57" i="25" a="1"/>
  <c r="AF57" i="25" a="1"/>
  <c r="AE57" i="25" a="1"/>
  <c r="AD57" i="25" a="1"/>
  <c r="AC57" i="25" a="1"/>
  <c r="AB57" i="25" a="1"/>
  <c r="AA57" i="25" a="1"/>
  <c r="Z57" i="25" a="1"/>
  <c r="Y57" i="25" a="1"/>
  <c r="X57" i="25" a="1"/>
  <c r="W57" i="25" a="1"/>
  <c r="V57" i="25" a="1"/>
  <c r="U57" i="25" a="1"/>
  <c r="T57" i="25" a="1"/>
  <c r="S57" i="25" a="1"/>
  <c r="R57" i="25" a="1"/>
  <c r="Q57" i="25" a="1"/>
  <c r="Q57" i="25"/>
  <c r="P57" i="25" a="1"/>
  <c r="O57" i="25" a="1"/>
  <c r="N57" i="25" a="1"/>
  <c r="M57" i="25" a="1"/>
  <c r="L57" i="25" a="1"/>
  <c r="AR56" i="25" a="1"/>
  <c r="AQ56" i="25" a="1"/>
  <c r="AP56" i="25" a="1"/>
  <c r="AP56" i="25"/>
  <c r="AO56" i="25" a="1"/>
  <c r="AO56" i="25"/>
  <c r="AN56" i="25" a="1"/>
  <c r="AM56" i="25" a="1"/>
  <c r="AL56" i="25" a="1"/>
  <c r="AK56" i="25" a="1"/>
  <c r="AJ56" i="25" a="1"/>
  <c r="AI56" i="25" a="1"/>
  <c r="AH56" i="25" a="1"/>
  <c r="AG56" i="25" a="1"/>
  <c r="AF56" i="25" a="1"/>
  <c r="AE56" i="25" a="1"/>
  <c r="AD56" i="25" a="1"/>
  <c r="AC56" i="25" a="1"/>
  <c r="AB56" i="25" a="1"/>
  <c r="AA56" i="25" a="1"/>
  <c r="Z56" i="25" a="1"/>
  <c r="Y56" i="25" a="1"/>
  <c r="X56" i="25" a="1"/>
  <c r="W56" i="25" a="1"/>
  <c r="V56" i="25" a="1"/>
  <c r="U56" i="25" a="1"/>
  <c r="T56" i="25" a="1"/>
  <c r="S56" i="25" a="1"/>
  <c r="R56" i="25" a="1"/>
  <c r="Q56" i="25" a="1"/>
  <c r="P56" i="25" a="1"/>
  <c r="O56" i="25" a="1"/>
  <c r="N56" i="25" a="1"/>
  <c r="M56" i="25" a="1"/>
  <c r="L56" i="25" a="1"/>
  <c r="AR55" i="25" a="1"/>
  <c r="AR55" i="25"/>
  <c r="AQ55" i="25" a="1"/>
  <c r="AQ55" i="25"/>
  <c r="AP55" i="25" a="1"/>
  <c r="AO55" i="25" a="1"/>
  <c r="AN55" i="25" a="1"/>
  <c r="AM55" i="25" a="1"/>
  <c r="AL55" i="25" a="1"/>
  <c r="AK55" i="25" a="1"/>
  <c r="AJ55" i="25" a="1"/>
  <c r="AI55" i="25" a="1"/>
  <c r="AH55" i="25" a="1"/>
  <c r="AG55" i="25" a="1"/>
  <c r="AF55" i="25" a="1"/>
  <c r="AE55" i="25" a="1"/>
  <c r="AD55" i="25" a="1"/>
  <c r="AC55" i="25" a="1"/>
  <c r="AB55" i="25" a="1"/>
  <c r="AB55" i="25"/>
  <c r="AA55" i="25" a="1"/>
  <c r="Z55" i="25" a="1"/>
  <c r="Y55" i="25" a="1"/>
  <c r="X55" i="25" a="1"/>
  <c r="W55" i="25" a="1"/>
  <c r="V55" i="25" a="1"/>
  <c r="U55" i="25" a="1"/>
  <c r="T55" i="25" a="1"/>
  <c r="T55" i="25"/>
  <c r="S55" i="25" a="1"/>
  <c r="R55" i="25" a="1"/>
  <c r="Q55" i="25" a="1"/>
  <c r="P55" i="25" a="1"/>
  <c r="O55" i="25" a="1"/>
  <c r="N55" i="25" a="1"/>
  <c r="M55" i="25" a="1"/>
  <c r="L55" i="25" a="1"/>
  <c r="AR54" i="25" a="1"/>
  <c r="AR54" i="25"/>
  <c r="AQ54" i="25" a="1"/>
  <c r="AQ54" i="25"/>
  <c r="AP54" i="25" a="1"/>
  <c r="AO54" i="25" a="1"/>
  <c r="AO54" i="25"/>
  <c r="AN54" i="25" a="1"/>
  <c r="AN54" i="25"/>
  <c r="AM54" i="25" a="1"/>
  <c r="AL54" i="25" a="1"/>
  <c r="AK54" i="25" a="1"/>
  <c r="AK54" i="25"/>
  <c r="AJ54" i="25" a="1"/>
  <c r="AI54" i="25" a="1"/>
  <c r="AH54" i="25" a="1"/>
  <c r="AG54" i="25" a="1"/>
  <c r="AF54" i="25" a="1"/>
  <c r="AE54" i="25" a="1"/>
  <c r="AD54" i="25" a="1"/>
  <c r="AC54" i="25" a="1"/>
  <c r="AB54" i="25" a="1"/>
  <c r="AA54" i="25" a="1"/>
  <c r="Z54" i="25" a="1"/>
  <c r="Y54" i="25" a="1"/>
  <c r="X54" i="25" a="1"/>
  <c r="W54" i="25" a="1"/>
  <c r="V54" i="25" a="1"/>
  <c r="U54" i="25" a="1"/>
  <c r="T54" i="25" a="1"/>
  <c r="S54" i="25" a="1"/>
  <c r="R54" i="25" a="1"/>
  <c r="Q54" i="25" a="1"/>
  <c r="P54" i="25" a="1"/>
  <c r="O54" i="25" a="1"/>
  <c r="N54" i="25" a="1"/>
  <c r="M54" i="25" a="1"/>
  <c r="L54" i="25" a="1"/>
  <c r="AR53" i="25" a="1"/>
  <c r="AQ53" i="25" a="1"/>
  <c r="AP53" i="25" a="1"/>
  <c r="AO53" i="25" a="1"/>
  <c r="AN53" i="25" a="1"/>
  <c r="AM53" i="25" a="1"/>
  <c r="AL53" i="25" a="1"/>
  <c r="AK53" i="25" a="1"/>
  <c r="AJ53" i="25" a="1"/>
  <c r="AI53" i="25" a="1"/>
  <c r="AH53" i="25" a="1"/>
  <c r="AG53" i="25" a="1"/>
  <c r="AF53" i="25" a="1"/>
  <c r="AE53" i="25" a="1"/>
  <c r="AD53" i="25" a="1"/>
  <c r="AC53" i="25" a="1"/>
  <c r="AB53" i="25" a="1"/>
  <c r="AA53" i="25" a="1"/>
  <c r="Z53" i="25" a="1"/>
  <c r="Y53" i="25" a="1"/>
  <c r="X53" i="25" a="1"/>
  <c r="W53" i="25" a="1"/>
  <c r="V53" i="25" a="1"/>
  <c r="U53" i="25" a="1"/>
  <c r="T53" i="25" a="1"/>
  <c r="S53" i="25" a="1"/>
  <c r="R53" i="25" a="1"/>
  <c r="Q53" i="25" a="1"/>
  <c r="P53" i="25" a="1"/>
  <c r="O53" i="25" a="1"/>
  <c r="N53" i="25" a="1"/>
  <c r="M53" i="25" a="1"/>
  <c r="L53" i="25" a="1"/>
  <c r="AR52" i="25" a="1"/>
  <c r="AR52" i="25"/>
  <c r="AQ52" i="25" a="1"/>
  <c r="AQ52" i="25"/>
  <c r="AP52" i="25" a="1"/>
  <c r="AO52" i="25" a="1"/>
  <c r="AN52" i="25" a="1"/>
  <c r="AM52" i="25" a="1"/>
  <c r="AL52" i="25" a="1"/>
  <c r="AK52" i="25" a="1"/>
  <c r="AJ52" i="25" a="1"/>
  <c r="AJ52" i="25"/>
  <c r="AI52" i="25" a="1"/>
  <c r="AH52" i="25" a="1"/>
  <c r="AG52" i="25" a="1"/>
  <c r="AF52" i="25" a="1"/>
  <c r="AE52" i="25" a="1"/>
  <c r="AD52" i="25" a="1"/>
  <c r="AC52" i="25" a="1"/>
  <c r="AB52" i="25" a="1"/>
  <c r="AA52" i="25" a="1"/>
  <c r="Z52" i="25" a="1"/>
  <c r="Y52" i="25" a="1"/>
  <c r="X52" i="25" a="1"/>
  <c r="W52" i="25" a="1"/>
  <c r="V52" i="25" a="1"/>
  <c r="U52" i="25" a="1"/>
  <c r="T52" i="25" a="1"/>
  <c r="S52" i="25" a="1"/>
  <c r="R52" i="25" a="1"/>
  <c r="Q52" i="25" a="1"/>
  <c r="P52" i="25" a="1"/>
  <c r="O52" i="25" a="1"/>
  <c r="N52" i="25" a="1"/>
  <c r="M52" i="25" a="1"/>
  <c r="L52" i="25" a="1"/>
  <c r="AR51" i="25" a="1"/>
  <c r="AR51" i="25"/>
  <c r="AQ51" i="25" a="1"/>
  <c r="AQ51" i="25"/>
  <c r="AP51" i="25" a="1"/>
  <c r="AO51" i="25" a="1"/>
  <c r="AN51" i="25" a="1"/>
  <c r="AM51" i="25" a="1"/>
  <c r="AL51" i="25" a="1"/>
  <c r="AK51" i="25" a="1"/>
  <c r="AJ51" i="25" a="1"/>
  <c r="AI51" i="25" a="1"/>
  <c r="AH51" i="25" a="1"/>
  <c r="AG51" i="25" a="1"/>
  <c r="AF51" i="25" a="1"/>
  <c r="AE51" i="25" a="1"/>
  <c r="AD51" i="25" a="1"/>
  <c r="AC51" i="25" a="1"/>
  <c r="AB51" i="25" a="1"/>
  <c r="AA51" i="25" a="1"/>
  <c r="Z51" i="25" a="1"/>
  <c r="Y51" i="25" a="1"/>
  <c r="X51" i="25" a="1"/>
  <c r="W51" i="25" a="1"/>
  <c r="V51" i="25" a="1"/>
  <c r="U51" i="25" a="1"/>
  <c r="T51" i="25" a="1"/>
  <c r="S51" i="25" a="1"/>
  <c r="R51" i="25" a="1"/>
  <c r="Q51" i="25" a="1"/>
  <c r="P51" i="25" a="1"/>
  <c r="O51" i="25" a="1"/>
  <c r="N51" i="25" a="1"/>
  <c r="M51" i="25" a="1"/>
  <c r="L51" i="25" a="1"/>
  <c r="AR50" i="25" a="1"/>
  <c r="AR50" i="25"/>
  <c r="AQ50" i="25" a="1"/>
  <c r="AQ50" i="25"/>
  <c r="AP50" i="25" a="1"/>
  <c r="AP50" i="25"/>
  <c r="AO50" i="25" a="1"/>
  <c r="AO50" i="25"/>
  <c r="AN50" i="25" a="1"/>
  <c r="AN50" i="25"/>
  <c r="AM50" i="25" a="1"/>
  <c r="AM50" i="25"/>
  <c r="AL50" i="25" a="1"/>
  <c r="AL50" i="25"/>
  <c r="AK50" i="25" a="1"/>
  <c r="AK50" i="25"/>
  <c r="AJ50" i="25" a="1"/>
  <c r="AJ50" i="25"/>
  <c r="AI50" i="25" a="1"/>
  <c r="AI50" i="25"/>
  <c r="AH50" i="25" a="1"/>
  <c r="AH50" i="25"/>
  <c r="AG50" i="25" a="1"/>
  <c r="AG50" i="25"/>
  <c r="AF50" i="25" a="1"/>
  <c r="AF50" i="25"/>
  <c r="AE50" i="25" a="1"/>
  <c r="AE50" i="25"/>
  <c r="AD50" i="25" a="1"/>
  <c r="AD50" i="25"/>
  <c r="AC50" i="25" a="1"/>
  <c r="AC50" i="25"/>
  <c r="AB50" i="25" a="1"/>
  <c r="AB50" i="25"/>
  <c r="AA50" i="25" a="1"/>
  <c r="AA50" i="25"/>
  <c r="Z50" i="25" a="1"/>
  <c r="Z50" i="25"/>
  <c r="Y50" i="25" a="1"/>
  <c r="Y50" i="25"/>
  <c r="X50" i="25" a="1"/>
  <c r="X50" i="25"/>
  <c r="W50" i="25" a="1"/>
  <c r="W50" i="25"/>
  <c r="V50" i="25" a="1"/>
  <c r="V50" i="25"/>
  <c r="U50" i="25" a="1"/>
  <c r="U50" i="25"/>
  <c r="T50" i="25" a="1"/>
  <c r="T50" i="25"/>
  <c r="S50" i="25" a="1"/>
  <c r="S50" i="25"/>
  <c r="R50" i="25" a="1"/>
  <c r="R50" i="25"/>
  <c r="Q50" i="25" a="1"/>
  <c r="Q50" i="25"/>
  <c r="P50" i="25" a="1"/>
  <c r="P50" i="25"/>
  <c r="O50" i="25" a="1"/>
  <c r="O50" i="25"/>
  <c r="N50" i="25" a="1"/>
  <c r="N50" i="25"/>
  <c r="M50" i="25" a="1"/>
  <c r="M50" i="25"/>
  <c r="L50" i="25" a="1"/>
  <c r="L50" i="25"/>
  <c r="D50" i="25"/>
  <c r="AR49" i="25" a="1"/>
  <c r="AR49" i="25"/>
  <c r="AQ49" i="25" a="1"/>
  <c r="AQ49" i="25"/>
  <c r="AP49" i="25" a="1"/>
  <c r="AP49" i="25"/>
  <c r="AO49" i="25" a="1"/>
  <c r="AO49" i="25"/>
  <c r="AN49" i="25" a="1"/>
  <c r="AN49" i="25"/>
  <c r="AM49" i="25" a="1"/>
  <c r="AM49" i="25"/>
  <c r="AL49" i="25" a="1"/>
  <c r="AL49" i="25"/>
  <c r="AK49" i="25" a="1"/>
  <c r="AK49" i="25"/>
  <c r="AJ49" i="25" a="1"/>
  <c r="AJ49" i="25"/>
  <c r="AI49" i="25" a="1"/>
  <c r="AI49" i="25"/>
  <c r="AH49" i="25" a="1"/>
  <c r="AH49" i="25"/>
  <c r="AG49" i="25" a="1"/>
  <c r="AG49" i="25"/>
  <c r="AF49" i="25" a="1"/>
  <c r="AF49" i="25"/>
  <c r="AE49" i="25" a="1"/>
  <c r="AE49" i="25"/>
  <c r="AD49" i="25" a="1"/>
  <c r="AD49" i="25"/>
  <c r="AC49" i="25" a="1"/>
  <c r="AC49" i="25"/>
  <c r="AB49" i="25" a="1"/>
  <c r="AB49" i="25"/>
  <c r="AA49" i="25" a="1"/>
  <c r="AA49" i="25"/>
  <c r="Z49" i="25" a="1"/>
  <c r="Z49" i="25"/>
  <c r="Y49" i="25" a="1"/>
  <c r="Y49" i="25"/>
  <c r="X49" i="25" a="1"/>
  <c r="X49" i="25"/>
  <c r="W49" i="25" a="1"/>
  <c r="W49" i="25"/>
  <c r="V49" i="25" a="1"/>
  <c r="V49" i="25"/>
  <c r="U49" i="25" a="1"/>
  <c r="U49" i="25"/>
  <c r="T49" i="25" a="1"/>
  <c r="T49" i="25"/>
  <c r="S49" i="25" a="1"/>
  <c r="S49" i="25"/>
  <c r="R49" i="25" a="1"/>
  <c r="R49" i="25"/>
  <c r="Q49" i="25" a="1"/>
  <c r="Q49" i="25"/>
  <c r="P49" i="25" a="1"/>
  <c r="P49" i="25"/>
  <c r="O49" i="25" a="1"/>
  <c r="O49" i="25"/>
  <c r="N49" i="25" a="1"/>
  <c r="N49" i="25"/>
  <c r="M49" i="25" a="1"/>
  <c r="M49" i="25"/>
  <c r="L49" i="25" a="1"/>
  <c r="L49" i="25"/>
  <c r="D49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J18" i="25"/>
  <c r="I18" i="25"/>
  <c r="H18" i="25"/>
  <c r="F18" i="25"/>
  <c r="D18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J17" i="25"/>
  <c r="I17" i="25"/>
  <c r="H17" i="25"/>
  <c r="F17" i="25"/>
  <c r="D17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J16" i="25"/>
  <c r="I16" i="25"/>
  <c r="H16" i="25"/>
  <c r="F16" i="25"/>
  <c r="D16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F15" i="25"/>
  <c r="D15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J14" i="25"/>
  <c r="I14" i="25"/>
  <c r="H14" i="25"/>
  <c r="F14" i="25"/>
  <c r="D14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J13" i="25"/>
  <c r="I13" i="25"/>
  <c r="H13" i="25"/>
  <c r="F13" i="25"/>
  <c r="D13" i="25"/>
  <c r="AR11" i="25" a="1"/>
  <c r="AQ11" i="25" a="1"/>
  <c r="AP11" i="25" a="1"/>
  <c r="AO11" i="25" a="1"/>
  <c r="AN11" i="25" a="1"/>
  <c r="AM11" i="25" a="1"/>
  <c r="AL11" i="25" a="1"/>
  <c r="AK11" i="25" a="1"/>
  <c r="AJ11" i="25" a="1"/>
  <c r="AI11" i="25" a="1"/>
  <c r="AH11" i="25" a="1"/>
  <c r="AG11" i="25" a="1"/>
  <c r="AF11" i="25" a="1"/>
  <c r="AE11" i="25" a="1"/>
  <c r="AD11" i="25" a="1"/>
  <c r="AC11" i="25" a="1"/>
  <c r="AB11" i="25" a="1"/>
  <c r="AA11" i="25" a="1"/>
  <c r="Z11" i="25" a="1"/>
  <c r="Y11" i="25" a="1"/>
  <c r="X11" i="25" a="1"/>
  <c r="W11" i="25" a="1"/>
  <c r="V11" i="25" a="1"/>
  <c r="U11" i="25" a="1"/>
  <c r="T11" i="25" a="1"/>
  <c r="S11" i="25" a="1"/>
  <c r="R11" i="25" a="1"/>
  <c r="Q11" i="25" a="1"/>
  <c r="P11" i="25" a="1"/>
  <c r="O11" i="25" a="1"/>
  <c r="N11" i="25" a="1"/>
  <c r="M11" i="25" a="1"/>
  <c r="L11" i="25" a="1"/>
  <c r="J11" i="25"/>
  <c r="I11" i="25"/>
  <c r="H11" i="25"/>
  <c r="F11" i="25"/>
  <c r="D11" i="25"/>
  <c r="AR6" i="25" a="1"/>
  <c r="AR6" i="25"/>
  <c r="AQ6" i="25" a="1"/>
  <c r="AP6" i="25" a="1"/>
  <c r="AO6" i="25" a="1"/>
  <c r="AN6" i="25" a="1"/>
  <c r="AM6" i="25" a="1"/>
  <c r="AL6" i="25" a="1"/>
  <c r="AK6" i="25" a="1"/>
  <c r="AJ6" i="25" a="1"/>
  <c r="AI6" i="25" a="1"/>
  <c r="AH6" i="25" a="1"/>
  <c r="AG6" i="25" a="1"/>
  <c r="AF6" i="25" a="1"/>
  <c r="AE6" i="25" a="1"/>
  <c r="AD6" i="25" a="1"/>
  <c r="AC6" i="25" a="1"/>
  <c r="AB6" i="25" a="1"/>
  <c r="AA6" i="25" a="1"/>
  <c r="Z6" i="25" a="1"/>
  <c r="Y6" i="25" a="1"/>
  <c r="X6" i="25" a="1"/>
  <c r="W6" i="25" a="1"/>
  <c r="V6" i="25" a="1"/>
  <c r="U6" i="25" a="1"/>
  <c r="T6" i="25" a="1"/>
  <c r="S6" i="25" a="1"/>
  <c r="R6" i="25" a="1"/>
  <c r="Q6" i="25" a="1"/>
  <c r="P6" i="25" a="1"/>
  <c r="O6" i="25" a="1"/>
  <c r="N6" i="25" a="1"/>
  <c r="M6" i="25" a="1"/>
  <c r="L6" i="25" a="1"/>
  <c r="B567" i="23"/>
  <c r="B566" i="23"/>
  <c r="M565" i="23"/>
  <c r="B565" i="23"/>
  <c r="E564" i="23"/>
  <c r="E563" i="23"/>
  <c r="E562" i="23"/>
  <c r="B562" i="23"/>
  <c r="E561" i="23"/>
  <c r="B561" i="23"/>
  <c r="E560" i="23"/>
  <c r="B560" i="23"/>
  <c r="M559" i="23"/>
  <c r="E559" i="23"/>
  <c r="B559" i="23"/>
  <c r="E558" i="23"/>
  <c r="E557" i="23"/>
  <c r="E556" i="23"/>
  <c r="E555" i="23"/>
  <c r="B555" i="23"/>
  <c r="M554" i="23"/>
  <c r="E554" i="23"/>
  <c r="B554" i="23"/>
  <c r="E553" i="23"/>
  <c r="E552" i="23"/>
  <c r="E551" i="23"/>
  <c r="E550" i="23"/>
  <c r="E549" i="23"/>
  <c r="E548" i="23"/>
  <c r="E547" i="23"/>
  <c r="E546" i="23"/>
  <c r="E545" i="23"/>
  <c r="E544" i="23"/>
  <c r="E543" i="23"/>
  <c r="E542" i="23"/>
  <c r="E541" i="23"/>
  <c r="E540" i="23"/>
  <c r="E539" i="23"/>
  <c r="E538" i="23"/>
  <c r="E537" i="23"/>
  <c r="E536" i="23"/>
  <c r="E535" i="23"/>
  <c r="E534" i="23"/>
  <c r="E533" i="23"/>
  <c r="B533" i="23"/>
  <c r="M532" i="23"/>
  <c r="E532" i="23"/>
  <c r="B532" i="23"/>
  <c r="E531" i="23"/>
  <c r="E530" i="23"/>
  <c r="E529" i="23"/>
  <c r="E528" i="23"/>
  <c r="B528" i="23"/>
  <c r="M527" i="23"/>
  <c r="E527" i="23"/>
  <c r="B527" i="23"/>
  <c r="E526" i="23"/>
  <c r="E525" i="23"/>
  <c r="E524" i="23"/>
  <c r="E523" i="23"/>
  <c r="E522" i="23"/>
  <c r="B522" i="23"/>
  <c r="M521" i="23"/>
  <c r="E521" i="23"/>
  <c r="B521" i="23"/>
  <c r="E520" i="23"/>
  <c r="E519" i="23"/>
  <c r="E518" i="23"/>
  <c r="E517" i="23"/>
  <c r="E516" i="23"/>
  <c r="E515" i="23"/>
  <c r="E514" i="23"/>
  <c r="E513" i="23"/>
  <c r="E512" i="23"/>
  <c r="E511" i="23"/>
  <c r="E510" i="23"/>
  <c r="B510" i="23"/>
  <c r="M509" i="23"/>
  <c r="E509" i="23"/>
  <c r="B509" i="23"/>
  <c r="E508" i="23"/>
  <c r="E507" i="23"/>
  <c r="E506" i="23"/>
  <c r="E505" i="23"/>
  <c r="E504" i="23"/>
  <c r="E503" i="23"/>
  <c r="E502" i="23"/>
  <c r="E501" i="23"/>
  <c r="E500" i="23"/>
  <c r="E499" i="23"/>
  <c r="E498" i="23"/>
  <c r="E497" i="23"/>
  <c r="E496" i="23"/>
  <c r="E495" i="23"/>
  <c r="E494" i="23"/>
  <c r="E493" i="23"/>
  <c r="E492" i="23"/>
  <c r="E491" i="23"/>
  <c r="E490" i="23"/>
  <c r="B490" i="23"/>
  <c r="M489" i="23"/>
  <c r="E489" i="23"/>
  <c r="B489" i="23"/>
  <c r="E488" i="23"/>
  <c r="E487" i="23"/>
  <c r="E486" i="23"/>
  <c r="E485" i="23"/>
  <c r="E484" i="23"/>
  <c r="E483" i="23"/>
  <c r="E482" i="23"/>
  <c r="E481" i="23"/>
  <c r="B481" i="23"/>
  <c r="M480" i="23"/>
  <c r="E480" i="23"/>
  <c r="B480" i="23"/>
  <c r="E479" i="23"/>
  <c r="E478" i="23"/>
  <c r="E477" i="23"/>
  <c r="E476" i="23"/>
  <c r="E475" i="23"/>
  <c r="E474" i="23"/>
  <c r="E473" i="23"/>
  <c r="E472" i="23"/>
  <c r="B472" i="23"/>
  <c r="M471" i="23"/>
  <c r="E471" i="23"/>
  <c r="B471" i="23"/>
  <c r="E470" i="23"/>
  <c r="E469" i="23"/>
  <c r="B469" i="23"/>
  <c r="M468" i="23"/>
  <c r="E468" i="23"/>
  <c r="B468" i="23"/>
  <c r="E467" i="23"/>
  <c r="E466" i="23"/>
  <c r="E465" i="23"/>
  <c r="E464" i="23"/>
  <c r="E463" i="23"/>
  <c r="E462" i="23"/>
  <c r="B462" i="23"/>
  <c r="M461" i="23"/>
  <c r="E461" i="23"/>
  <c r="B461" i="23"/>
  <c r="E460" i="23"/>
  <c r="E459" i="23"/>
  <c r="E458" i="23"/>
  <c r="E457" i="23"/>
  <c r="E456" i="23"/>
  <c r="E455" i="23"/>
  <c r="E454" i="23"/>
  <c r="E453" i="23"/>
  <c r="E452" i="23"/>
  <c r="E451" i="23"/>
  <c r="E450" i="23"/>
  <c r="E449" i="23"/>
  <c r="E448" i="23"/>
  <c r="E447" i="23"/>
  <c r="E446" i="23"/>
  <c r="E445" i="23"/>
  <c r="E444" i="23"/>
  <c r="E443" i="23"/>
  <c r="E442" i="23"/>
  <c r="E441" i="23"/>
  <c r="E440" i="23"/>
  <c r="E439" i="23"/>
  <c r="E438" i="23"/>
  <c r="E437" i="23"/>
  <c r="E436" i="23"/>
  <c r="E435" i="23"/>
  <c r="E434" i="23"/>
  <c r="E433" i="23"/>
  <c r="E432" i="23"/>
  <c r="E431" i="23"/>
  <c r="E430" i="23"/>
  <c r="E429" i="23"/>
  <c r="E428" i="23"/>
  <c r="E427" i="23"/>
  <c r="E426" i="23"/>
  <c r="E425" i="23"/>
  <c r="E424" i="23"/>
  <c r="E423" i="23"/>
  <c r="E422" i="23"/>
  <c r="E421" i="23"/>
  <c r="E420" i="23"/>
  <c r="E419" i="23"/>
  <c r="E418" i="23"/>
  <c r="E417" i="23"/>
  <c r="E416" i="23"/>
  <c r="E415" i="23"/>
  <c r="E414" i="23"/>
  <c r="E413" i="23"/>
  <c r="B413" i="23"/>
  <c r="M412" i="23"/>
  <c r="E412" i="23"/>
  <c r="B412" i="23"/>
  <c r="E411" i="23"/>
  <c r="E410" i="23"/>
  <c r="E409" i="23"/>
  <c r="E408" i="23"/>
  <c r="B408" i="23"/>
  <c r="M407" i="23"/>
  <c r="E407" i="23"/>
  <c r="B407" i="23"/>
  <c r="E406" i="23"/>
  <c r="E405" i="23"/>
  <c r="E404" i="23"/>
  <c r="E403" i="23"/>
  <c r="B403" i="23"/>
  <c r="M402" i="23"/>
  <c r="E402" i="23"/>
  <c r="B402" i="23"/>
  <c r="E401" i="23"/>
  <c r="E400" i="23"/>
  <c r="E399" i="23"/>
  <c r="E398" i="23"/>
  <c r="E397" i="23"/>
  <c r="E396" i="23"/>
  <c r="E395" i="23"/>
  <c r="E394" i="23"/>
  <c r="E393" i="23"/>
  <c r="E392" i="23"/>
  <c r="E391" i="23"/>
  <c r="E390" i="23"/>
  <c r="E389" i="23"/>
  <c r="E388" i="23"/>
  <c r="E387" i="23"/>
  <c r="E386" i="23"/>
  <c r="E385" i="23"/>
  <c r="E384" i="23"/>
  <c r="E383" i="23"/>
  <c r="E382" i="23"/>
  <c r="E381" i="23"/>
  <c r="E380" i="23"/>
  <c r="E379" i="23"/>
  <c r="E378" i="23"/>
  <c r="E377" i="23"/>
  <c r="E376" i="23"/>
  <c r="E375" i="23"/>
  <c r="E374" i="23"/>
  <c r="E373" i="23"/>
  <c r="E372" i="23"/>
  <c r="E371" i="23"/>
  <c r="E370" i="23"/>
  <c r="E369" i="23"/>
  <c r="E368" i="23"/>
  <c r="E367" i="23"/>
  <c r="E366" i="23"/>
  <c r="E365" i="23"/>
  <c r="E364" i="23"/>
  <c r="E363" i="23"/>
  <c r="E362" i="23"/>
  <c r="E361" i="23"/>
  <c r="E360" i="23"/>
  <c r="E359" i="23"/>
  <c r="E358" i="23"/>
  <c r="E357" i="23"/>
  <c r="E356" i="23"/>
  <c r="E355" i="23"/>
  <c r="E354" i="23"/>
  <c r="E353" i="23"/>
  <c r="E352" i="23"/>
  <c r="E351" i="23"/>
  <c r="E350" i="23"/>
  <c r="E349" i="23"/>
  <c r="E348" i="23"/>
  <c r="E347" i="23"/>
  <c r="E346" i="23"/>
  <c r="B346" i="23"/>
  <c r="M345" i="23"/>
  <c r="E345" i="23"/>
  <c r="B345" i="23"/>
  <c r="E344" i="23"/>
  <c r="E343" i="23"/>
  <c r="E342" i="23"/>
  <c r="E341" i="23"/>
  <c r="E340" i="23"/>
  <c r="E339" i="23"/>
  <c r="E338" i="23"/>
  <c r="B338" i="23"/>
  <c r="M337" i="23"/>
  <c r="E337" i="23"/>
  <c r="B337" i="23"/>
  <c r="E336" i="23"/>
  <c r="E335" i="23"/>
  <c r="B335" i="23"/>
  <c r="M334" i="23"/>
  <c r="E334" i="23"/>
  <c r="B334" i="23"/>
  <c r="E333" i="23"/>
  <c r="E332" i="23"/>
  <c r="E331" i="23"/>
  <c r="E330" i="23"/>
  <c r="B330" i="23"/>
  <c r="M329" i="23"/>
  <c r="E329" i="23"/>
  <c r="B329" i="23"/>
  <c r="E328" i="23"/>
  <c r="E327" i="23"/>
  <c r="E326" i="23"/>
  <c r="E325" i="23"/>
  <c r="E324" i="23"/>
  <c r="E323" i="23"/>
  <c r="E322" i="23"/>
  <c r="B322" i="23"/>
  <c r="M321" i="23"/>
  <c r="E321" i="23"/>
  <c r="B321" i="23"/>
  <c r="E320" i="23"/>
  <c r="E319" i="23"/>
  <c r="E318" i="23"/>
  <c r="E317" i="23"/>
  <c r="E316" i="23"/>
  <c r="E315" i="23"/>
  <c r="E314" i="23"/>
  <c r="E313" i="23"/>
  <c r="E312" i="23"/>
  <c r="E311" i="23"/>
  <c r="E310" i="23"/>
  <c r="E309" i="23"/>
  <c r="E308" i="23"/>
  <c r="E307" i="23"/>
  <c r="E306" i="23"/>
  <c r="E305" i="23"/>
  <c r="E304" i="23"/>
  <c r="E303" i="23"/>
  <c r="E302" i="23"/>
  <c r="E301" i="23"/>
  <c r="E300" i="23"/>
  <c r="E299" i="23"/>
  <c r="E298" i="23"/>
  <c r="E297" i="23"/>
  <c r="E296" i="23"/>
  <c r="E295" i="23"/>
  <c r="E294" i="23"/>
  <c r="E293" i="23"/>
  <c r="E292" i="23"/>
  <c r="B292" i="23"/>
  <c r="M291" i="23"/>
  <c r="E291" i="23"/>
  <c r="B291" i="23"/>
  <c r="E290" i="23"/>
  <c r="E289" i="23"/>
  <c r="E288" i="23"/>
  <c r="E287" i="23"/>
  <c r="E286" i="23"/>
  <c r="B286" i="23"/>
  <c r="E285" i="23"/>
  <c r="B285" i="23"/>
  <c r="E284" i="23"/>
  <c r="B284" i="23"/>
  <c r="E283" i="23"/>
  <c r="E282" i="23"/>
  <c r="B282" i="23"/>
  <c r="M281" i="23"/>
  <c r="E281" i="23"/>
  <c r="B281" i="23"/>
  <c r="E280" i="23"/>
  <c r="E279" i="23"/>
  <c r="E278" i="23"/>
  <c r="E277" i="23"/>
  <c r="E276" i="23"/>
  <c r="E275" i="23"/>
  <c r="E274" i="23"/>
  <c r="E273" i="23"/>
  <c r="E272" i="23"/>
  <c r="E271" i="23"/>
  <c r="E270" i="23"/>
  <c r="E269" i="23"/>
  <c r="E268" i="23"/>
  <c r="E267" i="23"/>
  <c r="E266" i="23"/>
  <c r="E265" i="23"/>
  <c r="E264" i="23"/>
  <c r="E263" i="23"/>
  <c r="E262" i="23"/>
  <c r="E261" i="23"/>
  <c r="E260" i="23"/>
  <c r="E259" i="23"/>
  <c r="E258" i="23"/>
  <c r="E257" i="23"/>
  <c r="E256" i="23"/>
  <c r="E255" i="23"/>
  <c r="E254" i="23"/>
  <c r="E253" i="23"/>
  <c r="E252" i="23"/>
  <c r="E251" i="23"/>
  <c r="E250" i="23"/>
  <c r="E249" i="23"/>
  <c r="E248" i="23"/>
  <c r="E247" i="23"/>
  <c r="E246" i="23"/>
  <c r="E245" i="23"/>
  <c r="E244" i="23"/>
  <c r="E243" i="23"/>
  <c r="E242" i="23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B8" i="23"/>
  <c r="B56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B51" i="22"/>
  <c r="B9" i="22"/>
  <c r="E5" i="22"/>
  <c r="E59" i="21"/>
  <c r="D59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F58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F57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F56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F55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F54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F53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F52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F51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F50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F49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F48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F47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F46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F45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F44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F43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F42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F41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F40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F39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F38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F37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F36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F35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F34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F33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F32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F31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F30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F29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F28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F27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F26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F25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F24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F23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F22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F21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F20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F19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F18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F17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F16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F15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F14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F13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F11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F10" i="21"/>
  <c r="E7" i="21"/>
  <c r="D7" i="21"/>
  <c r="F6" i="21"/>
  <c r="F4" i="21"/>
  <c r="I2" i="21"/>
  <c r="Z535" i="20"/>
  <c r="Q535" i="20"/>
  <c r="J535" i="20"/>
  <c r="H535" i="20"/>
  <c r="E535" i="20"/>
  <c r="Z534" i="20"/>
  <c r="Q534" i="20"/>
  <c r="J534" i="20"/>
  <c r="H534" i="20"/>
  <c r="E534" i="20"/>
  <c r="Z533" i="20"/>
  <c r="Q533" i="20"/>
  <c r="J533" i="20"/>
  <c r="H533" i="20"/>
  <c r="E533" i="20"/>
  <c r="Z532" i="20"/>
  <c r="Q532" i="20"/>
  <c r="J532" i="20"/>
  <c r="H532" i="20"/>
  <c r="E532" i="20"/>
  <c r="Z531" i="20"/>
  <c r="Q531" i="20"/>
  <c r="J531" i="20"/>
  <c r="H531" i="20"/>
  <c r="E531" i="20"/>
  <c r="Z530" i="20"/>
  <c r="Q530" i="20"/>
  <c r="J530" i="20"/>
  <c r="H530" i="20"/>
  <c r="E530" i="20"/>
  <c r="Z529" i="20"/>
  <c r="Q529" i="20"/>
  <c r="J529" i="20"/>
  <c r="H529" i="20"/>
  <c r="E529" i="20"/>
  <c r="Z528" i="20"/>
  <c r="Q528" i="20"/>
  <c r="J528" i="20"/>
  <c r="H528" i="20"/>
  <c r="E528" i="20"/>
  <c r="Z527" i="20"/>
  <c r="Q527" i="20"/>
  <c r="J527" i="20"/>
  <c r="H527" i="20"/>
  <c r="E527" i="20"/>
  <c r="Z526" i="20"/>
  <c r="Q526" i="20"/>
  <c r="J526" i="20"/>
  <c r="H526" i="20"/>
  <c r="E526" i="20"/>
  <c r="Z525" i="20"/>
  <c r="Q525" i="20"/>
  <c r="J525" i="20"/>
  <c r="H525" i="20"/>
  <c r="E525" i="20"/>
  <c r="Z524" i="20"/>
  <c r="Q524" i="20"/>
  <c r="J524" i="20"/>
  <c r="H524" i="20"/>
  <c r="E524" i="20"/>
  <c r="Z523" i="20"/>
  <c r="Q523" i="20"/>
  <c r="J523" i="20"/>
  <c r="H523" i="20"/>
  <c r="E523" i="20"/>
  <c r="Z522" i="20"/>
  <c r="Q522" i="20"/>
  <c r="J522" i="20"/>
  <c r="H522" i="20"/>
  <c r="E522" i="20"/>
  <c r="Z521" i="20"/>
  <c r="Q521" i="20"/>
  <c r="J521" i="20"/>
  <c r="H521" i="20"/>
  <c r="E521" i="20"/>
  <c r="Z520" i="20"/>
  <c r="Q520" i="20"/>
  <c r="J520" i="20"/>
  <c r="H520" i="20"/>
  <c r="E520" i="20"/>
  <c r="Z519" i="20"/>
  <c r="Q519" i="20"/>
  <c r="J519" i="20"/>
  <c r="H519" i="20"/>
  <c r="E519" i="20"/>
  <c r="Z518" i="20"/>
  <c r="Q518" i="20"/>
  <c r="J518" i="20"/>
  <c r="H518" i="20"/>
  <c r="E518" i="20"/>
  <c r="Z517" i="20"/>
  <c r="Q517" i="20"/>
  <c r="J517" i="20"/>
  <c r="H517" i="20"/>
  <c r="E517" i="20"/>
  <c r="Z516" i="20"/>
  <c r="Q516" i="20"/>
  <c r="J516" i="20"/>
  <c r="H516" i="20"/>
  <c r="E516" i="20"/>
  <c r="Z515" i="20"/>
  <c r="Q515" i="20"/>
  <c r="J515" i="20"/>
  <c r="H515" i="20"/>
  <c r="E515" i="20"/>
  <c r="Z514" i="20"/>
  <c r="Q514" i="20"/>
  <c r="J514" i="20"/>
  <c r="H514" i="20"/>
  <c r="E514" i="20"/>
  <c r="Z513" i="20"/>
  <c r="Q513" i="20"/>
  <c r="J513" i="20"/>
  <c r="H513" i="20"/>
  <c r="E513" i="20"/>
  <c r="Z512" i="20"/>
  <c r="Q512" i="20"/>
  <c r="J512" i="20"/>
  <c r="H512" i="20"/>
  <c r="E512" i="20"/>
  <c r="Z511" i="20"/>
  <c r="Q511" i="20"/>
  <c r="J511" i="20"/>
  <c r="H511" i="20"/>
  <c r="E511" i="20"/>
  <c r="Z510" i="20"/>
  <c r="Q510" i="20"/>
  <c r="J510" i="20"/>
  <c r="H510" i="20"/>
  <c r="E510" i="20"/>
  <c r="Z509" i="20"/>
  <c r="Q509" i="20"/>
  <c r="J509" i="20"/>
  <c r="H509" i="20"/>
  <c r="E509" i="20"/>
  <c r="Z508" i="20"/>
  <c r="Q508" i="20"/>
  <c r="J508" i="20"/>
  <c r="H508" i="20"/>
  <c r="E508" i="20"/>
  <c r="Z507" i="20"/>
  <c r="Q507" i="20"/>
  <c r="J507" i="20"/>
  <c r="H507" i="20"/>
  <c r="E507" i="20"/>
  <c r="Z506" i="20"/>
  <c r="Q506" i="20"/>
  <c r="J506" i="20"/>
  <c r="H506" i="20"/>
  <c r="E506" i="20"/>
  <c r="Z505" i="20"/>
  <c r="Q505" i="20"/>
  <c r="J505" i="20"/>
  <c r="H505" i="20"/>
  <c r="E505" i="20"/>
  <c r="Z504" i="20"/>
  <c r="Q504" i="20"/>
  <c r="J504" i="20"/>
  <c r="H504" i="20"/>
  <c r="E504" i="20"/>
  <c r="Z503" i="20"/>
  <c r="Q503" i="20"/>
  <c r="J503" i="20"/>
  <c r="H503" i="20"/>
  <c r="E503" i="20"/>
  <c r="Z502" i="20"/>
  <c r="Z501" i="20"/>
  <c r="Q501" i="20"/>
  <c r="J501" i="20"/>
  <c r="H501" i="20"/>
  <c r="E501" i="20"/>
  <c r="Z500" i="20"/>
  <c r="Q500" i="20"/>
  <c r="J500" i="20"/>
  <c r="H500" i="20"/>
  <c r="E500" i="20"/>
  <c r="Z499" i="20"/>
  <c r="Q499" i="20"/>
  <c r="J499" i="20"/>
  <c r="H499" i="20"/>
  <c r="E499" i="20"/>
  <c r="Z498" i="20"/>
  <c r="Q498" i="20"/>
  <c r="J498" i="20"/>
  <c r="H498" i="20"/>
  <c r="E498" i="20"/>
  <c r="Z497" i="20"/>
  <c r="Q497" i="20"/>
  <c r="J497" i="20"/>
  <c r="H497" i="20"/>
  <c r="E497" i="20"/>
  <c r="Z496" i="20"/>
  <c r="Q496" i="20"/>
  <c r="J496" i="20"/>
  <c r="H496" i="20"/>
  <c r="E496" i="20"/>
  <c r="Z495" i="20"/>
  <c r="Q495" i="20"/>
  <c r="J495" i="20"/>
  <c r="H495" i="20"/>
  <c r="E495" i="20"/>
  <c r="Z494" i="20"/>
  <c r="Q494" i="20"/>
  <c r="J494" i="20"/>
  <c r="H494" i="20"/>
  <c r="E494" i="20"/>
  <c r="Z493" i="20"/>
  <c r="Q493" i="20"/>
  <c r="J493" i="20"/>
  <c r="H493" i="20"/>
  <c r="E493" i="20"/>
  <c r="Z492" i="20"/>
  <c r="Q492" i="20"/>
  <c r="J492" i="20"/>
  <c r="H492" i="20"/>
  <c r="E492" i="20"/>
  <c r="Z491" i="20"/>
  <c r="Q491" i="20"/>
  <c r="J491" i="20"/>
  <c r="H491" i="20"/>
  <c r="E491" i="20"/>
  <c r="Z490" i="20"/>
  <c r="Q490" i="20"/>
  <c r="J490" i="20"/>
  <c r="H490" i="20"/>
  <c r="E490" i="20"/>
  <c r="Z489" i="20"/>
  <c r="Q489" i="20"/>
  <c r="J489" i="20"/>
  <c r="H489" i="20"/>
  <c r="E489" i="20"/>
  <c r="Z488" i="20"/>
  <c r="Q488" i="20"/>
  <c r="J488" i="20"/>
  <c r="H488" i="20"/>
  <c r="E488" i="20"/>
  <c r="Z487" i="20"/>
  <c r="Q487" i="20"/>
  <c r="J487" i="20"/>
  <c r="H487" i="20"/>
  <c r="E487" i="20"/>
  <c r="Z486" i="20"/>
  <c r="Q486" i="20"/>
  <c r="J486" i="20"/>
  <c r="H486" i="20"/>
  <c r="E486" i="20"/>
  <c r="Z485" i="20"/>
  <c r="Q485" i="20"/>
  <c r="J485" i="20"/>
  <c r="H485" i="20"/>
  <c r="E485" i="20"/>
  <c r="Z484" i="20"/>
  <c r="Q484" i="20"/>
  <c r="J484" i="20"/>
  <c r="H484" i="20"/>
  <c r="E484" i="20"/>
  <c r="Z483" i="20"/>
  <c r="Q483" i="20"/>
  <c r="J483" i="20"/>
  <c r="H483" i="20"/>
  <c r="E483" i="20"/>
  <c r="Z482" i="20"/>
  <c r="Q482" i="20"/>
  <c r="J482" i="20"/>
  <c r="H482" i="20"/>
  <c r="E482" i="20"/>
  <c r="Z481" i="20"/>
  <c r="Q481" i="20"/>
  <c r="J481" i="20"/>
  <c r="H481" i="20"/>
  <c r="E481" i="20"/>
  <c r="Z480" i="20"/>
  <c r="Q480" i="20"/>
  <c r="J480" i="20"/>
  <c r="H480" i="20"/>
  <c r="E480" i="20"/>
  <c r="Z479" i="20"/>
  <c r="Q479" i="20"/>
  <c r="J479" i="20"/>
  <c r="H479" i="20"/>
  <c r="E479" i="20"/>
  <c r="Z478" i="20"/>
  <c r="Q478" i="20"/>
  <c r="J478" i="20"/>
  <c r="H478" i="20"/>
  <c r="E478" i="20"/>
  <c r="Z477" i="20"/>
  <c r="Q477" i="20"/>
  <c r="J477" i="20"/>
  <c r="H477" i="20"/>
  <c r="E477" i="20"/>
  <c r="Z476" i="20"/>
  <c r="Q476" i="20"/>
  <c r="J476" i="20"/>
  <c r="H476" i="20"/>
  <c r="E476" i="20"/>
  <c r="Z475" i="20"/>
  <c r="Q475" i="20"/>
  <c r="J475" i="20"/>
  <c r="H475" i="20"/>
  <c r="E475" i="20"/>
  <c r="Z474" i="20"/>
  <c r="Q474" i="20"/>
  <c r="J474" i="20"/>
  <c r="H474" i="20"/>
  <c r="E474" i="20"/>
  <c r="Z473" i="20"/>
  <c r="Q473" i="20"/>
  <c r="J473" i="20"/>
  <c r="H473" i="20"/>
  <c r="E473" i="20"/>
  <c r="Z472" i="20"/>
  <c r="Q472" i="20"/>
  <c r="J472" i="20"/>
  <c r="H472" i="20"/>
  <c r="E472" i="20"/>
  <c r="Z471" i="20"/>
  <c r="Q471" i="20"/>
  <c r="J471" i="20"/>
  <c r="H471" i="20"/>
  <c r="E471" i="20"/>
  <c r="Z470" i="20"/>
  <c r="Q470" i="20"/>
  <c r="J470" i="20"/>
  <c r="H470" i="20"/>
  <c r="E470" i="20"/>
  <c r="Z469" i="20"/>
  <c r="Q469" i="20"/>
  <c r="J469" i="20"/>
  <c r="H469" i="20"/>
  <c r="E469" i="20"/>
  <c r="Z468" i="20"/>
  <c r="Q468" i="20"/>
  <c r="J468" i="20"/>
  <c r="H468" i="20"/>
  <c r="E468" i="20"/>
  <c r="Z467" i="20"/>
  <c r="Q467" i="20"/>
  <c r="J467" i="20"/>
  <c r="H467" i="20"/>
  <c r="E467" i="20"/>
  <c r="Z466" i="20"/>
  <c r="Q466" i="20"/>
  <c r="J466" i="20"/>
  <c r="H466" i="20"/>
  <c r="E466" i="20"/>
  <c r="Z465" i="20"/>
  <c r="Q465" i="20"/>
  <c r="J465" i="20"/>
  <c r="H465" i="20"/>
  <c r="E465" i="20"/>
  <c r="Z464" i="20"/>
  <c r="Q464" i="20"/>
  <c r="J464" i="20"/>
  <c r="H464" i="20"/>
  <c r="E464" i="20"/>
  <c r="Z463" i="20"/>
  <c r="Q463" i="20"/>
  <c r="J463" i="20"/>
  <c r="H463" i="20"/>
  <c r="E463" i="20"/>
  <c r="Z462" i="20"/>
  <c r="Q462" i="20"/>
  <c r="J462" i="20"/>
  <c r="H462" i="20"/>
  <c r="E462" i="20"/>
  <c r="Z461" i="20"/>
  <c r="Q461" i="20"/>
  <c r="J461" i="20"/>
  <c r="H461" i="20"/>
  <c r="E461" i="20"/>
  <c r="Z460" i="20"/>
  <c r="Q460" i="20"/>
  <c r="J460" i="20"/>
  <c r="H460" i="20"/>
  <c r="E460" i="20"/>
  <c r="Z459" i="20"/>
  <c r="Q459" i="20"/>
  <c r="J459" i="20"/>
  <c r="H459" i="20"/>
  <c r="E459" i="20"/>
  <c r="Z458" i="20"/>
  <c r="Q458" i="20"/>
  <c r="J458" i="20"/>
  <c r="H458" i="20"/>
  <c r="E458" i="20"/>
  <c r="Z457" i="20"/>
  <c r="Q457" i="20"/>
  <c r="J457" i="20"/>
  <c r="H457" i="20"/>
  <c r="E457" i="20"/>
  <c r="Z456" i="20"/>
  <c r="Q456" i="20"/>
  <c r="J456" i="20"/>
  <c r="H456" i="20"/>
  <c r="E456" i="20"/>
  <c r="Z455" i="20"/>
  <c r="Q455" i="20"/>
  <c r="J455" i="20"/>
  <c r="H455" i="20"/>
  <c r="E455" i="20"/>
  <c r="Z454" i="20"/>
  <c r="Q454" i="20"/>
  <c r="J454" i="20"/>
  <c r="H454" i="20"/>
  <c r="E454" i="20"/>
  <c r="Z453" i="20"/>
  <c r="Q453" i="20"/>
  <c r="J453" i="20"/>
  <c r="H453" i="20"/>
  <c r="E453" i="20"/>
  <c r="Z452" i="20"/>
  <c r="Q452" i="20"/>
  <c r="J452" i="20"/>
  <c r="H452" i="20"/>
  <c r="E452" i="20"/>
  <c r="Z451" i="20"/>
  <c r="Q451" i="20"/>
  <c r="J451" i="20"/>
  <c r="H451" i="20"/>
  <c r="E451" i="20"/>
  <c r="Z450" i="20"/>
  <c r="Q450" i="20"/>
  <c r="J450" i="20"/>
  <c r="H450" i="20"/>
  <c r="E450" i="20"/>
  <c r="Z449" i="20"/>
  <c r="Q449" i="20"/>
  <c r="J449" i="20"/>
  <c r="H449" i="20"/>
  <c r="E449" i="20"/>
  <c r="Z448" i="20"/>
  <c r="Q448" i="20"/>
  <c r="J448" i="20"/>
  <c r="H448" i="20"/>
  <c r="E448" i="20"/>
  <c r="Z447" i="20"/>
  <c r="Q447" i="20"/>
  <c r="J447" i="20"/>
  <c r="H447" i="20"/>
  <c r="E447" i="20"/>
  <c r="Z446" i="20"/>
  <c r="Q446" i="20"/>
  <c r="J446" i="20"/>
  <c r="H446" i="20"/>
  <c r="E446" i="20"/>
  <c r="Z445" i="20"/>
  <c r="Q445" i="20"/>
  <c r="J445" i="20"/>
  <c r="H445" i="20"/>
  <c r="E445" i="20"/>
  <c r="Z444" i="20"/>
  <c r="Q444" i="20"/>
  <c r="J444" i="20"/>
  <c r="H444" i="20"/>
  <c r="E444" i="20"/>
  <c r="Z443" i="20"/>
  <c r="Q443" i="20"/>
  <c r="J443" i="20"/>
  <c r="H443" i="20"/>
  <c r="E443" i="20"/>
  <c r="Z442" i="20"/>
  <c r="Q442" i="20"/>
  <c r="J442" i="20"/>
  <c r="H442" i="20"/>
  <c r="E442" i="20"/>
  <c r="Z441" i="20"/>
  <c r="Q441" i="20"/>
  <c r="J441" i="20"/>
  <c r="H441" i="20"/>
  <c r="E441" i="20"/>
  <c r="Z440" i="20"/>
  <c r="Q440" i="20"/>
  <c r="J440" i="20"/>
  <c r="H440" i="20"/>
  <c r="E440" i="20"/>
  <c r="Z439" i="20"/>
  <c r="Q439" i="20"/>
  <c r="J439" i="20"/>
  <c r="H439" i="20"/>
  <c r="E439" i="20"/>
  <c r="Z438" i="20"/>
  <c r="Q438" i="20"/>
  <c r="J438" i="20"/>
  <c r="H438" i="20"/>
  <c r="E438" i="20"/>
  <c r="Z437" i="20"/>
  <c r="Q437" i="20"/>
  <c r="J437" i="20"/>
  <c r="H437" i="20"/>
  <c r="E437" i="20"/>
  <c r="Z436" i="20"/>
  <c r="Q436" i="20"/>
  <c r="J436" i="20"/>
  <c r="H436" i="20"/>
  <c r="E436" i="20"/>
  <c r="Z435" i="20"/>
  <c r="Q435" i="20"/>
  <c r="J435" i="20"/>
  <c r="H435" i="20"/>
  <c r="E435" i="20"/>
  <c r="Z434" i="20"/>
  <c r="Q434" i="20"/>
  <c r="J434" i="20"/>
  <c r="H434" i="20"/>
  <c r="E434" i="20"/>
  <c r="Z433" i="20"/>
  <c r="Q433" i="20"/>
  <c r="J433" i="20"/>
  <c r="H433" i="20"/>
  <c r="E433" i="20"/>
  <c r="Z432" i="20"/>
  <c r="Q432" i="20"/>
  <c r="J432" i="20"/>
  <c r="H432" i="20"/>
  <c r="E432" i="20"/>
  <c r="Z431" i="20"/>
  <c r="Q431" i="20"/>
  <c r="J431" i="20"/>
  <c r="H431" i="20"/>
  <c r="E431" i="20"/>
  <c r="Z430" i="20"/>
  <c r="Q430" i="20"/>
  <c r="J430" i="20"/>
  <c r="H430" i="20"/>
  <c r="E430" i="20"/>
  <c r="Z429" i="20"/>
  <c r="Q429" i="20"/>
  <c r="J429" i="20"/>
  <c r="H429" i="20"/>
  <c r="E429" i="20"/>
  <c r="Z428" i="20"/>
  <c r="Q428" i="20"/>
  <c r="J428" i="20"/>
  <c r="H428" i="20"/>
  <c r="E428" i="20"/>
  <c r="Z427" i="20"/>
  <c r="Q427" i="20"/>
  <c r="J427" i="20"/>
  <c r="H427" i="20"/>
  <c r="E427" i="20"/>
  <c r="Z426" i="20"/>
  <c r="Q426" i="20"/>
  <c r="J426" i="20"/>
  <c r="H426" i="20"/>
  <c r="E426" i="20"/>
  <c r="Z425" i="20"/>
  <c r="Q425" i="20"/>
  <c r="J425" i="20"/>
  <c r="H425" i="20"/>
  <c r="E425" i="20"/>
  <c r="Z424" i="20"/>
  <c r="Q424" i="20"/>
  <c r="J424" i="20"/>
  <c r="H424" i="20"/>
  <c r="E424" i="20"/>
  <c r="Z423" i="20"/>
  <c r="Q423" i="20"/>
  <c r="J423" i="20"/>
  <c r="H423" i="20"/>
  <c r="E423" i="20"/>
  <c r="Z422" i="20"/>
  <c r="Q422" i="20"/>
  <c r="J422" i="20"/>
  <c r="H422" i="20"/>
  <c r="E422" i="20"/>
  <c r="Z421" i="20"/>
  <c r="Q421" i="20"/>
  <c r="J421" i="20"/>
  <c r="H421" i="20"/>
  <c r="E421" i="20"/>
  <c r="Z420" i="20"/>
  <c r="Q420" i="20"/>
  <c r="J420" i="20"/>
  <c r="H420" i="20"/>
  <c r="E420" i="20"/>
  <c r="Z419" i="20"/>
  <c r="Q419" i="20"/>
  <c r="J419" i="20"/>
  <c r="H419" i="20"/>
  <c r="E419" i="20"/>
  <c r="Z418" i="20"/>
  <c r="Q418" i="20"/>
  <c r="J418" i="20"/>
  <c r="H418" i="20"/>
  <c r="E418" i="20"/>
  <c r="Z417" i="20"/>
  <c r="Q417" i="20"/>
  <c r="J417" i="20"/>
  <c r="H417" i="20"/>
  <c r="E417" i="20"/>
  <c r="Z416" i="20"/>
  <c r="Q416" i="20"/>
  <c r="J416" i="20"/>
  <c r="H416" i="20"/>
  <c r="E416" i="20"/>
  <c r="Z415" i="20"/>
  <c r="Q415" i="20"/>
  <c r="J415" i="20"/>
  <c r="H415" i="20"/>
  <c r="E415" i="20"/>
  <c r="Z414" i="20"/>
  <c r="Q414" i="20"/>
  <c r="J414" i="20"/>
  <c r="H414" i="20"/>
  <c r="E414" i="20"/>
  <c r="Z413" i="20"/>
  <c r="Q413" i="20"/>
  <c r="J413" i="20"/>
  <c r="H413" i="20"/>
  <c r="E413" i="20"/>
  <c r="Z412" i="20"/>
  <c r="Q412" i="20"/>
  <c r="J412" i="20"/>
  <c r="H412" i="20"/>
  <c r="E412" i="20"/>
  <c r="Z411" i="20"/>
  <c r="Q411" i="20"/>
  <c r="J411" i="20"/>
  <c r="H411" i="20"/>
  <c r="E411" i="20"/>
  <c r="Z410" i="20"/>
  <c r="Q410" i="20"/>
  <c r="J410" i="20"/>
  <c r="H410" i="20"/>
  <c r="E410" i="20"/>
  <c r="Z409" i="20"/>
  <c r="Q409" i="20"/>
  <c r="J409" i="20"/>
  <c r="H409" i="20"/>
  <c r="E409" i="20"/>
  <c r="Z408" i="20"/>
  <c r="Q408" i="20"/>
  <c r="J408" i="20"/>
  <c r="H408" i="20"/>
  <c r="E408" i="20"/>
  <c r="Z407" i="20"/>
  <c r="Q407" i="20"/>
  <c r="J407" i="20"/>
  <c r="H407" i="20"/>
  <c r="E407" i="20"/>
  <c r="Z406" i="20"/>
  <c r="Q406" i="20"/>
  <c r="J406" i="20"/>
  <c r="H406" i="20"/>
  <c r="E406" i="20"/>
  <c r="Z405" i="20"/>
  <c r="Q405" i="20"/>
  <c r="J405" i="20"/>
  <c r="H405" i="20"/>
  <c r="E405" i="20"/>
  <c r="Z404" i="20"/>
  <c r="Q404" i="20"/>
  <c r="J404" i="20"/>
  <c r="H404" i="20"/>
  <c r="E404" i="20"/>
  <c r="Z403" i="20"/>
  <c r="Q403" i="20"/>
  <c r="J403" i="20"/>
  <c r="H403" i="20"/>
  <c r="E403" i="20"/>
  <c r="Z402" i="20"/>
  <c r="Q402" i="20"/>
  <c r="J402" i="20"/>
  <c r="H402" i="20"/>
  <c r="E402" i="20"/>
  <c r="Z401" i="20"/>
  <c r="Q401" i="20"/>
  <c r="J401" i="20"/>
  <c r="H401" i="20"/>
  <c r="E401" i="20"/>
  <c r="Z400" i="20"/>
  <c r="Q400" i="20"/>
  <c r="J400" i="20"/>
  <c r="H400" i="20"/>
  <c r="E400" i="20"/>
  <c r="Z399" i="20"/>
  <c r="Q399" i="20"/>
  <c r="J399" i="20"/>
  <c r="H399" i="20"/>
  <c r="E399" i="20"/>
  <c r="Z398" i="20"/>
  <c r="Q398" i="20"/>
  <c r="J398" i="20"/>
  <c r="H398" i="20"/>
  <c r="E398" i="20"/>
  <c r="Z397" i="20"/>
  <c r="Q397" i="20"/>
  <c r="J397" i="20"/>
  <c r="H397" i="20"/>
  <c r="E397" i="20"/>
  <c r="Z396" i="20"/>
  <c r="Q396" i="20"/>
  <c r="J396" i="20"/>
  <c r="H396" i="20"/>
  <c r="E396" i="20"/>
  <c r="Z395" i="20"/>
  <c r="Q395" i="20"/>
  <c r="J395" i="20"/>
  <c r="H395" i="20"/>
  <c r="E395" i="20"/>
  <c r="Z394" i="20"/>
  <c r="Q394" i="20"/>
  <c r="J394" i="20"/>
  <c r="H394" i="20"/>
  <c r="E394" i="20"/>
  <c r="Z393" i="20"/>
  <c r="Q393" i="20"/>
  <c r="J393" i="20"/>
  <c r="H393" i="20"/>
  <c r="E393" i="20"/>
  <c r="Z392" i="20"/>
  <c r="Q392" i="20"/>
  <c r="J392" i="20"/>
  <c r="H392" i="20"/>
  <c r="E392" i="20"/>
  <c r="Z391" i="20"/>
  <c r="Q391" i="20"/>
  <c r="J391" i="20"/>
  <c r="H391" i="20"/>
  <c r="E391" i="20"/>
  <c r="Z390" i="20"/>
  <c r="Q390" i="20"/>
  <c r="J390" i="20"/>
  <c r="H390" i="20"/>
  <c r="E390" i="20"/>
  <c r="Z389" i="20"/>
  <c r="Q389" i="20"/>
  <c r="J389" i="20"/>
  <c r="H389" i="20"/>
  <c r="E389" i="20"/>
  <c r="Z388" i="20"/>
  <c r="Q388" i="20"/>
  <c r="J388" i="20"/>
  <c r="H388" i="20"/>
  <c r="E388" i="20"/>
  <c r="Z387" i="20"/>
  <c r="Q387" i="20"/>
  <c r="J387" i="20"/>
  <c r="H387" i="20"/>
  <c r="E387" i="20"/>
  <c r="Z386" i="20"/>
  <c r="Q386" i="20"/>
  <c r="J386" i="20"/>
  <c r="H386" i="20"/>
  <c r="E386" i="20"/>
  <c r="Z385" i="20"/>
  <c r="Q385" i="20"/>
  <c r="J385" i="20"/>
  <c r="H385" i="20"/>
  <c r="E385" i="20"/>
  <c r="Z384" i="20"/>
  <c r="Q384" i="20"/>
  <c r="J384" i="20"/>
  <c r="H384" i="20"/>
  <c r="E384" i="20"/>
  <c r="Z383" i="20"/>
  <c r="Q383" i="20"/>
  <c r="J383" i="20"/>
  <c r="H383" i="20"/>
  <c r="E383" i="20"/>
  <c r="Z382" i="20"/>
  <c r="Q382" i="20"/>
  <c r="J382" i="20"/>
  <c r="H382" i="20"/>
  <c r="E382" i="20"/>
  <c r="Z381" i="20"/>
  <c r="Q381" i="20"/>
  <c r="J381" i="20"/>
  <c r="H381" i="20"/>
  <c r="E381" i="20"/>
  <c r="Z380" i="20"/>
  <c r="Q380" i="20"/>
  <c r="J380" i="20"/>
  <c r="H380" i="20"/>
  <c r="E380" i="20"/>
  <c r="Z379" i="20"/>
  <c r="Q379" i="20"/>
  <c r="J379" i="20"/>
  <c r="H379" i="20"/>
  <c r="E379" i="20"/>
  <c r="Z378" i="20"/>
  <c r="Q378" i="20"/>
  <c r="J378" i="20"/>
  <c r="H378" i="20"/>
  <c r="E378" i="20"/>
  <c r="Z377" i="20"/>
  <c r="Q377" i="20"/>
  <c r="J377" i="20"/>
  <c r="H377" i="20"/>
  <c r="E377" i="20"/>
  <c r="Z376" i="20"/>
  <c r="Q376" i="20"/>
  <c r="J376" i="20"/>
  <c r="H376" i="20"/>
  <c r="E376" i="20"/>
  <c r="Z375" i="20"/>
  <c r="Q375" i="20"/>
  <c r="J375" i="20"/>
  <c r="H375" i="20"/>
  <c r="E375" i="20"/>
  <c r="Z374" i="20"/>
  <c r="Q374" i="20"/>
  <c r="J374" i="20"/>
  <c r="H374" i="20"/>
  <c r="E374" i="20"/>
  <c r="Z373" i="20"/>
  <c r="Q373" i="20"/>
  <c r="J373" i="20"/>
  <c r="H373" i="20"/>
  <c r="E373" i="20"/>
  <c r="Z372" i="20"/>
  <c r="Q372" i="20"/>
  <c r="J372" i="20"/>
  <c r="H372" i="20"/>
  <c r="E372" i="20"/>
  <c r="Z371" i="20"/>
  <c r="Q371" i="20"/>
  <c r="J371" i="20"/>
  <c r="H371" i="20"/>
  <c r="E371" i="20"/>
  <c r="Z370" i="20"/>
  <c r="Q370" i="20"/>
  <c r="J370" i="20"/>
  <c r="H370" i="20"/>
  <c r="E370" i="20"/>
  <c r="Z369" i="20"/>
  <c r="Q369" i="20"/>
  <c r="J369" i="20"/>
  <c r="H369" i="20"/>
  <c r="E369" i="20"/>
  <c r="Z368" i="20"/>
  <c r="Q368" i="20"/>
  <c r="J368" i="20"/>
  <c r="H368" i="20"/>
  <c r="E368" i="20"/>
  <c r="Z367" i="20"/>
  <c r="Q367" i="20"/>
  <c r="J367" i="20"/>
  <c r="H367" i="20"/>
  <c r="E367" i="20"/>
  <c r="Z366" i="20"/>
  <c r="Q366" i="20"/>
  <c r="J366" i="20"/>
  <c r="H366" i="20"/>
  <c r="E366" i="20"/>
  <c r="Z365" i="20"/>
  <c r="Q365" i="20"/>
  <c r="J365" i="20"/>
  <c r="H365" i="20"/>
  <c r="E365" i="20"/>
  <c r="Z364" i="20"/>
  <c r="Q364" i="20"/>
  <c r="J364" i="20"/>
  <c r="H364" i="20"/>
  <c r="E364" i="20"/>
  <c r="Z363" i="20"/>
  <c r="Q363" i="20"/>
  <c r="J363" i="20"/>
  <c r="H363" i="20"/>
  <c r="E363" i="20"/>
  <c r="Z362" i="20"/>
  <c r="Q362" i="20"/>
  <c r="J362" i="20"/>
  <c r="H362" i="20"/>
  <c r="E362" i="20"/>
  <c r="Z361" i="20"/>
  <c r="Q361" i="20"/>
  <c r="J361" i="20"/>
  <c r="H361" i="20"/>
  <c r="E361" i="20"/>
  <c r="Z360" i="20"/>
  <c r="Q360" i="20"/>
  <c r="J360" i="20"/>
  <c r="H360" i="20"/>
  <c r="E360" i="20"/>
  <c r="Z359" i="20"/>
  <c r="Q359" i="20"/>
  <c r="J359" i="20"/>
  <c r="H359" i="20"/>
  <c r="E359" i="20"/>
  <c r="Z358" i="20"/>
  <c r="Q358" i="20"/>
  <c r="J358" i="20"/>
  <c r="H358" i="20"/>
  <c r="E358" i="20"/>
  <c r="Z357" i="20"/>
  <c r="Q357" i="20"/>
  <c r="J357" i="20"/>
  <c r="H357" i="20"/>
  <c r="E357" i="20"/>
  <c r="Z356" i="20"/>
  <c r="Q356" i="20"/>
  <c r="J356" i="20"/>
  <c r="H356" i="20"/>
  <c r="E356" i="20"/>
  <c r="Z355" i="20"/>
  <c r="Q355" i="20"/>
  <c r="J355" i="20"/>
  <c r="H355" i="20"/>
  <c r="E355" i="20"/>
  <c r="Z354" i="20"/>
  <c r="Q354" i="20"/>
  <c r="J354" i="20"/>
  <c r="H354" i="20"/>
  <c r="E354" i="20"/>
  <c r="Z353" i="20"/>
  <c r="Z352" i="20"/>
  <c r="Q352" i="20"/>
  <c r="N352" i="20"/>
  <c r="J352" i="20"/>
  <c r="H352" i="20"/>
  <c r="E352" i="20"/>
  <c r="Z351" i="20"/>
  <c r="Q351" i="20"/>
  <c r="N351" i="20"/>
  <c r="J351" i="20"/>
  <c r="H351" i="20"/>
  <c r="E351" i="20"/>
  <c r="Z350" i="20"/>
  <c r="Q350" i="20"/>
  <c r="N350" i="20"/>
  <c r="J350" i="20"/>
  <c r="H350" i="20"/>
  <c r="E350" i="20"/>
  <c r="Z349" i="20"/>
  <c r="Q349" i="20"/>
  <c r="N349" i="20"/>
  <c r="J349" i="20"/>
  <c r="H349" i="20"/>
  <c r="E349" i="20"/>
  <c r="Z348" i="20"/>
  <c r="Q348" i="20"/>
  <c r="N348" i="20"/>
  <c r="J348" i="20"/>
  <c r="H348" i="20"/>
  <c r="E348" i="20"/>
  <c r="Z347" i="20"/>
  <c r="Q347" i="20"/>
  <c r="N347" i="20"/>
  <c r="J347" i="20"/>
  <c r="H347" i="20"/>
  <c r="E347" i="20"/>
  <c r="Z346" i="20"/>
  <c r="Q346" i="20"/>
  <c r="N346" i="20"/>
  <c r="J346" i="20"/>
  <c r="H346" i="20"/>
  <c r="E346" i="20"/>
  <c r="Z345" i="20"/>
  <c r="Q345" i="20"/>
  <c r="N345" i="20"/>
  <c r="J345" i="20"/>
  <c r="H345" i="20"/>
  <c r="E345" i="20"/>
  <c r="Z344" i="20"/>
  <c r="Q344" i="20"/>
  <c r="N344" i="20"/>
  <c r="J344" i="20"/>
  <c r="H344" i="20"/>
  <c r="E344" i="20"/>
  <c r="Z343" i="20"/>
  <c r="Q343" i="20"/>
  <c r="N343" i="20"/>
  <c r="J343" i="20"/>
  <c r="H343" i="20"/>
  <c r="E343" i="20"/>
  <c r="Z342" i="20"/>
  <c r="Q342" i="20"/>
  <c r="N342" i="20"/>
  <c r="J342" i="20"/>
  <c r="H342" i="20"/>
  <c r="E342" i="20"/>
  <c r="Z341" i="20"/>
  <c r="Q341" i="20"/>
  <c r="N341" i="20"/>
  <c r="J341" i="20"/>
  <c r="H341" i="20"/>
  <c r="E341" i="20"/>
  <c r="Z340" i="20"/>
  <c r="Q340" i="20"/>
  <c r="N340" i="20"/>
  <c r="J340" i="20"/>
  <c r="H340" i="20"/>
  <c r="E340" i="20"/>
  <c r="Z339" i="20"/>
  <c r="Q339" i="20"/>
  <c r="N339" i="20"/>
  <c r="J339" i="20"/>
  <c r="H339" i="20"/>
  <c r="E339" i="20"/>
  <c r="Z338" i="20"/>
  <c r="Q338" i="20"/>
  <c r="N338" i="20"/>
  <c r="J338" i="20"/>
  <c r="H338" i="20"/>
  <c r="E338" i="20"/>
  <c r="Z337" i="20"/>
  <c r="Q337" i="20"/>
  <c r="N337" i="20"/>
  <c r="J337" i="20"/>
  <c r="H337" i="20"/>
  <c r="E337" i="20"/>
  <c r="Z336" i="20"/>
  <c r="Q336" i="20"/>
  <c r="N336" i="20"/>
  <c r="J336" i="20"/>
  <c r="H336" i="20"/>
  <c r="E336" i="20"/>
  <c r="Z335" i="20"/>
  <c r="Q335" i="20"/>
  <c r="N335" i="20"/>
  <c r="J335" i="20"/>
  <c r="H335" i="20"/>
  <c r="E335" i="20"/>
  <c r="Z334" i="20"/>
  <c r="Q334" i="20"/>
  <c r="N334" i="20"/>
  <c r="J334" i="20"/>
  <c r="H334" i="20"/>
  <c r="E334" i="20"/>
  <c r="Z333" i="20"/>
  <c r="Q333" i="20"/>
  <c r="N333" i="20"/>
  <c r="J333" i="20"/>
  <c r="H333" i="20"/>
  <c r="E333" i="20"/>
  <c r="Z332" i="20"/>
  <c r="Q332" i="20"/>
  <c r="N332" i="20"/>
  <c r="J332" i="20"/>
  <c r="H332" i="20"/>
  <c r="E332" i="20"/>
  <c r="Z331" i="20"/>
  <c r="Q331" i="20"/>
  <c r="N331" i="20"/>
  <c r="J331" i="20"/>
  <c r="H331" i="20"/>
  <c r="E331" i="20"/>
  <c r="Z330" i="20"/>
  <c r="Q330" i="20"/>
  <c r="N330" i="20"/>
  <c r="J330" i="20"/>
  <c r="H330" i="20"/>
  <c r="E330" i="20"/>
  <c r="Z329" i="20"/>
  <c r="Q329" i="20"/>
  <c r="N329" i="20"/>
  <c r="J329" i="20"/>
  <c r="H329" i="20"/>
  <c r="E329" i="20"/>
  <c r="Z328" i="20"/>
  <c r="Q328" i="20"/>
  <c r="N328" i="20"/>
  <c r="J328" i="20"/>
  <c r="H328" i="20"/>
  <c r="E328" i="20"/>
  <c r="Z327" i="20"/>
  <c r="Q327" i="20"/>
  <c r="N327" i="20"/>
  <c r="J327" i="20"/>
  <c r="H327" i="20"/>
  <c r="E327" i="20"/>
  <c r="Z326" i="20"/>
  <c r="Q326" i="20"/>
  <c r="N326" i="20"/>
  <c r="J326" i="20"/>
  <c r="H326" i="20"/>
  <c r="E326" i="20"/>
  <c r="Z325" i="20"/>
  <c r="Q325" i="20"/>
  <c r="N325" i="20"/>
  <c r="J325" i="20"/>
  <c r="H325" i="20"/>
  <c r="E325" i="20"/>
  <c r="Z324" i="20"/>
  <c r="Q324" i="20"/>
  <c r="N324" i="20"/>
  <c r="J324" i="20"/>
  <c r="H324" i="20"/>
  <c r="E324" i="20"/>
  <c r="Z323" i="20"/>
  <c r="Q323" i="20"/>
  <c r="N323" i="20"/>
  <c r="J323" i="20"/>
  <c r="H323" i="20"/>
  <c r="E323" i="20"/>
  <c r="Z322" i="20"/>
  <c r="Q322" i="20"/>
  <c r="N322" i="20"/>
  <c r="J322" i="20"/>
  <c r="H322" i="20"/>
  <c r="E322" i="20"/>
  <c r="Z321" i="20"/>
  <c r="Q321" i="20"/>
  <c r="N321" i="20"/>
  <c r="J321" i="20"/>
  <c r="H321" i="20"/>
  <c r="E321" i="20"/>
  <c r="Z320" i="20"/>
  <c r="Q320" i="20"/>
  <c r="N320" i="20"/>
  <c r="J320" i="20"/>
  <c r="H320" i="20"/>
  <c r="E320" i="20"/>
  <c r="Z319" i="20"/>
  <c r="Q319" i="20"/>
  <c r="N319" i="20"/>
  <c r="J319" i="20"/>
  <c r="H319" i="20"/>
  <c r="E319" i="20"/>
  <c r="Z318" i="20"/>
  <c r="Q318" i="20"/>
  <c r="N318" i="20"/>
  <c r="J318" i="20"/>
  <c r="H318" i="20"/>
  <c r="E318" i="20"/>
  <c r="Z317" i="20"/>
  <c r="Q317" i="20"/>
  <c r="N317" i="20"/>
  <c r="J317" i="20"/>
  <c r="H317" i="20"/>
  <c r="E317" i="20"/>
  <c r="Z316" i="20"/>
  <c r="Q316" i="20"/>
  <c r="N316" i="20"/>
  <c r="J316" i="20"/>
  <c r="H316" i="20"/>
  <c r="E316" i="20"/>
  <c r="Z315" i="20"/>
  <c r="Q315" i="20"/>
  <c r="N315" i="20"/>
  <c r="J315" i="20"/>
  <c r="H315" i="20"/>
  <c r="E315" i="20"/>
  <c r="Z314" i="20"/>
  <c r="Q314" i="20"/>
  <c r="N314" i="20"/>
  <c r="J314" i="20"/>
  <c r="H314" i="20"/>
  <c r="E314" i="20"/>
  <c r="Z313" i="20"/>
  <c r="Q313" i="20"/>
  <c r="N313" i="20"/>
  <c r="J313" i="20"/>
  <c r="H313" i="20"/>
  <c r="E313" i="20"/>
  <c r="Z312" i="20"/>
  <c r="Q312" i="20"/>
  <c r="N312" i="20"/>
  <c r="J312" i="20"/>
  <c r="H312" i="20"/>
  <c r="E312" i="20"/>
  <c r="Z311" i="20"/>
  <c r="Q311" i="20"/>
  <c r="N311" i="20"/>
  <c r="J311" i="20"/>
  <c r="H311" i="20"/>
  <c r="E311" i="20"/>
  <c r="Z310" i="20"/>
  <c r="Q310" i="20"/>
  <c r="N310" i="20"/>
  <c r="J310" i="20"/>
  <c r="H310" i="20"/>
  <c r="E310" i="20"/>
  <c r="Z309" i="20"/>
  <c r="Q309" i="20"/>
  <c r="N309" i="20"/>
  <c r="J309" i="20"/>
  <c r="H309" i="20"/>
  <c r="E309" i="20"/>
  <c r="Z308" i="20"/>
  <c r="Q308" i="20"/>
  <c r="N308" i="20"/>
  <c r="J308" i="20"/>
  <c r="H308" i="20"/>
  <c r="E308" i="20"/>
  <c r="Z307" i="20"/>
  <c r="Q307" i="20"/>
  <c r="N307" i="20"/>
  <c r="J307" i="20"/>
  <c r="H307" i="20"/>
  <c r="E307" i="20"/>
  <c r="Z306" i="20"/>
  <c r="Q306" i="20"/>
  <c r="N306" i="20"/>
  <c r="J306" i="20"/>
  <c r="H306" i="20"/>
  <c r="E306" i="20"/>
  <c r="Z305" i="20"/>
  <c r="Q305" i="20"/>
  <c r="N305" i="20"/>
  <c r="J305" i="20"/>
  <c r="H305" i="20"/>
  <c r="E305" i="20"/>
  <c r="Z304" i="20"/>
  <c r="Q304" i="20"/>
  <c r="N304" i="20"/>
  <c r="J304" i="20"/>
  <c r="H304" i="20"/>
  <c r="E304" i="20"/>
  <c r="Z303" i="20"/>
  <c r="Q303" i="20"/>
  <c r="N303" i="20"/>
  <c r="J303" i="20"/>
  <c r="H303" i="20"/>
  <c r="E303" i="20"/>
  <c r="Z302" i="20"/>
  <c r="Q302" i="20"/>
  <c r="N302" i="20"/>
  <c r="J302" i="20"/>
  <c r="H302" i="20"/>
  <c r="E302" i="20"/>
  <c r="Z301" i="20"/>
  <c r="Q301" i="20"/>
  <c r="N301" i="20"/>
  <c r="J301" i="20"/>
  <c r="H301" i="20"/>
  <c r="E301" i="20"/>
  <c r="Z300" i="20"/>
  <c r="Q300" i="20"/>
  <c r="N300" i="20"/>
  <c r="J300" i="20"/>
  <c r="H300" i="20"/>
  <c r="E300" i="20"/>
  <c r="Z299" i="20"/>
  <c r="Q299" i="20"/>
  <c r="N299" i="20"/>
  <c r="J299" i="20"/>
  <c r="H299" i="20"/>
  <c r="E299" i="20"/>
  <c r="Z298" i="20"/>
  <c r="Q298" i="20"/>
  <c r="N298" i="20"/>
  <c r="J298" i="20"/>
  <c r="H298" i="20"/>
  <c r="E298" i="20"/>
  <c r="Z297" i="20"/>
  <c r="Q297" i="20"/>
  <c r="N297" i="20"/>
  <c r="J297" i="20"/>
  <c r="H297" i="20"/>
  <c r="E297" i="20"/>
  <c r="Z296" i="20"/>
  <c r="Q296" i="20"/>
  <c r="N296" i="20"/>
  <c r="J296" i="20"/>
  <c r="H296" i="20"/>
  <c r="E296" i="20"/>
  <c r="Z295" i="20"/>
  <c r="Q295" i="20"/>
  <c r="N295" i="20"/>
  <c r="J295" i="20"/>
  <c r="H295" i="20"/>
  <c r="E295" i="20"/>
  <c r="Z294" i="20"/>
  <c r="Q294" i="20"/>
  <c r="N294" i="20"/>
  <c r="J294" i="20"/>
  <c r="H294" i="20"/>
  <c r="E294" i="20"/>
  <c r="Z293" i="20"/>
  <c r="Q293" i="20"/>
  <c r="N293" i="20"/>
  <c r="J293" i="20"/>
  <c r="H293" i="20"/>
  <c r="E293" i="20"/>
  <c r="Z292" i="20"/>
  <c r="Q292" i="20"/>
  <c r="N292" i="20"/>
  <c r="J292" i="20"/>
  <c r="H292" i="20"/>
  <c r="E292" i="20"/>
  <c r="Z291" i="20"/>
  <c r="Q291" i="20"/>
  <c r="N291" i="20"/>
  <c r="J291" i="20"/>
  <c r="H291" i="20"/>
  <c r="E291" i="20"/>
  <c r="Z290" i="20"/>
  <c r="Q290" i="20"/>
  <c r="N290" i="20"/>
  <c r="J290" i="20"/>
  <c r="H290" i="20"/>
  <c r="E290" i="20"/>
  <c r="Z289" i="20"/>
  <c r="Q289" i="20"/>
  <c r="N289" i="20"/>
  <c r="J289" i="20"/>
  <c r="H289" i="20"/>
  <c r="E289" i="20"/>
  <c r="Z288" i="20"/>
  <c r="Q288" i="20"/>
  <c r="N288" i="20"/>
  <c r="J288" i="20"/>
  <c r="H288" i="20"/>
  <c r="E288" i="20"/>
  <c r="Z287" i="20"/>
  <c r="Q287" i="20"/>
  <c r="N287" i="20"/>
  <c r="J287" i="20"/>
  <c r="H287" i="20"/>
  <c r="E287" i="20"/>
  <c r="Z286" i="20"/>
  <c r="Q286" i="20"/>
  <c r="N286" i="20"/>
  <c r="J286" i="20"/>
  <c r="H286" i="20"/>
  <c r="E286" i="20"/>
  <c r="Z285" i="20"/>
  <c r="Q285" i="20"/>
  <c r="N285" i="20"/>
  <c r="J285" i="20"/>
  <c r="H285" i="20"/>
  <c r="E285" i="20"/>
  <c r="Z284" i="20"/>
  <c r="Q284" i="20"/>
  <c r="N284" i="20"/>
  <c r="J284" i="20"/>
  <c r="H284" i="20"/>
  <c r="E284" i="20"/>
  <c r="Z283" i="20"/>
  <c r="Q283" i="20"/>
  <c r="N283" i="20"/>
  <c r="J283" i="20"/>
  <c r="H283" i="20"/>
  <c r="E283" i="20"/>
  <c r="Z282" i="20"/>
  <c r="Q282" i="20"/>
  <c r="N282" i="20"/>
  <c r="J282" i="20"/>
  <c r="H282" i="20"/>
  <c r="E282" i="20"/>
  <c r="Z281" i="20"/>
  <c r="Q281" i="20"/>
  <c r="N281" i="20"/>
  <c r="J281" i="20"/>
  <c r="H281" i="20"/>
  <c r="E281" i="20"/>
  <c r="Z280" i="20"/>
  <c r="Q280" i="20"/>
  <c r="N280" i="20"/>
  <c r="J280" i="20"/>
  <c r="H280" i="20"/>
  <c r="E280" i="20"/>
  <c r="Z279" i="20"/>
  <c r="Q279" i="20"/>
  <c r="N279" i="20"/>
  <c r="J279" i="20"/>
  <c r="H279" i="20"/>
  <c r="E279" i="20"/>
  <c r="Z278" i="20"/>
  <c r="Q278" i="20"/>
  <c r="N278" i="20"/>
  <c r="J278" i="20"/>
  <c r="H278" i="20"/>
  <c r="E278" i="20"/>
  <c r="Z277" i="20"/>
  <c r="Q277" i="20"/>
  <c r="N277" i="20"/>
  <c r="J277" i="20"/>
  <c r="H277" i="20"/>
  <c r="E277" i="20"/>
  <c r="Z276" i="20"/>
  <c r="Q276" i="20"/>
  <c r="N276" i="20"/>
  <c r="J276" i="20"/>
  <c r="H276" i="20"/>
  <c r="E276" i="20"/>
  <c r="Z275" i="20"/>
  <c r="Q275" i="20"/>
  <c r="N275" i="20"/>
  <c r="J275" i="20"/>
  <c r="H275" i="20"/>
  <c r="E275" i="20"/>
  <c r="Z274" i="20"/>
  <c r="Q274" i="20"/>
  <c r="N274" i="20"/>
  <c r="J274" i="20"/>
  <c r="H274" i="20"/>
  <c r="E274" i="20"/>
  <c r="Z273" i="20"/>
  <c r="Q273" i="20"/>
  <c r="N273" i="20"/>
  <c r="J273" i="20"/>
  <c r="H273" i="20"/>
  <c r="E273" i="20"/>
  <c r="Z272" i="20"/>
  <c r="Q272" i="20"/>
  <c r="N272" i="20"/>
  <c r="J272" i="20"/>
  <c r="H272" i="20"/>
  <c r="E272" i="20"/>
  <c r="Z271" i="20"/>
  <c r="Q271" i="20"/>
  <c r="N271" i="20"/>
  <c r="J271" i="20"/>
  <c r="H271" i="20"/>
  <c r="E271" i="20"/>
  <c r="Z270" i="20"/>
  <c r="Q270" i="20"/>
  <c r="N270" i="20"/>
  <c r="J270" i="20"/>
  <c r="H270" i="20"/>
  <c r="E270" i="20"/>
  <c r="Z269" i="20"/>
  <c r="Q269" i="20"/>
  <c r="N269" i="20"/>
  <c r="J269" i="20"/>
  <c r="H269" i="20"/>
  <c r="E269" i="20"/>
  <c r="Z268" i="20"/>
  <c r="Q268" i="20"/>
  <c r="N268" i="20"/>
  <c r="J268" i="20"/>
  <c r="H268" i="20"/>
  <c r="E268" i="20"/>
  <c r="Z267" i="20"/>
  <c r="Q267" i="20"/>
  <c r="N267" i="20"/>
  <c r="J267" i="20"/>
  <c r="H267" i="20"/>
  <c r="E267" i="20"/>
  <c r="Z266" i="20"/>
  <c r="Q266" i="20"/>
  <c r="N266" i="20"/>
  <c r="J266" i="20"/>
  <c r="H266" i="20"/>
  <c r="E266" i="20"/>
  <c r="Z265" i="20"/>
  <c r="Q265" i="20"/>
  <c r="N265" i="20"/>
  <c r="J265" i="20"/>
  <c r="H265" i="20"/>
  <c r="E265" i="20"/>
  <c r="Z264" i="20"/>
  <c r="Q264" i="20"/>
  <c r="N264" i="20"/>
  <c r="J264" i="20"/>
  <c r="H264" i="20"/>
  <c r="E264" i="20"/>
  <c r="Z263" i="20"/>
  <c r="Q263" i="20"/>
  <c r="N263" i="20"/>
  <c r="J263" i="20"/>
  <c r="H263" i="20"/>
  <c r="E263" i="20"/>
  <c r="Z262" i="20"/>
  <c r="Q262" i="20"/>
  <c r="N262" i="20"/>
  <c r="J262" i="20"/>
  <c r="H262" i="20"/>
  <c r="E262" i="20"/>
  <c r="Z261" i="20"/>
  <c r="Q261" i="20"/>
  <c r="N261" i="20"/>
  <c r="J261" i="20"/>
  <c r="H261" i="20"/>
  <c r="E261" i="20"/>
  <c r="Z260" i="20"/>
  <c r="Q260" i="20"/>
  <c r="N260" i="20"/>
  <c r="J260" i="20"/>
  <c r="H260" i="20"/>
  <c r="E260" i="20"/>
  <c r="Z259" i="20"/>
  <c r="Q259" i="20"/>
  <c r="N259" i="20"/>
  <c r="J259" i="20"/>
  <c r="H259" i="20"/>
  <c r="E259" i="20"/>
  <c r="Z258" i="20"/>
  <c r="Q258" i="20"/>
  <c r="N258" i="20"/>
  <c r="J258" i="20"/>
  <c r="H258" i="20"/>
  <c r="E258" i="20"/>
  <c r="Z257" i="20"/>
  <c r="Q257" i="20"/>
  <c r="N257" i="20"/>
  <c r="J257" i="20"/>
  <c r="H257" i="20"/>
  <c r="E257" i="20"/>
  <c r="Z256" i="20"/>
  <c r="Q256" i="20"/>
  <c r="N256" i="20"/>
  <c r="J256" i="20"/>
  <c r="H256" i="20"/>
  <c r="E256" i="20"/>
  <c r="Z255" i="20"/>
  <c r="Q255" i="20"/>
  <c r="N255" i="20"/>
  <c r="J255" i="20"/>
  <c r="H255" i="20"/>
  <c r="E255" i="20"/>
  <c r="Z254" i="20"/>
  <c r="Q254" i="20"/>
  <c r="N254" i="20"/>
  <c r="J254" i="20"/>
  <c r="H254" i="20"/>
  <c r="E254" i="20"/>
  <c r="Z253" i="20"/>
  <c r="Q253" i="20"/>
  <c r="N253" i="20"/>
  <c r="J253" i="20"/>
  <c r="H253" i="20"/>
  <c r="E253" i="20"/>
  <c r="Z252" i="20"/>
  <c r="Q252" i="20"/>
  <c r="N252" i="20"/>
  <c r="J252" i="20"/>
  <c r="H252" i="20"/>
  <c r="E252" i="20"/>
  <c r="Z251" i="20"/>
  <c r="Q251" i="20"/>
  <c r="N251" i="20"/>
  <c r="J251" i="20"/>
  <c r="H251" i="20"/>
  <c r="E251" i="20"/>
  <c r="Z250" i="20"/>
  <c r="Q250" i="20"/>
  <c r="N250" i="20"/>
  <c r="J250" i="20"/>
  <c r="H250" i="20"/>
  <c r="E250" i="20"/>
  <c r="Z249" i="20"/>
  <c r="Q249" i="20"/>
  <c r="N249" i="20"/>
  <c r="J249" i="20"/>
  <c r="H249" i="20"/>
  <c r="E249" i="20"/>
  <c r="Z248" i="20"/>
  <c r="Q248" i="20"/>
  <c r="N248" i="20"/>
  <c r="J248" i="20"/>
  <c r="H248" i="20"/>
  <c r="E248" i="20"/>
  <c r="Z247" i="20"/>
  <c r="Q247" i="20"/>
  <c r="N247" i="20"/>
  <c r="J247" i="20"/>
  <c r="H247" i="20"/>
  <c r="E247" i="20"/>
  <c r="Z246" i="20"/>
  <c r="Q246" i="20"/>
  <c r="N246" i="20"/>
  <c r="J246" i="20"/>
  <c r="H246" i="20"/>
  <c r="E246" i="20"/>
  <c r="Z245" i="20"/>
  <c r="Q245" i="20"/>
  <c r="N245" i="20"/>
  <c r="J245" i="20"/>
  <c r="H245" i="20"/>
  <c r="E245" i="20"/>
  <c r="Z244" i="20"/>
  <c r="Q244" i="20"/>
  <c r="N244" i="20"/>
  <c r="J244" i="20"/>
  <c r="H244" i="20"/>
  <c r="E244" i="20"/>
  <c r="Z243" i="20"/>
  <c r="Q243" i="20"/>
  <c r="N243" i="20"/>
  <c r="J243" i="20"/>
  <c r="H243" i="20"/>
  <c r="E243" i="20"/>
  <c r="Z242" i="20"/>
  <c r="Q242" i="20"/>
  <c r="N242" i="20"/>
  <c r="J242" i="20"/>
  <c r="H242" i="20"/>
  <c r="E242" i="20"/>
  <c r="Z241" i="20"/>
  <c r="Q241" i="20"/>
  <c r="N241" i="20"/>
  <c r="J241" i="20"/>
  <c r="H241" i="20"/>
  <c r="E241" i="20"/>
  <c r="Z240" i="20"/>
  <c r="Q240" i="20"/>
  <c r="N240" i="20"/>
  <c r="J240" i="20"/>
  <c r="H240" i="20"/>
  <c r="E240" i="20"/>
  <c r="Z239" i="20"/>
  <c r="Q239" i="20"/>
  <c r="N239" i="20"/>
  <c r="J239" i="20"/>
  <c r="H239" i="20"/>
  <c r="E239" i="20"/>
  <c r="Z238" i="20"/>
  <c r="Q238" i="20"/>
  <c r="N238" i="20"/>
  <c r="J238" i="20"/>
  <c r="H238" i="20"/>
  <c r="E238" i="20"/>
  <c r="Z237" i="20"/>
  <c r="Q237" i="20"/>
  <c r="N237" i="20"/>
  <c r="J237" i="20"/>
  <c r="H237" i="20"/>
  <c r="E237" i="20"/>
  <c r="Z236" i="20"/>
  <c r="Q236" i="20"/>
  <c r="N236" i="20"/>
  <c r="J236" i="20"/>
  <c r="H236" i="20"/>
  <c r="E236" i="20"/>
  <c r="Z235" i="20"/>
  <c r="Q235" i="20"/>
  <c r="N235" i="20"/>
  <c r="J235" i="20"/>
  <c r="H235" i="20"/>
  <c r="E235" i="20"/>
  <c r="Z234" i="20"/>
  <c r="Q234" i="20"/>
  <c r="N234" i="20"/>
  <c r="J234" i="20"/>
  <c r="H234" i="20"/>
  <c r="E234" i="20"/>
  <c r="Z233" i="20"/>
  <c r="Q233" i="20"/>
  <c r="N233" i="20"/>
  <c r="J233" i="20"/>
  <c r="H233" i="20"/>
  <c r="E233" i="20"/>
  <c r="Z232" i="20"/>
  <c r="Q232" i="20"/>
  <c r="N232" i="20"/>
  <c r="J232" i="20"/>
  <c r="H232" i="20"/>
  <c r="E232" i="20"/>
  <c r="Z231" i="20"/>
  <c r="Q231" i="20"/>
  <c r="N231" i="20"/>
  <c r="J231" i="20"/>
  <c r="H231" i="20"/>
  <c r="E231" i="20"/>
  <c r="Z230" i="20"/>
  <c r="Q230" i="20"/>
  <c r="N230" i="20"/>
  <c r="J230" i="20"/>
  <c r="H230" i="20"/>
  <c r="E230" i="20"/>
  <c r="Z229" i="20"/>
  <c r="Q229" i="20"/>
  <c r="N229" i="20"/>
  <c r="J229" i="20"/>
  <c r="H229" i="20"/>
  <c r="E229" i="20"/>
  <c r="Z228" i="20"/>
  <c r="Q228" i="20"/>
  <c r="N228" i="20"/>
  <c r="J228" i="20"/>
  <c r="H228" i="20"/>
  <c r="E228" i="20"/>
  <c r="Z227" i="20"/>
  <c r="Q227" i="20"/>
  <c r="N227" i="20"/>
  <c r="J227" i="20"/>
  <c r="H227" i="20"/>
  <c r="E227" i="20"/>
  <c r="Z226" i="20"/>
  <c r="Q226" i="20"/>
  <c r="N226" i="20"/>
  <c r="J226" i="20"/>
  <c r="H226" i="20"/>
  <c r="E226" i="20"/>
  <c r="Z225" i="20"/>
  <c r="Q225" i="20"/>
  <c r="N225" i="20"/>
  <c r="J225" i="20"/>
  <c r="H225" i="20"/>
  <c r="E225" i="20"/>
  <c r="Z224" i="20"/>
  <c r="Q224" i="20"/>
  <c r="N224" i="20"/>
  <c r="J224" i="20"/>
  <c r="H224" i="20"/>
  <c r="E224" i="20"/>
  <c r="Z223" i="20"/>
  <c r="Q223" i="20"/>
  <c r="N223" i="20"/>
  <c r="J223" i="20"/>
  <c r="H223" i="20"/>
  <c r="E223" i="20"/>
  <c r="Z222" i="20"/>
  <c r="Q222" i="20"/>
  <c r="N222" i="20"/>
  <c r="J222" i="20"/>
  <c r="H222" i="20"/>
  <c r="E222" i="20"/>
  <c r="Z221" i="20"/>
  <c r="Q221" i="20"/>
  <c r="N221" i="20"/>
  <c r="J221" i="20"/>
  <c r="H221" i="20"/>
  <c r="E221" i="20"/>
  <c r="Z220" i="20"/>
  <c r="Q220" i="20"/>
  <c r="N220" i="20"/>
  <c r="J220" i="20"/>
  <c r="H220" i="20"/>
  <c r="E220" i="20"/>
  <c r="Z219" i="20"/>
  <c r="Q219" i="20"/>
  <c r="N219" i="20"/>
  <c r="J219" i="20"/>
  <c r="H219" i="20"/>
  <c r="E219" i="20"/>
  <c r="Z218" i="20"/>
  <c r="Q218" i="20"/>
  <c r="N218" i="20"/>
  <c r="J218" i="20"/>
  <c r="H218" i="20"/>
  <c r="E218" i="20"/>
  <c r="Z217" i="20"/>
  <c r="Q217" i="20"/>
  <c r="N217" i="20"/>
  <c r="J217" i="20"/>
  <c r="H217" i="20"/>
  <c r="E217" i="20"/>
  <c r="Z216" i="20"/>
  <c r="Q216" i="20"/>
  <c r="N216" i="20"/>
  <c r="J216" i="20"/>
  <c r="H216" i="20"/>
  <c r="E216" i="20"/>
  <c r="Z215" i="20"/>
  <c r="Q215" i="20"/>
  <c r="N215" i="20"/>
  <c r="J215" i="20"/>
  <c r="H215" i="20"/>
  <c r="E215" i="20"/>
  <c r="Z214" i="20"/>
  <c r="Q214" i="20"/>
  <c r="N214" i="20"/>
  <c r="J214" i="20"/>
  <c r="H214" i="20"/>
  <c r="E214" i="20"/>
  <c r="Z213" i="20"/>
  <c r="Q213" i="20"/>
  <c r="N213" i="20"/>
  <c r="J213" i="20"/>
  <c r="H213" i="20"/>
  <c r="E213" i="20"/>
  <c r="Z212" i="20"/>
  <c r="Q212" i="20"/>
  <c r="N212" i="20"/>
  <c r="J212" i="20"/>
  <c r="H212" i="20"/>
  <c r="E212" i="20"/>
  <c r="Z211" i="20"/>
  <c r="Q211" i="20"/>
  <c r="N211" i="20"/>
  <c r="J211" i="20"/>
  <c r="H211" i="20"/>
  <c r="E211" i="20"/>
  <c r="Z210" i="20"/>
  <c r="Q210" i="20"/>
  <c r="N210" i="20"/>
  <c r="J210" i="20"/>
  <c r="H210" i="20"/>
  <c r="E210" i="20"/>
  <c r="Z209" i="20"/>
  <c r="Q209" i="20"/>
  <c r="N209" i="20"/>
  <c r="J209" i="20"/>
  <c r="H209" i="20"/>
  <c r="E209" i="20"/>
  <c r="Z208" i="20"/>
  <c r="Q208" i="20"/>
  <c r="N208" i="20"/>
  <c r="J208" i="20"/>
  <c r="H208" i="20"/>
  <c r="E208" i="20"/>
  <c r="Z207" i="20"/>
  <c r="Q207" i="20"/>
  <c r="N207" i="20"/>
  <c r="J207" i="20"/>
  <c r="H207" i="20"/>
  <c r="E207" i="20"/>
  <c r="Z206" i="20"/>
  <c r="Q206" i="20"/>
  <c r="N206" i="20"/>
  <c r="J206" i="20"/>
  <c r="H206" i="20"/>
  <c r="E206" i="20"/>
  <c r="Z205" i="20"/>
  <c r="Q205" i="20"/>
  <c r="N205" i="20"/>
  <c r="J205" i="20"/>
  <c r="H205" i="20"/>
  <c r="E205" i="20"/>
  <c r="Z204" i="20"/>
  <c r="Q204" i="20"/>
  <c r="N204" i="20"/>
  <c r="J204" i="20"/>
  <c r="H204" i="20"/>
  <c r="E204" i="20"/>
  <c r="Z203" i="20"/>
  <c r="Q203" i="20"/>
  <c r="N203" i="20"/>
  <c r="J203" i="20"/>
  <c r="H203" i="20"/>
  <c r="E203" i="20"/>
  <c r="Z202" i="20"/>
  <c r="Q202" i="20"/>
  <c r="N202" i="20"/>
  <c r="J202" i="20"/>
  <c r="H202" i="20"/>
  <c r="E202" i="20"/>
  <c r="Z201" i="20"/>
  <c r="Q201" i="20"/>
  <c r="N201" i="20"/>
  <c r="J201" i="20"/>
  <c r="H201" i="20"/>
  <c r="E201" i="20"/>
  <c r="Z200" i="20"/>
  <c r="Q200" i="20"/>
  <c r="N200" i="20"/>
  <c r="J200" i="20"/>
  <c r="H200" i="20"/>
  <c r="E200" i="20"/>
  <c r="Z199" i="20"/>
  <c r="Q199" i="20"/>
  <c r="N199" i="20"/>
  <c r="J199" i="20"/>
  <c r="H199" i="20"/>
  <c r="E199" i="20"/>
  <c r="Z198" i="20"/>
  <c r="Q198" i="20"/>
  <c r="N198" i="20"/>
  <c r="J198" i="20"/>
  <c r="H198" i="20"/>
  <c r="E198" i="20"/>
  <c r="Z197" i="20"/>
  <c r="Q197" i="20"/>
  <c r="N197" i="20"/>
  <c r="J197" i="20"/>
  <c r="H197" i="20"/>
  <c r="E197" i="20"/>
  <c r="Z196" i="20"/>
  <c r="Q196" i="20"/>
  <c r="N196" i="20"/>
  <c r="J196" i="20"/>
  <c r="H196" i="20"/>
  <c r="E196" i="20"/>
  <c r="Z195" i="20"/>
  <c r="Q195" i="20"/>
  <c r="N195" i="20"/>
  <c r="J195" i="20"/>
  <c r="H195" i="20"/>
  <c r="E195" i="20"/>
  <c r="Z194" i="20"/>
  <c r="Q194" i="20"/>
  <c r="N194" i="20"/>
  <c r="J194" i="20"/>
  <c r="H194" i="20"/>
  <c r="E194" i="20"/>
  <c r="Z193" i="20"/>
  <c r="Q193" i="20"/>
  <c r="N193" i="20"/>
  <c r="J193" i="20"/>
  <c r="H193" i="20"/>
  <c r="E193" i="20"/>
  <c r="Z192" i="20"/>
  <c r="Q192" i="20"/>
  <c r="N192" i="20"/>
  <c r="J192" i="20"/>
  <c r="H192" i="20"/>
  <c r="E192" i="20"/>
  <c r="Z191" i="20"/>
  <c r="Q191" i="20"/>
  <c r="N191" i="20"/>
  <c r="J191" i="20"/>
  <c r="H191" i="20"/>
  <c r="E191" i="20"/>
  <c r="Z190" i="20"/>
  <c r="Q190" i="20"/>
  <c r="N190" i="20"/>
  <c r="J190" i="20"/>
  <c r="H190" i="20"/>
  <c r="E190" i="20"/>
  <c r="Z189" i="20"/>
  <c r="Q189" i="20"/>
  <c r="N189" i="20"/>
  <c r="J189" i="20"/>
  <c r="H189" i="20"/>
  <c r="E189" i="20"/>
  <c r="Z188" i="20"/>
  <c r="Q188" i="20"/>
  <c r="N188" i="20"/>
  <c r="J188" i="20"/>
  <c r="H188" i="20"/>
  <c r="E188" i="20"/>
  <c r="Z187" i="20"/>
  <c r="Q187" i="20"/>
  <c r="N187" i="20"/>
  <c r="J187" i="20"/>
  <c r="H187" i="20"/>
  <c r="E187" i="20"/>
  <c r="Z186" i="20"/>
  <c r="Q186" i="20"/>
  <c r="N186" i="20"/>
  <c r="J186" i="20"/>
  <c r="H186" i="20"/>
  <c r="E186" i="20"/>
  <c r="Z185" i="20"/>
  <c r="Q185" i="20"/>
  <c r="N185" i="20"/>
  <c r="J185" i="20"/>
  <c r="H185" i="20"/>
  <c r="E185" i="20"/>
  <c r="Z184" i="20"/>
  <c r="Q184" i="20"/>
  <c r="N184" i="20"/>
  <c r="J184" i="20"/>
  <c r="H184" i="20"/>
  <c r="E184" i="20"/>
  <c r="Z183" i="20"/>
  <c r="Q183" i="20"/>
  <c r="N183" i="20"/>
  <c r="J183" i="20"/>
  <c r="H183" i="20"/>
  <c r="E183" i="20"/>
  <c r="Z182" i="20"/>
  <c r="Q182" i="20"/>
  <c r="N182" i="20"/>
  <c r="J182" i="20"/>
  <c r="H182" i="20"/>
  <c r="E182" i="20"/>
  <c r="Z181" i="20"/>
  <c r="Q181" i="20"/>
  <c r="N181" i="20"/>
  <c r="J181" i="20"/>
  <c r="H181" i="20"/>
  <c r="E181" i="20"/>
  <c r="Z180" i="20"/>
  <c r="Q180" i="20"/>
  <c r="N180" i="20"/>
  <c r="J180" i="20"/>
  <c r="H180" i="20"/>
  <c r="E180" i="20"/>
  <c r="Z179" i="20"/>
  <c r="Q179" i="20"/>
  <c r="N179" i="20"/>
  <c r="J179" i="20"/>
  <c r="H179" i="20"/>
  <c r="E179" i="20"/>
  <c r="Z178" i="20"/>
  <c r="Q178" i="20"/>
  <c r="N178" i="20"/>
  <c r="J178" i="20"/>
  <c r="H178" i="20"/>
  <c r="E178" i="20"/>
  <c r="Z177" i="20"/>
  <c r="Z176" i="20"/>
  <c r="Z175" i="20"/>
  <c r="Z174" i="20"/>
  <c r="Q174" i="20"/>
  <c r="N174" i="20"/>
  <c r="J174" i="20"/>
  <c r="H174" i="20"/>
  <c r="E174" i="20"/>
  <c r="Z173" i="20"/>
  <c r="Q173" i="20"/>
  <c r="N173" i="20"/>
  <c r="J173" i="20"/>
  <c r="H173" i="20"/>
  <c r="E173" i="20"/>
  <c r="Z172" i="20"/>
  <c r="Q172" i="20"/>
  <c r="N172" i="20"/>
  <c r="J172" i="20"/>
  <c r="H172" i="20"/>
  <c r="E172" i="20"/>
  <c r="Z171" i="20"/>
  <c r="Q171" i="20"/>
  <c r="N171" i="20"/>
  <c r="J171" i="20"/>
  <c r="H171" i="20"/>
  <c r="E171" i="20"/>
  <c r="Z170" i="20"/>
  <c r="Q170" i="20"/>
  <c r="N170" i="20"/>
  <c r="J170" i="20"/>
  <c r="H170" i="20"/>
  <c r="E170" i="20"/>
  <c r="Z169" i="20"/>
  <c r="Q169" i="20"/>
  <c r="N169" i="20"/>
  <c r="J169" i="20"/>
  <c r="H169" i="20"/>
  <c r="E169" i="20"/>
  <c r="Z168" i="20"/>
  <c r="Q168" i="20"/>
  <c r="N168" i="20"/>
  <c r="J168" i="20"/>
  <c r="H168" i="20"/>
  <c r="E168" i="20"/>
  <c r="Z167" i="20"/>
  <c r="Q167" i="20"/>
  <c r="N167" i="20"/>
  <c r="J167" i="20"/>
  <c r="H167" i="20"/>
  <c r="E167" i="20"/>
  <c r="Z166" i="20"/>
  <c r="Q166" i="20"/>
  <c r="N166" i="20"/>
  <c r="J166" i="20"/>
  <c r="H166" i="20"/>
  <c r="E166" i="20"/>
  <c r="Z165" i="20"/>
  <c r="Q165" i="20"/>
  <c r="N165" i="20"/>
  <c r="J165" i="20"/>
  <c r="H165" i="20"/>
  <c r="E165" i="20"/>
  <c r="Z164" i="20"/>
  <c r="Q164" i="20"/>
  <c r="N164" i="20"/>
  <c r="J164" i="20"/>
  <c r="H164" i="20"/>
  <c r="E164" i="20"/>
  <c r="Z163" i="20"/>
  <c r="Q163" i="20"/>
  <c r="N163" i="20"/>
  <c r="J163" i="20"/>
  <c r="H163" i="20"/>
  <c r="E163" i="20"/>
  <c r="Z162" i="20"/>
  <c r="Q162" i="20"/>
  <c r="N162" i="20"/>
  <c r="J162" i="20"/>
  <c r="H162" i="20"/>
  <c r="E162" i="20"/>
  <c r="Z161" i="20"/>
  <c r="Q161" i="20"/>
  <c r="N161" i="20"/>
  <c r="J161" i="20"/>
  <c r="H161" i="20"/>
  <c r="E161" i="20"/>
  <c r="Z160" i="20"/>
  <c r="Q160" i="20"/>
  <c r="N160" i="20"/>
  <c r="J160" i="20"/>
  <c r="H160" i="20"/>
  <c r="E160" i="20"/>
  <c r="Z159" i="20"/>
  <c r="Q159" i="20"/>
  <c r="N159" i="20"/>
  <c r="J159" i="20"/>
  <c r="H159" i="20"/>
  <c r="E159" i="20"/>
  <c r="Z158" i="20"/>
  <c r="Q158" i="20"/>
  <c r="N158" i="20"/>
  <c r="J158" i="20"/>
  <c r="H158" i="20"/>
  <c r="E158" i="20"/>
  <c r="Z157" i="20"/>
  <c r="Q157" i="20"/>
  <c r="N157" i="20"/>
  <c r="J157" i="20"/>
  <c r="H157" i="20"/>
  <c r="E157" i="20"/>
  <c r="Z156" i="20"/>
  <c r="Q156" i="20"/>
  <c r="N156" i="20"/>
  <c r="J156" i="20"/>
  <c r="H156" i="20"/>
  <c r="E156" i="20"/>
  <c r="Z155" i="20"/>
  <c r="Q155" i="20"/>
  <c r="N155" i="20"/>
  <c r="J155" i="20"/>
  <c r="H155" i="20"/>
  <c r="E155" i="20"/>
  <c r="Z154" i="20"/>
  <c r="Q154" i="20"/>
  <c r="N154" i="20"/>
  <c r="J154" i="20"/>
  <c r="H154" i="20"/>
  <c r="E154" i="20"/>
  <c r="Z153" i="20"/>
  <c r="Q153" i="20"/>
  <c r="N153" i="20"/>
  <c r="J153" i="20"/>
  <c r="H153" i="20"/>
  <c r="E153" i="20"/>
  <c r="Z152" i="20"/>
  <c r="Q152" i="20"/>
  <c r="N152" i="20"/>
  <c r="J152" i="20"/>
  <c r="H152" i="20"/>
  <c r="E152" i="20"/>
  <c r="Z151" i="20"/>
  <c r="Q151" i="20"/>
  <c r="N151" i="20"/>
  <c r="J151" i="20"/>
  <c r="H151" i="20"/>
  <c r="E151" i="20"/>
  <c r="Z150" i="20"/>
  <c r="Q150" i="20"/>
  <c r="N150" i="20"/>
  <c r="J150" i="20"/>
  <c r="H150" i="20"/>
  <c r="E150" i="20"/>
  <c r="Z149" i="20"/>
  <c r="Q149" i="20"/>
  <c r="N149" i="20"/>
  <c r="J149" i="20"/>
  <c r="H149" i="20"/>
  <c r="E149" i="20"/>
  <c r="Z148" i="20"/>
  <c r="Q148" i="20"/>
  <c r="N148" i="20"/>
  <c r="J148" i="20"/>
  <c r="H148" i="20"/>
  <c r="E148" i="20"/>
  <c r="Z147" i="20"/>
  <c r="Q147" i="20"/>
  <c r="N147" i="20"/>
  <c r="J147" i="20"/>
  <c r="H147" i="20"/>
  <c r="E147" i="20"/>
  <c r="Z146" i="20"/>
  <c r="Q146" i="20"/>
  <c r="N146" i="20"/>
  <c r="J146" i="20"/>
  <c r="H146" i="20"/>
  <c r="E146" i="20"/>
  <c r="Z145" i="20"/>
  <c r="Q145" i="20"/>
  <c r="N145" i="20"/>
  <c r="J145" i="20"/>
  <c r="H145" i="20"/>
  <c r="E145" i="20"/>
  <c r="Z144" i="20"/>
  <c r="Q144" i="20"/>
  <c r="N144" i="20"/>
  <c r="J144" i="20"/>
  <c r="H144" i="20"/>
  <c r="E144" i="20"/>
  <c r="Z143" i="20"/>
  <c r="Q143" i="20"/>
  <c r="N143" i="20"/>
  <c r="J143" i="20"/>
  <c r="H143" i="20"/>
  <c r="E143" i="20"/>
  <c r="Z142" i="20"/>
  <c r="Q142" i="20"/>
  <c r="N142" i="20"/>
  <c r="J142" i="20"/>
  <c r="H142" i="20"/>
  <c r="E142" i="20"/>
  <c r="Z141" i="20"/>
  <c r="Q141" i="20"/>
  <c r="N141" i="20"/>
  <c r="J141" i="20"/>
  <c r="H141" i="20"/>
  <c r="E141" i="20"/>
  <c r="Z140" i="20"/>
  <c r="Q140" i="20"/>
  <c r="N140" i="20"/>
  <c r="J140" i="20"/>
  <c r="H140" i="20"/>
  <c r="E140" i="20"/>
  <c r="Z139" i="20"/>
  <c r="Q139" i="20"/>
  <c r="N139" i="20"/>
  <c r="J139" i="20"/>
  <c r="H139" i="20"/>
  <c r="E139" i="20"/>
  <c r="Z138" i="20"/>
  <c r="Q138" i="20"/>
  <c r="N138" i="20"/>
  <c r="J138" i="20"/>
  <c r="H138" i="20"/>
  <c r="E138" i="20"/>
  <c r="Z137" i="20"/>
  <c r="Q137" i="20"/>
  <c r="N137" i="20"/>
  <c r="J137" i="20"/>
  <c r="H137" i="20"/>
  <c r="E137" i="20"/>
  <c r="Z136" i="20"/>
  <c r="Q136" i="20"/>
  <c r="N136" i="20"/>
  <c r="J136" i="20"/>
  <c r="H136" i="20"/>
  <c r="E136" i="20"/>
  <c r="Z135" i="20"/>
  <c r="Q135" i="20"/>
  <c r="N135" i="20"/>
  <c r="J135" i="20"/>
  <c r="H135" i="20"/>
  <c r="E135" i="20"/>
  <c r="Z134" i="20"/>
  <c r="Q134" i="20"/>
  <c r="N134" i="20"/>
  <c r="J134" i="20"/>
  <c r="H134" i="20"/>
  <c r="E134" i="20"/>
  <c r="Z133" i="20"/>
  <c r="Q133" i="20"/>
  <c r="N133" i="20"/>
  <c r="J133" i="20"/>
  <c r="H133" i="20"/>
  <c r="E133" i="20"/>
  <c r="Z132" i="20"/>
  <c r="Q132" i="20"/>
  <c r="N132" i="20"/>
  <c r="J132" i="20"/>
  <c r="H132" i="20"/>
  <c r="E132" i="20"/>
  <c r="Z131" i="20"/>
  <c r="Q131" i="20"/>
  <c r="N131" i="20"/>
  <c r="J131" i="20"/>
  <c r="H131" i="20"/>
  <c r="E131" i="20"/>
  <c r="Z130" i="20"/>
  <c r="Q130" i="20"/>
  <c r="N130" i="20"/>
  <c r="J130" i="20"/>
  <c r="H130" i="20"/>
  <c r="E130" i="20"/>
  <c r="Z129" i="20"/>
  <c r="Q129" i="20"/>
  <c r="N129" i="20"/>
  <c r="J129" i="20"/>
  <c r="H129" i="20"/>
  <c r="E129" i="20"/>
  <c r="Z128" i="20"/>
  <c r="Q128" i="20"/>
  <c r="N128" i="20"/>
  <c r="J128" i="20"/>
  <c r="H128" i="20"/>
  <c r="E128" i="20"/>
  <c r="Z127" i="20"/>
  <c r="Q127" i="20"/>
  <c r="N127" i="20"/>
  <c r="J127" i="20"/>
  <c r="H127" i="20"/>
  <c r="E127" i="20"/>
  <c r="Z126" i="20"/>
  <c r="Q126" i="20"/>
  <c r="N126" i="20"/>
  <c r="J126" i="20"/>
  <c r="H126" i="20"/>
  <c r="E126" i="20"/>
  <c r="Z125" i="20"/>
  <c r="Q125" i="20"/>
  <c r="N125" i="20"/>
  <c r="J125" i="20"/>
  <c r="H125" i="20"/>
  <c r="E125" i="20"/>
  <c r="Z124" i="20"/>
  <c r="Q124" i="20"/>
  <c r="N124" i="20"/>
  <c r="J124" i="20"/>
  <c r="H124" i="20"/>
  <c r="E124" i="20"/>
  <c r="Z123" i="20"/>
  <c r="Q123" i="20"/>
  <c r="N123" i="20"/>
  <c r="J123" i="20"/>
  <c r="H123" i="20"/>
  <c r="E123" i="20"/>
  <c r="Z122" i="20"/>
  <c r="Q122" i="20"/>
  <c r="N122" i="20"/>
  <c r="J122" i="20"/>
  <c r="H122" i="20"/>
  <c r="E122" i="20"/>
  <c r="Z121" i="20"/>
  <c r="Q121" i="20"/>
  <c r="N121" i="20"/>
  <c r="J121" i="20"/>
  <c r="H121" i="20"/>
  <c r="E121" i="20"/>
  <c r="Z120" i="20"/>
  <c r="Q120" i="20"/>
  <c r="N120" i="20"/>
  <c r="J120" i="20"/>
  <c r="H120" i="20"/>
  <c r="E120" i="20"/>
  <c r="Z119" i="20"/>
  <c r="Q119" i="20"/>
  <c r="N119" i="20"/>
  <c r="J119" i="20"/>
  <c r="H119" i="20"/>
  <c r="E119" i="20"/>
  <c r="Z118" i="20"/>
  <c r="Q118" i="20"/>
  <c r="N118" i="20"/>
  <c r="J118" i="20"/>
  <c r="H118" i="20"/>
  <c r="E118" i="20"/>
  <c r="Z117" i="20"/>
  <c r="Q117" i="20"/>
  <c r="N117" i="20"/>
  <c r="J117" i="20"/>
  <c r="H117" i="20"/>
  <c r="E117" i="20"/>
  <c r="Z116" i="20"/>
  <c r="Q116" i="20"/>
  <c r="N116" i="20"/>
  <c r="J116" i="20"/>
  <c r="H116" i="20"/>
  <c r="E116" i="20"/>
  <c r="Z115" i="20"/>
  <c r="Q115" i="20"/>
  <c r="N115" i="20"/>
  <c r="J115" i="20"/>
  <c r="H115" i="20"/>
  <c r="E115" i="20"/>
  <c r="Z114" i="20"/>
  <c r="Q114" i="20"/>
  <c r="N114" i="20"/>
  <c r="J114" i="20"/>
  <c r="H114" i="20"/>
  <c r="E114" i="20"/>
  <c r="Z113" i="20"/>
  <c r="Q113" i="20"/>
  <c r="N113" i="20"/>
  <c r="J113" i="20"/>
  <c r="H113" i="20"/>
  <c r="E113" i="20"/>
  <c r="Z112" i="20"/>
  <c r="Q112" i="20"/>
  <c r="N112" i="20"/>
  <c r="J112" i="20"/>
  <c r="H112" i="20"/>
  <c r="E112" i="20"/>
  <c r="Z111" i="20"/>
  <c r="Q111" i="20"/>
  <c r="N111" i="20"/>
  <c r="J111" i="20"/>
  <c r="H111" i="20"/>
  <c r="E111" i="20"/>
  <c r="Z110" i="20"/>
  <c r="Q110" i="20"/>
  <c r="N110" i="20"/>
  <c r="J110" i="20"/>
  <c r="H110" i="20"/>
  <c r="E110" i="20"/>
  <c r="Z109" i="20"/>
  <c r="Q109" i="20"/>
  <c r="N109" i="20"/>
  <c r="J109" i="20"/>
  <c r="H109" i="20"/>
  <c r="E109" i="20"/>
  <c r="Z108" i="20"/>
  <c r="Q108" i="20"/>
  <c r="N108" i="20"/>
  <c r="J108" i="20"/>
  <c r="H108" i="20"/>
  <c r="E108" i="20"/>
  <c r="Z107" i="20"/>
  <c r="Q107" i="20"/>
  <c r="N107" i="20"/>
  <c r="J107" i="20"/>
  <c r="H107" i="20"/>
  <c r="E107" i="20"/>
  <c r="Z106" i="20"/>
  <c r="Q106" i="20"/>
  <c r="N106" i="20"/>
  <c r="J106" i="20"/>
  <c r="H106" i="20"/>
  <c r="E106" i="20"/>
  <c r="Z105" i="20"/>
  <c r="Q105" i="20"/>
  <c r="N105" i="20"/>
  <c r="J105" i="20"/>
  <c r="H105" i="20"/>
  <c r="E105" i="20"/>
  <c r="Z104" i="20"/>
  <c r="Q104" i="20"/>
  <c r="N104" i="20"/>
  <c r="J104" i="20"/>
  <c r="H104" i="20"/>
  <c r="E104" i="20"/>
  <c r="Z103" i="20"/>
  <c r="Q103" i="20"/>
  <c r="N103" i="20"/>
  <c r="J103" i="20"/>
  <c r="H103" i="20"/>
  <c r="E103" i="20"/>
  <c r="Z102" i="20"/>
  <c r="Q102" i="20"/>
  <c r="N102" i="20"/>
  <c r="J102" i="20"/>
  <c r="H102" i="20"/>
  <c r="E102" i="20"/>
  <c r="Z101" i="20"/>
  <c r="Q101" i="20"/>
  <c r="N101" i="20"/>
  <c r="J101" i="20"/>
  <c r="H101" i="20"/>
  <c r="E101" i="20"/>
  <c r="Z100" i="20"/>
  <c r="Q100" i="20"/>
  <c r="N100" i="20"/>
  <c r="J100" i="20"/>
  <c r="H100" i="20"/>
  <c r="E100" i="20"/>
  <c r="Z99" i="20"/>
  <c r="Q99" i="20"/>
  <c r="N99" i="20"/>
  <c r="J99" i="20"/>
  <c r="H99" i="20"/>
  <c r="E99" i="20"/>
  <c r="Z98" i="20"/>
  <c r="Q98" i="20"/>
  <c r="N98" i="20"/>
  <c r="J98" i="20"/>
  <c r="H98" i="20"/>
  <c r="E98" i="20"/>
  <c r="Z97" i="20"/>
  <c r="Q97" i="20"/>
  <c r="N97" i="20"/>
  <c r="J97" i="20"/>
  <c r="H97" i="20"/>
  <c r="E97" i="20"/>
  <c r="Z96" i="20"/>
  <c r="Q96" i="20"/>
  <c r="N96" i="20"/>
  <c r="J96" i="20"/>
  <c r="H96" i="20"/>
  <c r="E96" i="20"/>
  <c r="Z95" i="20"/>
  <c r="Q95" i="20"/>
  <c r="N95" i="20"/>
  <c r="J95" i="20"/>
  <c r="H95" i="20"/>
  <c r="E95" i="20"/>
  <c r="Z94" i="20"/>
  <c r="Q94" i="20"/>
  <c r="N94" i="20"/>
  <c r="J94" i="20"/>
  <c r="H94" i="20"/>
  <c r="E94" i="20"/>
  <c r="Z93" i="20"/>
  <c r="Q93" i="20"/>
  <c r="N93" i="20"/>
  <c r="J93" i="20"/>
  <c r="H93" i="20"/>
  <c r="E93" i="20"/>
  <c r="Z92" i="20"/>
  <c r="Q92" i="20"/>
  <c r="N92" i="20"/>
  <c r="J92" i="20"/>
  <c r="H92" i="20"/>
  <c r="E92" i="20"/>
  <c r="Z91" i="20"/>
  <c r="Q91" i="20"/>
  <c r="N91" i="20"/>
  <c r="J91" i="20"/>
  <c r="H91" i="20"/>
  <c r="E91" i="20"/>
  <c r="Z90" i="20"/>
  <c r="Q90" i="20"/>
  <c r="N90" i="20"/>
  <c r="J90" i="20"/>
  <c r="H90" i="20"/>
  <c r="E90" i="20"/>
  <c r="Z89" i="20"/>
  <c r="Q89" i="20"/>
  <c r="N89" i="20"/>
  <c r="J89" i="20"/>
  <c r="H89" i="20"/>
  <c r="E89" i="20"/>
  <c r="Z88" i="20"/>
  <c r="Q88" i="20"/>
  <c r="N88" i="20"/>
  <c r="J88" i="20"/>
  <c r="H88" i="20"/>
  <c r="E88" i="20"/>
  <c r="Z87" i="20"/>
  <c r="Q87" i="20"/>
  <c r="N87" i="20"/>
  <c r="J87" i="20"/>
  <c r="H87" i="20"/>
  <c r="E87" i="20"/>
  <c r="Z86" i="20"/>
  <c r="Q86" i="20"/>
  <c r="N86" i="20"/>
  <c r="J86" i="20"/>
  <c r="H86" i="20"/>
  <c r="E86" i="20"/>
  <c r="Z85" i="20"/>
  <c r="Q85" i="20"/>
  <c r="N85" i="20"/>
  <c r="J85" i="20"/>
  <c r="H85" i="20"/>
  <c r="E85" i="20"/>
  <c r="Z84" i="20"/>
  <c r="Q84" i="20"/>
  <c r="N84" i="20"/>
  <c r="J84" i="20"/>
  <c r="H84" i="20"/>
  <c r="E84" i="20"/>
  <c r="Z83" i="20"/>
  <c r="Q83" i="20"/>
  <c r="N83" i="20"/>
  <c r="J83" i="20"/>
  <c r="H83" i="20"/>
  <c r="E83" i="20"/>
  <c r="Z82" i="20"/>
  <c r="Q82" i="20"/>
  <c r="N82" i="20"/>
  <c r="J82" i="20"/>
  <c r="H82" i="20"/>
  <c r="E82" i="20"/>
  <c r="Z81" i="20"/>
  <c r="Q81" i="20"/>
  <c r="N81" i="20"/>
  <c r="J81" i="20"/>
  <c r="H81" i="20"/>
  <c r="E81" i="20"/>
  <c r="Z80" i="20"/>
  <c r="Q80" i="20"/>
  <c r="N80" i="20"/>
  <c r="J80" i="20"/>
  <c r="H80" i="20"/>
  <c r="E80" i="20"/>
  <c r="Z79" i="20"/>
  <c r="Q79" i="20"/>
  <c r="N79" i="20"/>
  <c r="J79" i="20"/>
  <c r="H79" i="20"/>
  <c r="E79" i="20"/>
  <c r="Z78" i="20"/>
  <c r="Q78" i="20"/>
  <c r="N78" i="20"/>
  <c r="J78" i="20"/>
  <c r="H78" i="20"/>
  <c r="E78" i="20"/>
  <c r="Z77" i="20"/>
  <c r="Q77" i="20"/>
  <c r="N77" i="20"/>
  <c r="J77" i="20"/>
  <c r="H77" i="20"/>
  <c r="E77" i="20"/>
  <c r="Z76" i="20"/>
  <c r="Q76" i="20"/>
  <c r="N76" i="20"/>
  <c r="J76" i="20"/>
  <c r="H76" i="20"/>
  <c r="E76" i="20"/>
  <c r="Z75" i="20"/>
  <c r="Q75" i="20"/>
  <c r="N75" i="20"/>
  <c r="J75" i="20"/>
  <c r="H75" i="20"/>
  <c r="E75" i="20"/>
  <c r="Z74" i="20"/>
  <c r="Q74" i="20"/>
  <c r="N74" i="20"/>
  <c r="J74" i="20"/>
  <c r="H74" i="20"/>
  <c r="E74" i="20"/>
  <c r="Z73" i="20"/>
  <c r="Q73" i="20"/>
  <c r="N73" i="20"/>
  <c r="J73" i="20"/>
  <c r="H73" i="20"/>
  <c r="E73" i="20"/>
  <c r="Z72" i="20"/>
  <c r="Q72" i="20"/>
  <c r="N72" i="20"/>
  <c r="J72" i="20"/>
  <c r="H72" i="20"/>
  <c r="E72" i="20"/>
  <c r="Z71" i="20"/>
  <c r="Q71" i="20"/>
  <c r="N71" i="20"/>
  <c r="J71" i="20"/>
  <c r="H71" i="20"/>
  <c r="E71" i="20"/>
  <c r="Z70" i="20"/>
  <c r="Q70" i="20"/>
  <c r="N70" i="20"/>
  <c r="J70" i="20"/>
  <c r="H70" i="20"/>
  <c r="E70" i="20"/>
  <c r="Z69" i="20"/>
  <c r="Q69" i="20"/>
  <c r="N69" i="20"/>
  <c r="J69" i="20"/>
  <c r="H69" i="20"/>
  <c r="E69" i="20"/>
  <c r="Z68" i="20"/>
  <c r="Q68" i="20"/>
  <c r="N68" i="20"/>
  <c r="J68" i="20"/>
  <c r="H68" i="20"/>
  <c r="E68" i="20"/>
  <c r="Z67" i="20"/>
  <c r="Q67" i="20"/>
  <c r="N67" i="20"/>
  <c r="J67" i="20"/>
  <c r="H67" i="20"/>
  <c r="E67" i="20"/>
  <c r="Z66" i="20"/>
  <c r="Q66" i="20"/>
  <c r="N66" i="20"/>
  <c r="J66" i="20"/>
  <c r="H66" i="20"/>
  <c r="E66" i="20"/>
  <c r="Z65" i="20"/>
  <c r="Q65" i="20"/>
  <c r="N65" i="20"/>
  <c r="J65" i="20"/>
  <c r="H65" i="20"/>
  <c r="E65" i="20"/>
  <c r="Z64" i="20"/>
  <c r="Q64" i="20"/>
  <c r="N64" i="20"/>
  <c r="J64" i="20"/>
  <c r="H64" i="20"/>
  <c r="E64" i="20"/>
  <c r="Z63" i="20"/>
  <c r="Q63" i="20"/>
  <c r="N63" i="20"/>
  <c r="J63" i="20"/>
  <c r="H63" i="20"/>
  <c r="E63" i="20"/>
  <c r="Z62" i="20"/>
  <c r="Q62" i="20"/>
  <c r="N62" i="20"/>
  <c r="J62" i="20"/>
  <c r="H62" i="20"/>
  <c r="E62" i="20"/>
  <c r="Z61" i="20"/>
  <c r="Q61" i="20"/>
  <c r="N61" i="20"/>
  <c r="J61" i="20"/>
  <c r="H61" i="20"/>
  <c r="E61" i="20"/>
  <c r="Z60" i="20"/>
  <c r="Q60" i="20"/>
  <c r="N60" i="20"/>
  <c r="J60" i="20"/>
  <c r="H60" i="20"/>
  <c r="E60" i="20"/>
  <c r="Z59" i="20"/>
  <c r="Q59" i="20"/>
  <c r="N59" i="20"/>
  <c r="J59" i="20"/>
  <c r="H59" i="20"/>
  <c r="E59" i="20"/>
  <c r="Z58" i="20"/>
  <c r="Q58" i="20"/>
  <c r="N58" i="20"/>
  <c r="J58" i="20"/>
  <c r="H58" i="20"/>
  <c r="E58" i="20"/>
  <c r="Z57" i="20"/>
  <c r="Q57" i="20"/>
  <c r="N57" i="20"/>
  <c r="J57" i="20"/>
  <c r="H57" i="20"/>
  <c r="E57" i="20"/>
  <c r="Z56" i="20"/>
  <c r="Q56" i="20"/>
  <c r="N56" i="20"/>
  <c r="J56" i="20"/>
  <c r="H56" i="20"/>
  <c r="E56" i="20"/>
  <c r="Z55" i="20"/>
  <c r="Q55" i="20"/>
  <c r="N55" i="20"/>
  <c r="J55" i="20"/>
  <c r="H55" i="20"/>
  <c r="E55" i="20"/>
  <c r="Z54" i="20"/>
  <c r="Q54" i="20"/>
  <c r="N54" i="20"/>
  <c r="J54" i="20"/>
  <c r="H54" i="20"/>
  <c r="E54" i="20"/>
  <c r="Z53" i="20"/>
  <c r="Q53" i="20"/>
  <c r="N53" i="20"/>
  <c r="J53" i="20"/>
  <c r="H53" i="20"/>
  <c r="E53" i="20"/>
  <c r="Z52" i="20"/>
  <c r="Q52" i="20"/>
  <c r="N52" i="20"/>
  <c r="J52" i="20"/>
  <c r="H52" i="20"/>
  <c r="E52" i="20"/>
  <c r="Z51" i="20"/>
  <c r="Q51" i="20"/>
  <c r="N51" i="20"/>
  <c r="J51" i="20"/>
  <c r="H51" i="20"/>
  <c r="E51" i="20"/>
  <c r="Z50" i="20"/>
  <c r="Q50" i="20"/>
  <c r="N50" i="20"/>
  <c r="J50" i="20"/>
  <c r="H50" i="20"/>
  <c r="E50" i="20"/>
  <c r="Z49" i="20"/>
  <c r="Z48" i="20"/>
  <c r="Q48" i="20"/>
  <c r="N48" i="20"/>
  <c r="J48" i="20"/>
  <c r="H48" i="20"/>
  <c r="E48" i="20"/>
  <c r="Z47" i="20"/>
  <c r="Q47" i="20"/>
  <c r="N47" i="20"/>
  <c r="J47" i="20"/>
  <c r="H47" i="20"/>
  <c r="E47" i="20"/>
  <c r="Z46" i="20"/>
  <c r="Q46" i="20"/>
  <c r="N46" i="20"/>
  <c r="J46" i="20"/>
  <c r="H46" i="20"/>
  <c r="E46" i="20"/>
  <c r="Z45" i="20"/>
  <c r="Q45" i="20"/>
  <c r="N45" i="20"/>
  <c r="J45" i="20"/>
  <c r="H45" i="20"/>
  <c r="E45" i="20"/>
  <c r="Z44" i="20"/>
  <c r="Q44" i="20"/>
  <c r="N44" i="20"/>
  <c r="J44" i="20"/>
  <c r="H44" i="20"/>
  <c r="E44" i="20"/>
  <c r="Z43" i="20"/>
  <c r="Q43" i="20"/>
  <c r="N43" i="20"/>
  <c r="J43" i="20"/>
  <c r="H43" i="20"/>
  <c r="E43" i="20"/>
  <c r="Z42" i="20"/>
  <c r="Q42" i="20"/>
  <c r="N42" i="20"/>
  <c r="J42" i="20"/>
  <c r="H42" i="20"/>
  <c r="E42" i="20"/>
  <c r="Z41" i="20"/>
  <c r="Q41" i="20"/>
  <c r="N41" i="20"/>
  <c r="J41" i="20"/>
  <c r="H41" i="20"/>
  <c r="E41" i="20"/>
  <c r="Z40" i="20"/>
  <c r="Q40" i="20"/>
  <c r="N40" i="20"/>
  <c r="J40" i="20"/>
  <c r="H40" i="20"/>
  <c r="E40" i="20"/>
  <c r="Z39" i="20"/>
  <c r="Q39" i="20"/>
  <c r="N39" i="20"/>
  <c r="J39" i="20"/>
  <c r="H39" i="20"/>
  <c r="E39" i="20"/>
  <c r="Z38" i="20"/>
  <c r="Q38" i="20"/>
  <c r="N38" i="20"/>
  <c r="J38" i="20"/>
  <c r="H38" i="20"/>
  <c r="E38" i="20"/>
  <c r="Z37" i="20"/>
  <c r="Q37" i="20"/>
  <c r="N37" i="20"/>
  <c r="J37" i="20"/>
  <c r="H37" i="20"/>
  <c r="E37" i="20"/>
  <c r="Z36" i="20"/>
  <c r="Q36" i="20"/>
  <c r="N36" i="20"/>
  <c r="J36" i="20"/>
  <c r="H36" i="20"/>
  <c r="E36" i="20"/>
  <c r="Z35" i="20"/>
  <c r="Q35" i="20"/>
  <c r="N35" i="20"/>
  <c r="J35" i="20"/>
  <c r="H35" i="20"/>
  <c r="E35" i="20"/>
  <c r="Z34" i="20"/>
  <c r="Q34" i="20"/>
  <c r="N34" i="20"/>
  <c r="J34" i="20"/>
  <c r="H34" i="20"/>
  <c r="E34" i="20"/>
  <c r="Z33" i="20"/>
  <c r="Q33" i="20"/>
  <c r="N33" i="20"/>
  <c r="J33" i="20"/>
  <c r="H33" i="20"/>
  <c r="E33" i="20"/>
  <c r="Z32" i="20"/>
  <c r="Q32" i="20"/>
  <c r="N32" i="20"/>
  <c r="J32" i="20"/>
  <c r="H32" i="20"/>
  <c r="E32" i="20"/>
  <c r="Z31" i="20"/>
  <c r="Q31" i="20"/>
  <c r="N31" i="20"/>
  <c r="J31" i="20"/>
  <c r="H31" i="20"/>
  <c r="E31" i="20"/>
  <c r="Z30" i="20"/>
  <c r="Q30" i="20"/>
  <c r="N30" i="20"/>
  <c r="J30" i="20"/>
  <c r="H30" i="20"/>
  <c r="E30" i="20"/>
  <c r="Z29" i="20"/>
  <c r="Q29" i="20"/>
  <c r="N29" i="20"/>
  <c r="J29" i="20"/>
  <c r="H29" i="20"/>
  <c r="E29" i="20"/>
  <c r="Z28" i="20"/>
  <c r="Q28" i="20"/>
  <c r="N28" i="20"/>
  <c r="J28" i="20"/>
  <c r="H28" i="20"/>
  <c r="E28" i="20"/>
  <c r="Z27" i="20"/>
  <c r="Q27" i="20"/>
  <c r="N27" i="20"/>
  <c r="J27" i="20"/>
  <c r="H27" i="20"/>
  <c r="E27" i="20"/>
  <c r="Z26" i="20"/>
  <c r="Q26" i="20"/>
  <c r="N26" i="20"/>
  <c r="J26" i="20"/>
  <c r="H26" i="20"/>
  <c r="E26" i="20"/>
  <c r="Z25" i="20"/>
  <c r="Q25" i="20"/>
  <c r="N25" i="20"/>
  <c r="J25" i="20"/>
  <c r="H25" i="20"/>
  <c r="E25" i="20"/>
  <c r="Z24" i="20"/>
  <c r="Q24" i="20"/>
  <c r="N24" i="20"/>
  <c r="J24" i="20"/>
  <c r="H24" i="20"/>
  <c r="E24" i="20"/>
  <c r="Z23" i="20"/>
  <c r="Q23" i="20"/>
  <c r="N23" i="20"/>
  <c r="J23" i="20"/>
  <c r="H23" i="20"/>
  <c r="E23" i="20"/>
  <c r="Z22" i="20"/>
  <c r="Q22" i="20"/>
  <c r="N22" i="20"/>
  <c r="J22" i="20"/>
  <c r="H22" i="20"/>
  <c r="E22" i="20"/>
  <c r="Z21" i="20"/>
  <c r="Q21" i="20"/>
  <c r="N21" i="20"/>
  <c r="J21" i="20"/>
  <c r="H21" i="20"/>
  <c r="E21" i="20"/>
  <c r="Z20" i="20"/>
  <c r="Q20" i="20"/>
  <c r="N20" i="20"/>
  <c r="J20" i="20"/>
  <c r="H20" i="20"/>
  <c r="E20" i="20"/>
  <c r="Z19" i="20"/>
  <c r="Q19" i="20"/>
  <c r="N19" i="20"/>
  <c r="J19" i="20"/>
  <c r="H19" i="20"/>
  <c r="E19" i="20"/>
  <c r="Z18" i="20"/>
  <c r="Q18" i="20"/>
  <c r="N18" i="20"/>
  <c r="J18" i="20"/>
  <c r="H18" i="20"/>
  <c r="E18" i="20"/>
  <c r="Z17" i="20"/>
  <c r="Q17" i="20"/>
  <c r="N17" i="20"/>
  <c r="J17" i="20"/>
  <c r="H17" i="20"/>
  <c r="E17" i="20"/>
  <c r="Z16" i="20"/>
  <c r="Q16" i="20"/>
  <c r="N16" i="20"/>
  <c r="J16" i="20"/>
  <c r="H16" i="20"/>
  <c r="E16" i="20"/>
  <c r="Z15" i="20"/>
  <c r="Q15" i="20"/>
  <c r="N15" i="20"/>
  <c r="J15" i="20"/>
  <c r="H15" i="20"/>
  <c r="E15" i="20"/>
  <c r="Z14" i="20"/>
  <c r="Q14" i="20"/>
  <c r="N14" i="20"/>
  <c r="J14" i="20"/>
  <c r="H14" i="20"/>
  <c r="E14" i="20"/>
  <c r="Z13" i="20"/>
  <c r="Q13" i="20"/>
  <c r="N13" i="20"/>
  <c r="J13" i="20"/>
  <c r="H13" i="20"/>
  <c r="E13" i="20"/>
  <c r="Z12" i="20"/>
  <c r="Q12" i="20"/>
  <c r="N12" i="20"/>
  <c r="J12" i="20"/>
  <c r="H12" i="20"/>
  <c r="E12" i="20"/>
  <c r="Z11" i="20"/>
  <c r="Q11" i="20"/>
  <c r="N11" i="20"/>
  <c r="J11" i="20"/>
  <c r="H11" i="20"/>
  <c r="E11" i="20"/>
  <c r="Z10" i="20"/>
  <c r="Q10" i="20"/>
  <c r="N10" i="20"/>
  <c r="J10" i="20"/>
  <c r="H10" i="20"/>
  <c r="E10" i="20"/>
  <c r="Z9" i="20"/>
  <c r="Q9" i="20"/>
  <c r="N9" i="20"/>
  <c r="J9" i="20"/>
  <c r="H9" i="20"/>
  <c r="E9" i="20"/>
  <c r="Z8" i="20"/>
  <c r="Q8" i="20"/>
  <c r="N8" i="20"/>
  <c r="J8" i="20"/>
  <c r="H8" i="20"/>
  <c r="E8" i="20"/>
  <c r="Z7" i="20"/>
  <c r="Q7" i="20"/>
  <c r="N7" i="20"/>
  <c r="J7" i="20"/>
  <c r="H7" i="20"/>
  <c r="E7" i="20"/>
  <c r="Z6" i="20"/>
  <c r="Q6" i="20"/>
  <c r="N6" i="20"/>
  <c r="J6" i="20"/>
  <c r="H6" i="20"/>
  <c r="E6" i="20"/>
  <c r="Z5" i="20"/>
  <c r="Q5" i="20"/>
  <c r="N5" i="20"/>
  <c r="J5" i="20"/>
  <c r="H5" i="20"/>
  <c r="E5" i="20"/>
  <c r="Z4" i="20"/>
  <c r="Q4" i="20"/>
  <c r="N4" i="20"/>
  <c r="J4" i="20"/>
  <c r="H4" i="20"/>
  <c r="E4" i="20"/>
  <c r="AD3" i="20"/>
  <c r="Z3" i="20"/>
  <c r="Q3" i="20"/>
  <c r="N3" i="20"/>
  <c r="J3" i="20"/>
  <c r="H3" i="20"/>
  <c r="E3" i="20"/>
  <c r="AF2" i="20"/>
  <c r="AE2" i="20"/>
  <c r="AD2" i="20"/>
  <c r="Q2" i="20"/>
  <c r="N2" i="20"/>
  <c r="J2" i="20"/>
  <c r="H2" i="20"/>
  <c r="E2" i="20"/>
  <c r="AH232" i="19"/>
  <c r="AG232" i="19"/>
  <c r="AF232" i="19"/>
  <c r="AH231" i="19"/>
  <c r="AG231" i="19"/>
  <c r="AF231" i="19"/>
  <c r="AH230" i="19"/>
  <c r="AG230" i="19"/>
  <c r="AF230" i="19"/>
  <c r="AH229" i="19"/>
  <c r="AG229" i="19"/>
  <c r="AF229" i="19"/>
  <c r="AH228" i="19"/>
  <c r="AG228" i="19"/>
  <c r="AF228" i="19"/>
  <c r="AH227" i="19"/>
  <c r="AG227" i="19"/>
  <c r="AF227" i="19"/>
  <c r="Y226" i="19"/>
  <c r="W226" i="19"/>
  <c r="U226" i="19"/>
  <c r="T226" i="19"/>
  <c r="S226" i="19"/>
  <c r="R226" i="19"/>
  <c r="Q226" i="19"/>
  <c r="P226" i="19"/>
  <c r="O226" i="19"/>
  <c r="N226" i="19"/>
  <c r="M226" i="19"/>
  <c r="L226" i="19"/>
  <c r="K226" i="19"/>
  <c r="AH225" i="19"/>
  <c r="AG225" i="19"/>
  <c r="AF225" i="19"/>
  <c r="V225" i="19"/>
  <c r="F225" i="19"/>
  <c r="D225" i="19"/>
  <c r="AH224" i="19"/>
  <c r="AG224" i="19"/>
  <c r="AF224" i="19"/>
  <c r="V224" i="19"/>
  <c r="F224" i="19"/>
  <c r="D224" i="19"/>
  <c r="AH223" i="19"/>
  <c r="AG223" i="19"/>
  <c r="AF223" i="19"/>
  <c r="V223" i="19"/>
  <c r="F223" i="19"/>
  <c r="D223" i="19"/>
  <c r="AH222" i="19"/>
  <c r="AG222" i="19"/>
  <c r="AF222" i="19"/>
  <c r="V222" i="19"/>
  <c r="F222" i="19"/>
  <c r="D222" i="19"/>
  <c r="AH221" i="19"/>
  <c r="AG221" i="19"/>
  <c r="AF221" i="19"/>
  <c r="V221" i="19"/>
  <c r="F221" i="19"/>
  <c r="D221" i="19"/>
  <c r="AH220" i="19"/>
  <c r="AG220" i="19"/>
  <c r="AF220" i="19"/>
  <c r="V220" i="19"/>
  <c r="F220" i="19"/>
  <c r="D220" i="19"/>
  <c r="AH219" i="19"/>
  <c r="AG219" i="19"/>
  <c r="AF219" i="19"/>
  <c r="V219" i="19"/>
  <c r="F219" i="19"/>
  <c r="D219" i="19"/>
  <c r="AH218" i="19"/>
  <c r="AG218" i="19"/>
  <c r="AF218" i="19"/>
  <c r="V218" i="19"/>
  <c r="F218" i="19"/>
  <c r="D218" i="19"/>
  <c r="AH217" i="19"/>
  <c r="AG217" i="19"/>
  <c r="AF217" i="19"/>
  <c r="V217" i="19"/>
  <c r="F217" i="19"/>
  <c r="D217" i="19"/>
  <c r="AH216" i="19"/>
  <c r="AG216" i="19"/>
  <c r="AF216" i="19"/>
  <c r="V216" i="19"/>
  <c r="F216" i="19"/>
  <c r="D216" i="19"/>
  <c r="AH215" i="19"/>
  <c r="AG215" i="19"/>
  <c r="AF215" i="19"/>
  <c r="V215" i="19"/>
  <c r="F215" i="19"/>
  <c r="D215" i="19"/>
  <c r="AH214" i="19"/>
  <c r="AG214" i="19"/>
  <c r="AF214" i="19"/>
  <c r="V214" i="19"/>
  <c r="F214" i="19"/>
  <c r="D214" i="19"/>
  <c r="AH213" i="19"/>
  <c r="AG213" i="19"/>
  <c r="AF213" i="19"/>
  <c r="V213" i="19"/>
  <c r="F213" i="19"/>
  <c r="D213" i="19"/>
  <c r="AH212" i="19"/>
  <c r="AG212" i="19"/>
  <c r="AF212" i="19"/>
  <c r="V212" i="19"/>
  <c r="F212" i="19"/>
  <c r="D212" i="19"/>
  <c r="AH211" i="19"/>
  <c r="AG211" i="19"/>
  <c r="AF211" i="19"/>
  <c r="V211" i="19"/>
  <c r="F211" i="19"/>
  <c r="D211" i="19"/>
  <c r="AH210" i="19"/>
  <c r="AG210" i="19"/>
  <c r="AF210" i="19"/>
  <c r="V210" i="19"/>
  <c r="F210" i="19"/>
  <c r="D210" i="19"/>
  <c r="AH209" i="19"/>
  <c r="AG209" i="19"/>
  <c r="AF209" i="19"/>
  <c r="V209" i="19"/>
  <c r="F209" i="19"/>
  <c r="D209" i="19"/>
  <c r="AH208" i="19"/>
  <c r="AG208" i="19"/>
  <c r="AF208" i="19"/>
  <c r="V208" i="19"/>
  <c r="F208" i="19"/>
  <c r="D208" i="19"/>
  <c r="AH207" i="19"/>
  <c r="AG207" i="19"/>
  <c r="AF207" i="19"/>
  <c r="F207" i="19"/>
  <c r="D207" i="19"/>
  <c r="AH206" i="19"/>
  <c r="AG206" i="19"/>
  <c r="AF206" i="19"/>
  <c r="V206" i="19"/>
  <c r="F206" i="19"/>
  <c r="D206" i="19"/>
  <c r="AH205" i="19"/>
  <c r="AG205" i="19"/>
  <c r="AF205" i="19"/>
  <c r="V205" i="19"/>
  <c r="F205" i="19"/>
  <c r="D205" i="19"/>
  <c r="AH204" i="19"/>
  <c r="AG204" i="19"/>
  <c r="AF204" i="19"/>
  <c r="V204" i="19"/>
  <c r="F204" i="19"/>
  <c r="D204" i="19"/>
  <c r="AH203" i="19"/>
  <c r="AG203" i="19"/>
  <c r="AF203" i="19"/>
  <c r="V203" i="19"/>
  <c r="F203" i="19"/>
  <c r="D203" i="19"/>
  <c r="AH202" i="19"/>
  <c r="AG202" i="19"/>
  <c r="AF202" i="19"/>
  <c r="V202" i="19"/>
  <c r="F202" i="19"/>
  <c r="D202" i="19"/>
  <c r="AH201" i="19"/>
  <c r="AG201" i="19"/>
  <c r="AF201" i="19"/>
  <c r="V201" i="19"/>
  <c r="F201" i="19"/>
  <c r="D201" i="19"/>
  <c r="AH200" i="19"/>
  <c r="AG200" i="19"/>
  <c r="AF200" i="19"/>
  <c r="V200" i="19"/>
  <c r="F200" i="19"/>
  <c r="D200" i="19"/>
  <c r="AH199" i="19"/>
  <c r="AG199" i="19"/>
  <c r="AF199" i="19"/>
  <c r="V199" i="19"/>
  <c r="F199" i="19"/>
  <c r="D199" i="19"/>
  <c r="AH198" i="19"/>
  <c r="AG198" i="19"/>
  <c r="AF198" i="19"/>
  <c r="V198" i="19"/>
  <c r="F198" i="19"/>
  <c r="D198" i="19"/>
  <c r="AH197" i="19"/>
  <c r="AG197" i="19"/>
  <c r="AF197" i="19"/>
  <c r="V197" i="19"/>
  <c r="F197" i="19"/>
  <c r="D197" i="19"/>
  <c r="AH196" i="19"/>
  <c r="AG196" i="19"/>
  <c r="AF196" i="19"/>
  <c r="V196" i="19"/>
  <c r="F196" i="19"/>
  <c r="D196" i="19"/>
  <c r="AH195" i="19"/>
  <c r="AG195" i="19"/>
  <c r="AF195" i="19"/>
  <c r="V195" i="19"/>
  <c r="F195" i="19"/>
  <c r="D195" i="19"/>
  <c r="AH194" i="19"/>
  <c r="AG194" i="19"/>
  <c r="AF194" i="19"/>
  <c r="V194" i="19"/>
  <c r="F194" i="19"/>
  <c r="D194" i="19"/>
  <c r="AH193" i="19"/>
  <c r="AG193" i="19"/>
  <c r="AF193" i="19"/>
  <c r="Z193" i="19"/>
  <c r="V193" i="19"/>
  <c r="F193" i="19"/>
  <c r="D193" i="19"/>
  <c r="AH192" i="19"/>
  <c r="AG192" i="19"/>
  <c r="AF192" i="19"/>
  <c r="Z192" i="19"/>
  <c r="V192" i="19"/>
  <c r="F192" i="19"/>
  <c r="D192" i="19"/>
  <c r="AH191" i="19"/>
  <c r="AG191" i="19"/>
  <c r="AF191" i="19"/>
  <c r="V191" i="19"/>
  <c r="F191" i="19"/>
  <c r="D191" i="19"/>
  <c r="AH190" i="19"/>
  <c r="AG190" i="19"/>
  <c r="AF190" i="19"/>
  <c r="V190" i="19"/>
  <c r="F190" i="19"/>
  <c r="D190" i="19"/>
  <c r="AH189" i="19"/>
  <c r="AG189" i="19"/>
  <c r="AF189" i="19"/>
  <c r="V189" i="19"/>
  <c r="F189" i="19"/>
  <c r="D189" i="19"/>
  <c r="AH188" i="19"/>
  <c r="AG188" i="19"/>
  <c r="AF188" i="19"/>
  <c r="V188" i="19"/>
  <c r="F188" i="19"/>
  <c r="D188" i="19"/>
  <c r="AH187" i="19"/>
  <c r="AG187" i="19"/>
  <c r="AF187" i="19"/>
  <c r="V187" i="19"/>
  <c r="F187" i="19"/>
  <c r="D187" i="19"/>
  <c r="AH186" i="19"/>
  <c r="AG186" i="19"/>
  <c r="AF186" i="19"/>
  <c r="V186" i="19"/>
  <c r="F186" i="19"/>
  <c r="D186" i="19"/>
  <c r="AH185" i="19"/>
  <c r="AG185" i="19"/>
  <c r="AF185" i="19"/>
  <c r="V185" i="19"/>
  <c r="F185" i="19"/>
  <c r="D185" i="19"/>
  <c r="AH184" i="19"/>
  <c r="AG184" i="19"/>
  <c r="AF184" i="19"/>
  <c r="V184" i="19"/>
  <c r="F184" i="19"/>
  <c r="D184" i="19"/>
  <c r="AH183" i="19"/>
  <c r="AG183" i="19"/>
  <c r="AF183" i="19"/>
  <c r="V183" i="19"/>
  <c r="F183" i="19"/>
  <c r="D183" i="19"/>
  <c r="AH182" i="19"/>
  <c r="AG182" i="19"/>
  <c r="AF182" i="19"/>
  <c r="V182" i="19"/>
  <c r="F182" i="19"/>
  <c r="D182" i="19"/>
  <c r="AH181" i="19"/>
  <c r="AG181" i="19"/>
  <c r="AF181" i="19"/>
  <c r="V181" i="19"/>
  <c r="F181" i="19"/>
  <c r="D181" i="19"/>
  <c r="AH180" i="19"/>
  <c r="AG180" i="19"/>
  <c r="AF180" i="19"/>
  <c r="V180" i="19"/>
  <c r="F180" i="19"/>
  <c r="D180" i="19"/>
  <c r="AH179" i="19"/>
  <c r="AG179" i="19"/>
  <c r="AF179" i="19"/>
  <c r="V179" i="19"/>
  <c r="F179" i="19"/>
  <c r="D179" i="19"/>
  <c r="AH178" i="19"/>
  <c r="AG178" i="19"/>
  <c r="AF178" i="19"/>
  <c r="V178" i="19"/>
  <c r="F178" i="19"/>
  <c r="D178" i="19"/>
  <c r="AH177" i="19"/>
  <c r="AG177" i="19"/>
  <c r="AF177" i="19"/>
  <c r="F177" i="19"/>
  <c r="D177" i="19"/>
  <c r="AH176" i="19"/>
  <c r="AG176" i="19"/>
  <c r="AF176" i="19"/>
  <c r="V176" i="19"/>
  <c r="F176" i="19"/>
  <c r="D176" i="19"/>
  <c r="AH175" i="19"/>
  <c r="AG175" i="19"/>
  <c r="AF175" i="19"/>
  <c r="V175" i="19"/>
  <c r="F175" i="19"/>
  <c r="D175" i="19"/>
  <c r="AH174" i="19"/>
  <c r="AG174" i="19"/>
  <c r="AF174" i="19"/>
  <c r="V174" i="19"/>
  <c r="F174" i="19"/>
  <c r="D174" i="19"/>
  <c r="AH173" i="19"/>
  <c r="AG173" i="19"/>
  <c r="AF173" i="19"/>
  <c r="V173" i="19"/>
  <c r="F173" i="19"/>
  <c r="D173" i="19"/>
  <c r="AH172" i="19"/>
  <c r="AG172" i="19"/>
  <c r="AF172" i="19"/>
  <c r="V172" i="19"/>
  <c r="F172" i="19"/>
  <c r="D172" i="19"/>
  <c r="AH171" i="19"/>
  <c r="AG171" i="19"/>
  <c r="AF171" i="19"/>
  <c r="X171" i="19"/>
  <c r="V171" i="19"/>
  <c r="F171" i="19"/>
  <c r="D171" i="19"/>
  <c r="AH170" i="19"/>
  <c r="AG170" i="19"/>
  <c r="AF170" i="19"/>
  <c r="V170" i="19"/>
  <c r="F170" i="19"/>
  <c r="D170" i="19"/>
  <c r="AH169" i="19"/>
  <c r="AG169" i="19"/>
  <c r="AF169" i="19"/>
  <c r="V169" i="19"/>
  <c r="F169" i="19"/>
  <c r="D169" i="19"/>
  <c r="AH168" i="19"/>
  <c r="AG168" i="19"/>
  <c r="AF168" i="19"/>
  <c r="V168" i="19"/>
  <c r="F168" i="19"/>
  <c r="D168" i="19"/>
  <c r="AH167" i="19"/>
  <c r="AG167" i="19"/>
  <c r="AF167" i="19"/>
  <c r="V167" i="19"/>
  <c r="F167" i="19"/>
  <c r="D167" i="19"/>
  <c r="AH166" i="19"/>
  <c r="AG166" i="19"/>
  <c r="AF166" i="19"/>
  <c r="F166" i="19"/>
  <c r="D166" i="19"/>
  <c r="AH165" i="19"/>
  <c r="AG165" i="19"/>
  <c r="AF165" i="19"/>
  <c r="Z165" i="19"/>
  <c r="V165" i="19"/>
  <c r="F165" i="19"/>
  <c r="D165" i="19"/>
  <c r="AH164" i="19"/>
  <c r="AG164" i="19"/>
  <c r="AF164" i="19"/>
  <c r="V164" i="19"/>
  <c r="F164" i="19"/>
  <c r="D164" i="19"/>
  <c r="AH163" i="19"/>
  <c r="AG163" i="19"/>
  <c r="AF163" i="19"/>
  <c r="V163" i="19"/>
  <c r="F163" i="19"/>
  <c r="D163" i="19"/>
  <c r="AH162" i="19"/>
  <c r="AG162" i="19"/>
  <c r="AF162" i="19"/>
  <c r="V162" i="19"/>
  <c r="F162" i="19"/>
  <c r="D162" i="19"/>
  <c r="AH161" i="19"/>
  <c r="AG161" i="19"/>
  <c r="AF161" i="19"/>
  <c r="V161" i="19"/>
  <c r="F161" i="19"/>
  <c r="D161" i="19"/>
  <c r="AH160" i="19"/>
  <c r="AG160" i="19"/>
  <c r="AF160" i="19"/>
  <c r="V160" i="19"/>
  <c r="F160" i="19"/>
  <c r="D160" i="19"/>
  <c r="AH159" i="19"/>
  <c r="AG159" i="19"/>
  <c r="AF159" i="19"/>
  <c r="V159" i="19"/>
  <c r="F159" i="19"/>
  <c r="D159" i="19"/>
  <c r="AH158" i="19"/>
  <c r="AG158" i="19"/>
  <c r="AF158" i="19"/>
  <c r="V158" i="19"/>
  <c r="F158" i="19"/>
  <c r="D158" i="19"/>
  <c r="AH157" i="19"/>
  <c r="AG157" i="19"/>
  <c r="AF157" i="19"/>
  <c r="V157" i="19"/>
  <c r="F157" i="19"/>
  <c r="D157" i="19"/>
  <c r="AH156" i="19"/>
  <c r="AG156" i="19"/>
  <c r="AF156" i="19"/>
  <c r="V156" i="19"/>
  <c r="F156" i="19"/>
  <c r="D156" i="19"/>
  <c r="AH155" i="19"/>
  <c r="AG155" i="19"/>
  <c r="AF155" i="19"/>
  <c r="V155" i="19"/>
  <c r="F155" i="19"/>
  <c r="D155" i="19"/>
  <c r="AH154" i="19"/>
  <c r="AG154" i="19"/>
  <c r="AF154" i="19"/>
  <c r="V154" i="19"/>
  <c r="F154" i="19"/>
  <c r="D154" i="19"/>
  <c r="AH153" i="19"/>
  <c r="AG153" i="19"/>
  <c r="AF153" i="19"/>
  <c r="V153" i="19"/>
  <c r="F153" i="19"/>
  <c r="D153" i="19"/>
  <c r="AH152" i="19"/>
  <c r="AG152" i="19"/>
  <c r="AF152" i="19"/>
  <c r="V152" i="19"/>
  <c r="F152" i="19"/>
  <c r="D152" i="19"/>
  <c r="AH151" i="19"/>
  <c r="AG151" i="19"/>
  <c r="AF151" i="19"/>
  <c r="V151" i="19"/>
  <c r="F151" i="19"/>
  <c r="D151" i="19"/>
  <c r="AH150" i="19"/>
  <c r="AG150" i="19"/>
  <c r="AF150" i="19"/>
  <c r="V150" i="19"/>
  <c r="F150" i="19"/>
  <c r="D150" i="19"/>
  <c r="AH149" i="19"/>
  <c r="AG149" i="19"/>
  <c r="AF149" i="19"/>
  <c r="V149" i="19"/>
  <c r="F149" i="19"/>
  <c r="D149" i="19"/>
  <c r="AH148" i="19"/>
  <c r="AG148" i="19"/>
  <c r="AF148" i="19"/>
  <c r="V148" i="19"/>
  <c r="F148" i="19"/>
  <c r="D148" i="19"/>
  <c r="AH147" i="19"/>
  <c r="AG147" i="19"/>
  <c r="AF147" i="19"/>
  <c r="V147" i="19"/>
  <c r="F147" i="19"/>
  <c r="D147" i="19"/>
  <c r="AH146" i="19"/>
  <c r="AG146" i="19"/>
  <c r="AF146" i="19"/>
  <c r="V146" i="19"/>
  <c r="F146" i="19"/>
  <c r="D146" i="19"/>
  <c r="AH145" i="19"/>
  <c r="AG145" i="19"/>
  <c r="AF145" i="19"/>
  <c r="V145" i="19"/>
  <c r="F145" i="19"/>
  <c r="D145" i="19"/>
  <c r="AH144" i="19"/>
  <c r="AG144" i="19"/>
  <c r="AF144" i="19"/>
  <c r="V144" i="19"/>
  <c r="F144" i="19"/>
  <c r="D144" i="19"/>
  <c r="AH143" i="19"/>
  <c r="AG143" i="19"/>
  <c r="AF143" i="19"/>
  <c r="V143" i="19"/>
  <c r="F143" i="19"/>
  <c r="D143" i="19"/>
  <c r="AH142" i="19"/>
  <c r="AG142" i="19"/>
  <c r="AF142" i="19"/>
  <c r="V142" i="19"/>
  <c r="F142" i="19"/>
  <c r="D142" i="19"/>
  <c r="AH141" i="19"/>
  <c r="AG141" i="19"/>
  <c r="AF141" i="19"/>
  <c r="V141" i="19"/>
  <c r="F141" i="19"/>
  <c r="D141" i="19"/>
  <c r="AH140" i="19"/>
  <c r="AG140" i="19"/>
  <c r="AF140" i="19"/>
  <c r="V140" i="19"/>
  <c r="F140" i="19"/>
  <c r="D140" i="19"/>
  <c r="AH139" i="19"/>
  <c r="AG139" i="19"/>
  <c r="AF139" i="19"/>
  <c r="V139" i="19"/>
  <c r="F139" i="19"/>
  <c r="D139" i="19"/>
  <c r="AH138" i="19"/>
  <c r="AG138" i="19"/>
  <c r="AF138" i="19"/>
  <c r="V138" i="19"/>
  <c r="F138" i="19"/>
  <c r="D138" i="19"/>
  <c r="AH137" i="19"/>
  <c r="AG137" i="19"/>
  <c r="AF137" i="19"/>
  <c r="V137" i="19"/>
  <c r="F137" i="19"/>
  <c r="D137" i="19"/>
  <c r="AH136" i="19"/>
  <c r="AG136" i="19"/>
  <c r="AF136" i="19"/>
  <c r="V136" i="19"/>
  <c r="F136" i="19"/>
  <c r="D136" i="19"/>
  <c r="AH135" i="19"/>
  <c r="AG135" i="19"/>
  <c r="AF135" i="19"/>
  <c r="V135" i="19"/>
  <c r="F135" i="19"/>
  <c r="D135" i="19"/>
  <c r="AH134" i="19"/>
  <c r="AG134" i="19"/>
  <c r="AF134" i="19"/>
  <c r="V134" i="19"/>
  <c r="F134" i="19"/>
  <c r="D134" i="19"/>
  <c r="AH133" i="19"/>
  <c r="AG133" i="19"/>
  <c r="AF133" i="19"/>
  <c r="V133" i="19"/>
  <c r="F133" i="19"/>
  <c r="D133" i="19"/>
  <c r="AH132" i="19"/>
  <c r="AG132" i="19"/>
  <c r="AF132" i="19"/>
  <c r="V132" i="19"/>
  <c r="F132" i="19"/>
  <c r="D132" i="19"/>
  <c r="AH131" i="19"/>
  <c r="AG131" i="19"/>
  <c r="AF131" i="19"/>
  <c r="V131" i="19"/>
  <c r="F131" i="19"/>
  <c r="D131" i="19"/>
  <c r="AH130" i="19"/>
  <c r="AG130" i="19"/>
  <c r="AF130" i="19"/>
  <c r="V130" i="19"/>
  <c r="F130" i="19"/>
  <c r="D130" i="19"/>
  <c r="AH129" i="19"/>
  <c r="AG129" i="19"/>
  <c r="AF129" i="19"/>
  <c r="V129" i="19"/>
  <c r="F129" i="19"/>
  <c r="D129" i="19"/>
  <c r="AH128" i="19"/>
  <c r="AG128" i="19"/>
  <c r="AF128" i="19"/>
  <c r="V128" i="19"/>
  <c r="F128" i="19"/>
  <c r="D128" i="19"/>
  <c r="AH127" i="19"/>
  <c r="AG127" i="19"/>
  <c r="AF127" i="19"/>
  <c r="V127" i="19"/>
  <c r="F127" i="19"/>
  <c r="D127" i="19"/>
  <c r="AH126" i="19"/>
  <c r="AG126" i="19"/>
  <c r="AF126" i="19"/>
  <c r="V126" i="19"/>
  <c r="F126" i="19"/>
  <c r="D126" i="19"/>
  <c r="AH125" i="19"/>
  <c r="AG125" i="19"/>
  <c r="AF125" i="19"/>
  <c r="V125" i="19"/>
  <c r="F125" i="19"/>
  <c r="D125" i="19"/>
  <c r="AH124" i="19"/>
  <c r="AG124" i="19"/>
  <c r="AF124" i="19"/>
  <c r="V124" i="19"/>
  <c r="F124" i="19"/>
  <c r="D124" i="19"/>
  <c r="AH123" i="19"/>
  <c r="AG123" i="19"/>
  <c r="AF123" i="19"/>
  <c r="V123" i="19"/>
  <c r="F123" i="19"/>
  <c r="D123" i="19"/>
  <c r="AH122" i="19"/>
  <c r="AG122" i="19"/>
  <c r="AF122" i="19"/>
  <c r="V122" i="19"/>
  <c r="F122" i="19"/>
  <c r="D122" i="19"/>
  <c r="AH121" i="19"/>
  <c r="AG121" i="19"/>
  <c r="AF121" i="19"/>
  <c r="V121" i="19"/>
  <c r="F121" i="19"/>
  <c r="D121" i="19"/>
  <c r="AH120" i="19"/>
  <c r="AG120" i="19"/>
  <c r="AF120" i="19"/>
  <c r="V120" i="19"/>
  <c r="F120" i="19"/>
  <c r="D120" i="19"/>
  <c r="AH119" i="19"/>
  <c r="AG119" i="19"/>
  <c r="AF119" i="19"/>
  <c r="V119" i="19"/>
  <c r="F119" i="19"/>
  <c r="D119" i="19"/>
  <c r="AH118" i="19"/>
  <c r="AG118" i="19"/>
  <c r="AF118" i="19"/>
  <c r="V118" i="19"/>
  <c r="F118" i="19"/>
  <c r="D118" i="19"/>
  <c r="AH117" i="19"/>
  <c r="AG117" i="19"/>
  <c r="AF117" i="19"/>
  <c r="V117" i="19"/>
  <c r="F117" i="19"/>
  <c r="D117" i="19"/>
  <c r="AH116" i="19"/>
  <c r="AG116" i="19"/>
  <c r="AF116" i="19"/>
  <c r="V116" i="19"/>
  <c r="F116" i="19"/>
  <c r="D116" i="19"/>
  <c r="AH115" i="19"/>
  <c r="AG115" i="19"/>
  <c r="AF115" i="19"/>
  <c r="V115" i="19"/>
  <c r="F115" i="19"/>
  <c r="D115" i="19"/>
  <c r="AH114" i="19"/>
  <c r="AG114" i="19"/>
  <c r="AF114" i="19"/>
  <c r="V114" i="19"/>
  <c r="F114" i="19"/>
  <c r="D114" i="19"/>
  <c r="AH113" i="19"/>
  <c r="AG113" i="19"/>
  <c r="AF113" i="19"/>
  <c r="V113" i="19"/>
  <c r="F113" i="19"/>
  <c r="D113" i="19"/>
  <c r="AH112" i="19"/>
  <c r="AG112" i="19"/>
  <c r="AF112" i="19"/>
  <c r="V112" i="19"/>
  <c r="F112" i="19"/>
  <c r="D112" i="19"/>
  <c r="AH111" i="19"/>
  <c r="AG111" i="19"/>
  <c r="AF111" i="19"/>
  <c r="V111" i="19"/>
  <c r="F111" i="19"/>
  <c r="D111" i="19"/>
  <c r="AH110" i="19"/>
  <c r="AG110" i="19"/>
  <c r="AF110" i="19"/>
  <c r="V110" i="19"/>
  <c r="F110" i="19"/>
  <c r="D110" i="19"/>
  <c r="AH109" i="19"/>
  <c r="AG109" i="19"/>
  <c r="AF109" i="19"/>
  <c r="V109" i="19"/>
  <c r="F109" i="19"/>
  <c r="D109" i="19"/>
  <c r="AH108" i="19"/>
  <c r="AG108" i="19"/>
  <c r="AF108" i="19"/>
  <c r="V108" i="19"/>
  <c r="F108" i="19"/>
  <c r="D108" i="19"/>
  <c r="AH107" i="19"/>
  <c r="AG107" i="19"/>
  <c r="AF107" i="19"/>
  <c r="V107" i="19"/>
  <c r="F107" i="19"/>
  <c r="D107" i="19"/>
  <c r="AH106" i="19"/>
  <c r="AG106" i="19"/>
  <c r="AF106" i="19"/>
  <c r="V106" i="19"/>
  <c r="F106" i="19"/>
  <c r="D106" i="19"/>
  <c r="AH105" i="19"/>
  <c r="AG105" i="19"/>
  <c r="AF105" i="19"/>
  <c r="V105" i="19"/>
  <c r="F105" i="19"/>
  <c r="D105" i="19"/>
  <c r="AH104" i="19"/>
  <c r="AG104" i="19"/>
  <c r="AF104" i="19"/>
  <c r="V104" i="19"/>
  <c r="F104" i="19"/>
  <c r="D104" i="19"/>
  <c r="AH103" i="19"/>
  <c r="AG103" i="19"/>
  <c r="AF103" i="19"/>
  <c r="V103" i="19"/>
  <c r="F103" i="19"/>
  <c r="D103" i="19"/>
  <c r="AH102" i="19"/>
  <c r="AG102" i="19"/>
  <c r="AF102" i="19"/>
  <c r="V102" i="19"/>
  <c r="F102" i="19"/>
  <c r="D102" i="19"/>
  <c r="AH101" i="19"/>
  <c r="AG101" i="19"/>
  <c r="AF101" i="19"/>
  <c r="V101" i="19"/>
  <c r="F101" i="19"/>
  <c r="D101" i="19"/>
  <c r="AH100" i="19"/>
  <c r="AG100" i="19"/>
  <c r="AF100" i="19"/>
  <c r="V100" i="19"/>
  <c r="F100" i="19"/>
  <c r="D100" i="19"/>
  <c r="AH99" i="19"/>
  <c r="AG99" i="19"/>
  <c r="AF99" i="19"/>
  <c r="V99" i="19"/>
  <c r="F99" i="19"/>
  <c r="D99" i="19"/>
  <c r="AH98" i="19"/>
  <c r="AG98" i="19"/>
  <c r="AF98" i="19"/>
  <c r="I98" i="19"/>
  <c r="F98" i="19"/>
  <c r="D98" i="19"/>
  <c r="AH97" i="19"/>
  <c r="AG97" i="19"/>
  <c r="AF97" i="19"/>
  <c r="V97" i="19"/>
  <c r="I97" i="19"/>
  <c r="F97" i="19"/>
  <c r="D97" i="19"/>
  <c r="AH96" i="19"/>
  <c r="AG96" i="19"/>
  <c r="AF96" i="19"/>
  <c r="V96" i="19"/>
  <c r="F96" i="19"/>
  <c r="D96" i="19"/>
  <c r="AH95" i="19"/>
  <c r="AG95" i="19"/>
  <c r="AF95" i="19"/>
  <c r="X95" i="19"/>
  <c r="V95" i="19"/>
  <c r="F95" i="19"/>
  <c r="D95" i="19"/>
  <c r="AH94" i="19"/>
  <c r="AG94" i="19"/>
  <c r="AF94" i="19"/>
  <c r="V94" i="19"/>
  <c r="F94" i="19"/>
  <c r="D94" i="19"/>
  <c r="AH93" i="19"/>
  <c r="AG93" i="19"/>
  <c r="AF93" i="19"/>
  <c r="X93" i="19"/>
  <c r="V93" i="19"/>
  <c r="F93" i="19"/>
  <c r="D93" i="19"/>
  <c r="AH92" i="19"/>
  <c r="AG92" i="19"/>
  <c r="AF92" i="19"/>
  <c r="V92" i="19"/>
  <c r="F92" i="19"/>
  <c r="D92" i="19"/>
  <c r="AH91" i="19"/>
  <c r="AG91" i="19"/>
  <c r="AF91" i="19"/>
  <c r="V91" i="19"/>
  <c r="F91" i="19"/>
  <c r="D91" i="19"/>
  <c r="AH90" i="19"/>
  <c r="AG90" i="19"/>
  <c r="AF90" i="19"/>
  <c r="V90" i="19"/>
  <c r="F90" i="19"/>
  <c r="D90" i="19"/>
  <c r="AH89" i="19"/>
  <c r="AG89" i="19"/>
  <c r="AF89" i="19"/>
  <c r="V89" i="19"/>
  <c r="F89" i="19"/>
  <c r="D89" i="19"/>
  <c r="AH88" i="19"/>
  <c r="AG88" i="19"/>
  <c r="AF88" i="19"/>
  <c r="V88" i="19"/>
  <c r="F88" i="19"/>
  <c r="D88" i="19"/>
  <c r="AH87" i="19"/>
  <c r="AG87" i="19"/>
  <c r="AF87" i="19"/>
  <c r="X87" i="19"/>
  <c r="V87" i="19"/>
  <c r="F87" i="19"/>
  <c r="D87" i="19"/>
  <c r="AH86" i="19"/>
  <c r="AG86" i="19"/>
  <c r="AF86" i="19"/>
  <c r="V86" i="19"/>
  <c r="F86" i="19"/>
  <c r="D86" i="19"/>
  <c r="AH85" i="19"/>
  <c r="AG85" i="19"/>
  <c r="AF85" i="19"/>
  <c r="V85" i="19"/>
  <c r="F85" i="19"/>
  <c r="D85" i="19"/>
  <c r="AH84" i="19"/>
  <c r="AG84" i="19"/>
  <c r="AF84" i="19"/>
  <c r="V84" i="19"/>
  <c r="F84" i="19"/>
  <c r="D84" i="19"/>
  <c r="AH83" i="19"/>
  <c r="AG83" i="19"/>
  <c r="AF83" i="19"/>
  <c r="V83" i="19"/>
  <c r="F83" i="19"/>
  <c r="D83" i="19"/>
  <c r="AH82" i="19"/>
  <c r="AG82" i="19"/>
  <c r="AF82" i="19"/>
  <c r="V82" i="19"/>
  <c r="F82" i="19"/>
  <c r="D82" i="19"/>
  <c r="AH81" i="19"/>
  <c r="AG81" i="19"/>
  <c r="AF81" i="19"/>
  <c r="V81" i="19"/>
  <c r="F81" i="19"/>
  <c r="D81" i="19"/>
  <c r="AH80" i="19"/>
  <c r="AG80" i="19"/>
  <c r="AF80" i="19"/>
  <c r="V80" i="19"/>
  <c r="F80" i="19"/>
  <c r="D80" i="19"/>
  <c r="AH79" i="19"/>
  <c r="AG79" i="19"/>
  <c r="AF79" i="19"/>
  <c r="V79" i="19"/>
  <c r="F79" i="19"/>
  <c r="D79" i="19"/>
  <c r="AH78" i="19"/>
  <c r="AG78" i="19"/>
  <c r="AF78" i="19"/>
  <c r="V78" i="19"/>
  <c r="F78" i="19"/>
  <c r="D78" i="19"/>
  <c r="AH77" i="19"/>
  <c r="AG77" i="19"/>
  <c r="AF77" i="19"/>
  <c r="V77" i="19"/>
  <c r="F77" i="19"/>
  <c r="D77" i="19"/>
  <c r="AH76" i="19"/>
  <c r="AG76" i="19"/>
  <c r="AF76" i="19"/>
  <c r="V76" i="19"/>
  <c r="F76" i="19"/>
  <c r="D76" i="19"/>
  <c r="AH75" i="19"/>
  <c r="AG75" i="19"/>
  <c r="AF75" i="19"/>
  <c r="V75" i="19"/>
  <c r="F75" i="19"/>
  <c r="D75" i="19"/>
  <c r="AH74" i="19"/>
  <c r="AG74" i="19"/>
  <c r="AF74" i="19"/>
  <c r="V74" i="19"/>
  <c r="F74" i="19"/>
  <c r="D74" i="19"/>
  <c r="AH73" i="19"/>
  <c r="AG73" i="19"/>
  <c r="AF73" i="19"/>
  <c r="V73" i="19"/>
  <c r="F73" i="19"/>
  <c r="D73" i="19"/>
  <c r="AH72" i="19"/>
  <c r="AG72" i="19"/>
  <c r="AF72" i="19"/>
  <c r="V72" i="19"/>
  <c r="F72" i="19"/>
  <c r="D72" i="19"/>
  <c r="AH71" i="19"/>
  <c r="AG71" i="19"/>
  <c r="AF71" i="19"/>
  <c r="V71" i="19"/>
  <c r="F71" i="19"/>
  <c r="D71" i="19"/>
  <c r="AH70" i="19"/>
  <c r="AG70" i="19"/>
  <c r="AF70" i="19"/>
  <c r="V70" i="19"/>
  <c r="F70" i="19"/>
  <c r="D70" i="19"/>
  <c r="AH69" i="19"/>
  <c r="AG69" i="19"/>
  <c r="AF69" i="19"/>
  <c r="V69" i="19"/>
  <c r="F69" i="19"/>
  <c r="D69" i="19"/>
  <c r="AH68" i="19"/>
  <c r="AG68" i="19"/>
  <c r="AF68" i="19"/>
  <c r="V68" i="19"/>
  <c r="F68" i="19"/>
  <c r="D68" i="19"/>
  <c r="AH67" i="19"/>
  <c r="AG67" i="19"/>
  <c r="AF67" i="19"/>
  <c r="V67" i="19"/>
  <c r="F67" i="19"/>
  <c r="D67" i="19"/>
  <c r="AH66" i="19"/>
  <c r="AG66" i="19"/>
  <c r="AF66" i="19"/>
  <c r="V66" i="19"/>
  <c r="F66" i="19"/>
  <c r="D66" i="19"/>
  <c r="AH65" i="19"/>
  <c r="AG65" i="19"/>
  <c r="AF65" i="19"/>
  <c r="V65" i="19"/>
  <c r="F65" i="19"/>
  <c r="D65" i="19"/>
  <c r="AH64" i="19"/>
  <c r="AG64" i="19"/>
  <c r="AF64" i="19"/>
  <c r="V64" i="19"/>
  <c r="F64" i="19"/>
  <c r="D64" i="19"/>
  <c r="AH63" i="19"/>
  <c r="AG63" i="19"/>
  <c r="AF63" i="19"/>
  <c r="V63" i="19"/>
  <c r="F63" i="19"/>
  <c r="D63" i="19"/>
  <c r="AH62" i="19"/>
  <c r="AG62" i="19"/>
  <c r="AF62" i="19"/>
  <c r="V62" i="19"/>
  <c r="F62" i="19"/>
  <c r="D62" i="19"/>
  <c r="AH61" i="19"/>
  <c r="AG61" i="19"/>
  <c r="AF61" i="19"/>
  <c r="V61" i="19"/>
  <c r="F61" i="19"/>
  <c r="D61" i="19"/>
  <c r="AH60" i="19"/>
  <c r="AG60" i="19"/>
  <c r="AF60" i="19"/>
  <c r="V60" i="19"/>
  <c r="F60" i="19"/>
  <c r="D60" i="19"/>
  <c r="AH59" i="19"/>
  <c r="AG59" i="19"/>
  <c r="AF59" i="19"/>
  <c r="X59" i="19"/>
  <c r="V59" i="19"/>
  <c r="F59" i="19"/>
  <c r="D59" i="19"/>
  <c r="AH58" i="19"/>
  <c r="AG58" i="19"/>
  <c r="AF58" i="19"/>
  <c r="V58" i="19"/>
  <c r="F58" i="19"/>
  <c r="D58" i="19"/>
  <c r="AH57" i="19"/>
  <c r="AG57" i="19"/>
  <c r="AF57" i="19"/>
  <c r="V57" i="19"/>
  <c r="F57" i="19"/>
  <c r="D57" i="19"/>
  <c r="AH56" i="19"/>
  <c r="AG56" i="19"/>
  <c r="AF56" i="19"/>
  <c r="V56" i="19"/>
  <c r="F56" i="19"/>
  <c r="D56" i="19"/>
  <c r="AH55" i="19"/>
  <c r="AG55" i="19"/>
  <c r="AF55" i="19"/>
  <c r="V55" i="19"/>
  <c r="F55" i="19"/>
  <c r="D55" i="19"/>
  <c r="AH54" i="19"/>
  <c r="AG54" i="19"/>
  <c r="AF54" i="19"/>
  <c r="V54" i="19"/>
  <c r="F54" i="19"/>
  <c r="D54" i="19"/>
  <c r="AH53" i="19"/>
  <c r="AG53" i="19"/>
  <c r="AF53" i="19"/>
  <c r="V53" i="19"/>
  <c r="F53" i="19"/>
  <c r="D53" i="19"/>
  <c r="AH52" i="19"/>
  <c r="AG52" i="19"/>
  <c r="AF52" i="19"/>
  <c r="V52" i="19"/>
  <c r="F52" i="19"/>
  <c r="D52" i="19"/>
  <c r="AH51" i="19"/>
  <c r="AG51" i="19"/>
  <c r="AF51" i="19"/>
  <c r="V51" i="19"/>
  <c r="F51" i="19"/>
  <c r="D51" i="19"/>
  <c r="AH50" i="19"/>
  <c r="AG50" i="19"/>
  <c r="AF50" i="19"/>
  <c r="V50" i="19"/>
  <c r="F50" i="19"/>
  <c r="D50" i="19"/>
  <c r="AH49" i="19"/>
  <c r="AG49" i="19"/>
  <c r="AF49" i="19"/>
  <c r="V49" i="19"/>
  <c r="F49" i="19"/>
  <c r="D49" i="19"/>
  <c r="AH48" i="19"/>
  <c r="AG48" i="19"/>
  <c r="AF48" i="19"/>
  <c r="V48" i="19"/>
  <c r="F48" i="19"/>
  <c r="D48" i="19"/>
  <c r="AH47" i="19"/>
  <c r="AG47" i="19"/>
  <c r="AF47" i="19"/>
  <c r="V47" i="19"/>
  <c r="F47" i="19"/>
  <c r="D47" i="19"/>
  <c r="AH46" i="19"/>
  <c r="AG46" i="19"/>
  <c r="AF46" i="19"/>
  <c r="V46" i="19"/>
  <c r="F46" i="19"/>
  <c r="D46" i="19"/>
  <c r="AH45" i="19"/>
  <c r="AG45" i="19"/>
  <c r="AF45" i="19"/>
  <c r="V45" i="19"/>
  <c r="F45" i="19"/>
  <c r="D45" i="19"/>
  <c r="AH44" i="19"/>
  <c r="AG44" i="19"/>
  <c r="AF44" i="19"/>
  <c r="V44" i="19"/>
  <c r="F44" i="19"/>
  <c r="D44" i="19"/>
  <c r="AH43" i="19"/>
  <c r="AG43" i="19"/>
  <c r="AF43" i="19"/>
  <c r="V43" i="19"/>
  <c r="F43" i="19"/>
  <c r="D43" i="19"/>
  <c r="AH42" i="19"/>
  <c r="AG42" i="19"/>
  <c r="AF42" i="19"/>
  <c r="V42" i="19"/>
  <c r="F42" i="19"/>
  <c r="D42" i="19"/>
  <c r="AH41" i="19"/>
  <c r="AG41" i="19"/>
  <c r="AF41" i="19"/>
  <c r="V41" i="19"/>
  <c r="F41" i="19"/>
  <c r="D41" i="19"/>
  <c r="AH40" i="19"/>
  <c r="AG40" i="19"/>
  <c r="AF40" i="19"/>
  <c r="V40" i="19"/>
  <c r="F40" i="19"/>
  <c r="D40" i="19"/>
  <c r="AH39" i="19"/>
  <c r="AG39" i="19"/>
  <c r="AF39" i="19"/>
  <c r="V39" i="19"/>
  <c r="F39" i="19"/>
  <c r="D39" i="19"/>
  <c r="AH38" i="19"/>
  <c r="AG38" i="19"/>
  <c r="AF38" i="19"/>
  <c r="V38" i="19"/>
  <c r="F38" i="19"/>
  <c r="D38" i="19"/>
  <c r="AH37" i="19"/>
  <c r="AG37" i="19"/>
  <c r="AF37" i="19"/>
  <c r="V37" i="19"/>
  <c r="F37" i="19"/>
  <c r="D37" i="19"/>
  <c r="AH36" i="19"/>
  <c r="AG36" i="19"/>
  <c r="AF36" i="19"/>
  <c r="V36" i="19"/>
  <c r="F36" i="19"/>
  <c r="D36" i="19"/>
  <c r="AH35" i="19"/>
  <c r="AG35" i="19"/>
  <c r="AF35" i="19"/>
  <c r="V35" i="19"/>
  <c r="F35" i="19"/>
  <c r="D35" i="19"/>
  <c r="AH34" i="19"/>
  <c r="AG34" i="19"/>
  <c r="AF34" i="19"/>
  <c r="V34" i="19"/>
  <c r="F34" i="19"/>
  <c r="D34" i="19"/>
  <c r="AH33" i="19"/>
  <c r="AG33" i="19"/>
  <c r="AF33" i="19"/>
  <c r="V33" i="19"/>
  <c r="F33" i="19"/>
  <c r="D33" i="19"/>
  <c r="AH32" i="19"/>
  <c r="AG32" i="19"/>
  <c r="AF32" i="19"/>
  <c r="V32" i="19"/>
  <c r="F32" i="19"/>
  <c r="D32" i="19"/>
  <c r="AH31" i="19"/>
  <c r="AG31" i="19"/>
  <c r="AF31" i="19"/>
  <c r="V31" i="19"/>
  <c r="F31" i="19"/>
  <c r="D31" i="19"/>
  <c r="AH30" i="19"/>
  <c r="AG30" i="19"/>
  <c r="AF30" i="19"/>
  <c r="V30" i="19"/>
  <c r="F30" i="19"/>
  <c r="D30" i="19"/>
  <c r="AH29" i="19"/>
  <c r="AG29" i="19"/>
  <c r="AF29" i="19"/>
  <c r="V29" i="19"/>
  <c r="F29" i="19"/>
  <c r="D29" i="19"/>
  <c r="AH28" i="19"/>
  <c r="AG28" i="19"/>
  <c r="AF28" i="19"/>
  <c r="V28" i="19"/>
  <c r="F28" i="19"/>
  <c r="D28" i="19"/>
  <c r="AH27" i="19"/>
  <c r="AG27" i="19"/>
  <c r="AF27" i="19"/>
  <c r="V27" i="19"/>
  <c r="F27" i="19"/>
  <c r="D27" i="19"/>
  <c r="AH26" i="19"/>
  <c r="AG26" i="19"/>
  <c r="AF26" i="19"/>
  <c r="V26" i="19"/>
  <c r="F26" i="19"/>
  <c r="D26" i="19"/>
  <c r="AH25" i="19"/>
  <c r="AG25" i="19"/>
  <c r="AF25" i="19"/>
  <c r="V25" i="19"/>
  <c r="F25" i="19"/>
  <c r="D25" i="19"/>
  <c r="AH24" i="19"/>
  <c r="AG24" i="19"/>
  <c r="AF24" i="19"/>
  <c r="V24" i="19"/>
  <c r="F24" i="19"/>
  <c r="D24" i="19"/>
  <c r="AH23" i="19"/>
  <c r="AG23" i="19"/>
  <c r="AF23" i="19"/>
  <c r="V23" i="19"/>
  <c r="F23" i="19"/>
  <c r="D23" i="19"/>
  <c r="AH22" i="19"/>
  <c r="AG22" i="19"/>
  <c r="AF22" i="19"/>
  <c r="V22" i="19"/>
  <c r="F22" i="19"/>
  <c r="D22" i="19"/>
  <c r="AH21" i="19"/>
  <c r="AG21" i="19"/>
  <c r="AF21" i="19"/>
  <c r="V21" i="19"/>
  <c r="F21" i="19"/>
  <c r="D21" i="19"/>
  <c r="AH20" i="19"/>
  <c r="AG20" i="19"/>
  <c r="AF20" i="19"/>
  <c r="V20" i="19"/>
  <c r="F20" i="19"/>
  <c r="D20" i="19"/>
  <c r="AH19" i="19"/>
  <c r="AG19" i="19"/>
  <c r="AF19" i="19"/>
  <c r="V19" i="19"/>
  <c r="F19" i="19"/>
  <c r="D19" i="19"/>
  <c r="AH18" i="19"/>
  <c r="AG18" i="19"/>
  <c r="AF18" i="19"/>
  <c r="V18" i="19"/>
  <c r="F18" i="19"/>
  <c r="D18" i="19"/>
  <c r="AH17" i="19"/>
  <c r="AG17" i="19"/>
  <c r="AF17" i="19"/>
  <c r="V17" i="19"/>
  <c r="F17" i="19"/>
  <c r="D17" i="19"/>
  <c r="AH16" i="19"/>
  <c r="AG16" i="19"/>
  <c r="AF16" i="19"/>
  <c r="V16" i="19"/>
  <c r="F16" i="19"/>
  <c r="D16" i="19"/>
  <c r="AH15" i="19"/>
  <c r="AG15" i="19"/>
  <c r="AF15" i="19"/>
  <c r="V15" i="19"/>
  <c r="F15" i="19"/>
  <c r="D15" i="19"/>
  <c r="AH14" i="19"/>
  <c r="AG14" i="19"/>
  <c r="AF14" i="19"/>
  <c r="V14" i="19"/>
  <c r="F14" i="19"/>
  <c r="D14" i="19"/>
  <c r="AH13" i="19"/>
  <c r="AG13" i="19"/>
  <c r="AF13" i="19"/>
  <c r="V13" i="19"/>
  <c r="F13" i="19"/>
  <c r="D13" i="19"/>
  <c r="AH12" i="19"/>
  <c r="AG12" i="19"/>
  <c r="AF12" i="19"/>
  <c r="V12" i="19"/>
  <c r="F12" i="19"/>
  <c r="D12" i="19"/>
  <c r="AH11" i="19"/>
  <c r="AG11" i="19"/>
  <c r="AF11" i="19"/>
  <c r="V11" i="19"/>
  <c r="F11" i="19"/>
  <c r="D11" i="19"/>
  <c r="AH10" i="19"/>
  <c r="AG10" i="19"/>
  <c r="AF10" i="19"/>
  <c r="V10" i="19"/>
  <c r="F10" i="19"/>
  <c r="D10" i="19"/>
  <c r="AH9" i="19"/>
  <c r="AG9" i="19"/>
  <c r="AF9" i="19"/>
  <c r="V9" i="19"/>
  <c r="F9" i="19"/>
  <c r="D9" i="19"/>
  <c r="AH8" i="19"/>
  <c r="AG8" i="19"/>
  <c r="AF8" i="19"/>
  <c r="V8" i="19"/>
  <c r="F8" i="19"/>
  <c r="D8" i="19"/>
  <c r="AH7" i="19"/>
  <c r="AG7" i="19"/>
  <c r="AF7" i="19"/>
  <c r="V7" i="19"/>
  <c r="F7" i="19"/>
  <c r="D7" i="19"/>
  <c r="AH6" i="19"/>
  <c r="AG6" i="19"/>
  <c r="AF6" i="19"/>
  <c r="V6" i="19"/>
  <c r="F6" i="19"/>
  <c r="D6" i="19"/>
  <c r="AH5" i="19"/>
  <c r="AG5" i="19"/>
  <c r="AF5" i="19"/>
  <c r="V5" i="19"/>
  <c r="F5" i="19"/>
  <c r="D5" i="19"/>
  <c r="AH4" i="19"/>
  <c r="AG4" i="19"/>
  <c r="AF4" i="19"/>
  <c r="V4" i="19"/>
  <c r="F4" i="19"/>
  <c r="D4" i="19"/>
  <c r="AH3" i="19"/>
  <c r="AG3" i="19"/>
  <c r="AF3" i="19"/>
  <c r="V3" i="19"/>
  <c r="F3" i="19"/>
  <c r="D3" i="19"/>
  <c r="C48" i="18"/>
  <c r="C47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A18" i="17"/>
  <c r="E17" i="17"/>
  <c r="D17" i="17"/>
  <c r="C17" i="17"/>
  <c r="A4" i="16"/>
  <c r="B30" i="15"/>
  <c r="B25" i="15"/>
  <c r="B17" i="15"/>
  <c r="B8" i="15"/>
  <c r="A91" i="14"/>
  <c r="C82" i="14"/>
  <c r="C81" i="14"/>
  <c r="C80" i="14"/>
  <c r="C79" i="14"/>
  <c r="C78" i="14"/>
  <c r="C77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1" i="14"/>
  <c r="C40" i="14"/>
  <c r="C39" i="14"/>
  <c r="C36" i="14"/>
  <c r="C35" i="14"/>
  <c r="C34" i="14"/>
  <c r="C33" i="14"/>
  <c r="C32" i="14"/>
  <c r="C31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21" i="13"/>
  <c r="C29" i="12"/>
  <c r="C19" i="12"/>
  <c r="D10" i="12"/>
  <c r="G9" i="12"/>
  <c r="F7" i="12"/>
  <c r="D7" i="12"/>
  <c r="F6" i="12"/>
  <c r="E6" i="12"/>
  <c r="D6" i="12"/>
  <c r="F5" i="12"/>
  <c r="D5" i="12"/>
  <c r="D4" i="12"/>
  <c r="E3" i="12"/>
  <c r="D3" i="12"/>
  <c r="Q31" i="10"/>
  <c r="AD20" i="10"/>
  <c r="AC20" i="10"/>
  <c r="AB20" i="10"/>
  <c r="X20" i="10"/>
  <c r="W20" i="10"/>
  <c r="V20" i="10"/>
  <c r="S20" i="10"/>
  <c r="Q20" i="10"/>
  <c r="C20" i="10"/>
  <c r="M19" i="10" a="1"/>
  <c r="M19" i="10" s="1"/>
  <c r="K19" i="10"/>
  <c r="H19" i="10"/>
  <c r="E19" i="10"/>
  <c r="D19" i="10"/>
  <c r="N16" i="10"/>
  <c r="H16" i="10"/>
  <c r="F16" i="10"/>
  <c r="E16" i="10"/>
  <c r="D16" i="10"/>
  <c r="C16" i="10"/>
  <c r="N15" i="10"/>
  <c r="F15" i="10"/>
  <c r="E15" i="10"/>
  <c r="D15" i="10"/>
  <c r="C15" i="10"/>
  <c r="N14" i="10"/>
  <c r="F14" i="10"/>
  <c r="E14" i="10"/>
  <c r="D14" i="10"/>
  <c r="C14" i="10"/>
  <c r="N12" i="10"/>
  <c r="C12" i="10"/>
  <c r="C11" i="10"/>
  <c r="C10" i="10"/>
  <c r="C3" i="10"/>
  <c r="AC31" i="9"/>
  <c r="AE20" i="9"/>
  <c r="AC20" i="9"/>
  <c r="C20" i="9"/>
  <c r="Y19" i="9" a="1"/>
  <c r="Y19" i="9" s="1"/>
  <c r="W19" i="9"/>
  <c r="Q19" i="9"/>
  <c r="P19" i="9"/>
  <c r="I19" i="9"/>
  <c r="H19" i="9"/>
  <c r="E19" i="9"/>
  <c r="D19" i="9"/>
  <c r="Z16" i="9"/>
  <c r="U16" i="9"/>
  <c r="Q16" i="9"/>
  <c r="P16" i="9"/>
  <c r="M16" i="9"/>
  <c r="L16" i="9"/>
  <c r="I16" i="9"/>
  <c r="H16" i="9"/>
  <c r="E16" i="9"/>
  <c r="D16" i="9"/>
  <c r="C16" i="9"/>
  <c r="Z15" i="9"/>
  <c r="U15" i="9"/>
  <c r="C15" i="9"/>
  <c r="Z14" i="9"/>
  <c r="U14" i="9"/>
  <c r="C14" i="9"/>
  <c r="Z12" i="9"/>
  <c r="U12" i="9"/>
  <c r="C12" i="9"/>
  <c r="C11" i="9"/>
  <c r="C10" i="9"/>
  <c r="C3" i="9"/>
  <c r="I92" i="8"/>
  <c r="F87" i="8"/>
  <c r="E87" i="8"/>
  <c r="D87" i="8"/>
  <c r="M85" i="8"/>
  <c r="L85" i="8"/>
  <c r="K85" i="8"/>
  <c r="M84" i="8"/>
  <c r="L84" i="8"/>
  <c r="K84" i="8"/>
  <c r="M78" i="8"/>
  <c r="L78" i="8"/>
  <c r="K78" i="8"/>
  <c r="K77" i="8"/>
  <c r="I60" i="8"/>
  <c r="F54" i="8"/>
  <c r="E54" i="8"/>
  <c r="D54" i="8"/>
  <c r="M52" i="8"/>
  <c r="L52" i="8"/>
  <c r="K52" i="8"/>
  <c r="O51" i="8"/>
  <c r="O50" i="8"/>
  <c r="K50" i="8"/>
  <c r="O49" i="8"/>
  <c r="O48" i="8"/>
  <c r="O47" i="8"/>
  <c r="M46" i="8"/>
  <c r="L46" i="8"/>
  <c r="K46" i="8"/>
  <c r="M45" i="8"/>
  <c r="L45" i="8"/>
  <c r="K45" i="8"/>
  <c r="M44" i="8"/>
  <c r="L44" i="8"/>
  <c r="K44" i="8"/>
  <c r="M43" i="8"/>
  <c r="L43" i="8"/>
  <c r="K43" i="8"/>
  <c r="F43" i="8"/>
  <c r="E43" i="8"/>
  <c r="D43" i="8"/>
  <c r="I40" i="8"/>
  <c r="M38" i="8"/>
  <c r="L38" i="8"/>
  <c r="K38" i="8"/>
  <c r="I38" i="8"/>
  <c r="K36" i="8"/>
  <c r="M32" i="8"/>
  <c r="L32" i="8"/>
  <c r="K32" i="8"/>
  <c r="I32" i="8"/>
  <c r="M31" i="8"/>
  <c r="L31" i="8"/>
  <c r="K31" i="8"/>
  <c r="I31" i="8"/>
  <c r="M30" i="8"/>
  <c r="L30" i="8"/>
  <c r="K30" i="8"/>
  <c r="I30" i="8"/>
  <c r="M29" i="8"/>
  <c r="L29" i="8"/>
  <c r="K29" i="8"/>
  <c r="I29" i="8"/>
  <c r="I22" i="8"/>
  <c r="R13" i="8" a="1"/>
  <c r="Q13" i="8" a="1"/>
  <c r="Q13" i="8"/>
  <c r="I12" i="8"/>
  <c r="P8" i="8"/>
  <c r="F8" i="8"/>
  <c r="E8" i="8"/>
  <c r="D8" i="8"/>
  <c r="C3" i="8"/>
  <c r="I92" i="7"/>
  <c r="F87" i="7"/>
  <c r="E87" i="7"/>
  <c r="D87" i="7"/>
  <c r="O83" i="7"/>
  <c r="K82" i="7"/>
  <c r="O81" i="7"/>
  <c r="L81" i="7"/>
  <c r="K81" i="7"/>
  <c r="O80" i="7"/>
  <c r="L80" i="7"/>
  <c r="K80" i="7"/>
  <c r="O79" i="7"/>
  <c r="K79" i="7"/>
  <c r="O76" i="7"/>
  <c r="O69" i="7"/>
  <c r="M69" i="7"/>
  <c r="L69" i="7"/>
  <c r="K69" i="7"/>
  <c r="O68" i="7"/>
  <c r="O67" i="7"/>
  <c r="K67" i="7"/>
  <c r="O66" i="7"/>
  <c r="L66" i="7"/>
  <c r="K66" i="7"/>
  <c r="O65" i="7"/>
  <c r="L65" i="7"/>
  <c r="K65" i="7"/>
  <c r="O64" i="7"/>
  <c r="K64" i="7"/>
  <c r="O63" i="7"/>
  <c r="M63" i="7"/>
  <c r="L63" i="7"/>
  <c r="K63" i="7"/>
  <c r="O62" i="7"/>
  <c r="K62" i="7"/>
  <c r="O61" i="7"/>
  <c r="O60" i="7"/>
  <c r="F54" i="7"/>
  <c r="E54" i="7"/>
  <c r="D54" i="7"/>
  <c r="O51" i="7"/>
  <c r="O50" i="7"/>
  <c r="O49" i="7"/>
  <c r="O48" i="7"/>
  <c r="O47" i="7"/>
  <c r="F43" i="7"/>
  <c r="E43" i="7"/>
  <c r="D43" i="7"/>
  <c r="I40" i="7"/>
  <c r="I38" i="7"/>
  <c r="I32" i="7"/>
  <c r="I31" i="7"/>
  <c r="I30" i="7"/>
  <c r="I29" i="7"/>
  <c r="I22" i="7"/>
  <c r="R13" i="7" a="1"/>
  <c r="R13" i="7"/>
  <c r="Q13" i="7" a="1"/>
  <c r="Q13" i="7"/>
  <c r="I12" i="7"/>
  <c r="P8" i="7"/>
  <c r="F8" i="7"/>
  <c r="E8" i="7"/>
  <c r="D8" i="7"/>
  <c r="C3" i="7"/>
  <c r="I92" i="6"/>
  <c r="F87" i="6"/>
  <c r="E87" i="6"/>
  <c r="D87" i="6"/>
  <c r="F54" i="6"/>
  <c r="E54" i="6"/>
  <c r="D54" i="6"/>
  <c r="O51" i="6"/>
  <c r="O50" i="6"/>
  <c r="O49" i="6"/>
  <c r="O48" i="6"/>
  <c r="O47" i="6"/>
  <c r="I16" i="6"/>
  <c r="I11" i="6"/>
  <c r="F8" i="6"/>
  <c r="E8" i="6"/>
  <c r="D8" i="6"/>
  <c r="C3" i="6"/>
  <c r="CC118" i="5"/>
  <c r="CC117" i="5"/>
  <c r="CC116" i="5"/>
  <c r="CO109" i="5"/>
  <c r="CN109" i="5"/>
  <c r="CL109" i="5"/>
  <c r="CJ109" i="5"/>
  <c r="CI109" i="5"/>
  <c r="CH109" i="5"/>
  <c r="CF109" i="5"/>
  <c r="CE109" i="5"/>
  <c r="CD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99" i="5"/>
  <c r="N99" i="5"/>
  <c r="M99" i="5"/>
  <c r="L99" i="5"/>
  <c r="K99" i="5"/>
  <c r="J99" i="5"/>
  <c r="I99" i="5"/>
  <c r="H99" i="5"/>
  <c r="G99" i="5"/>
  <c r="F99" i="5"/>
  <c r="E99" i="5"/>
  <c r="D99" i="5"/>
  <c r="CA97" i="5"/>
  <c r="CA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CA95" i="5"/>
  <c r="CA94" i="5"/>
  <c r="AA94" i="5"/>
  <c r="Z94" i="5"/>
  <c r="Y94" i="5"/>
  <c r="X94" i="5"/>
  <c r="W94" i="5"/>
  <c r="V94" i="5"/>
  <c r="U94" i="5"/>
  <c r="T94" i="5"/>
  <c r="S94" i="5"/>
  <c r="R94" i="5"/>
  <c r="Q94" i="5"/>
  <c r="P94" i="5"/>
  <c r="CA93" i="5"/>
  <c r="CA92" i="5"/>
  <c r="CA91" i="5"/>
  <c r="CA90" i="5"/>
  <c r="CA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CA88" i="5"/>
  <c r="AA88" i="5"/>
  <c r="Z88" i="5"/>
  <c r="Y88" i="5"/>
  <c r="X88" i="5"/>
  <c r="W88" i="5"/>
  <c r="V88" i="5"/>
  <c r="U88" i="5"/>
  <c r="T88" i="5"/>
  <c r="S88" i="5"/>
  <c r="R88" i="5"/>
  <c r="Q88" i="5"/>
  <c r="P88" i="5"/>
  <c r="CA87" i="5"/>
  <c r="CA86" i="5"/>
  <c r="CA85" i="5"/>
  <c r="AA85" i="5"/>
  <c r="Z85" i="5"/>
  <c r="Y85" i="5"/>
  <c r="X85" i="5"/>
  <c r="W85" i="5"/>
  <c r="V85" i="5"/>
  <c r="U85" i="5"/>
  <c r="T85" i="5"/>
  <c r="S85" i="5"/>
  <c r="R85" i="5"/>
  <c r="Q85" i="5"/>
  <c r="P85" i="5"/>
  <c r="CA84" i="5"/>
  <c r="CA83" i="5"/>
  <c r="AA83" i="5"/>
  <c r="Z83" i="5"/>
  <c r="Y83" i="5"/>
  <c r="X83" i="5"/>
  <c r="W83" i="5"/>
  <c r="V83" i="5"/>
  <c r="U83" i="5"/>
  <c r="T83" i="5"/>
  <c r="S83" i="5"/>
  <c r="R83" i="5"/>
  <c r="Q83" i="5"/>
  <c r="P83" i="5"/>
  <c r="O80" i="5"/>
  <c r="N80" i="5"/>
  <c r="M80" i="5"/>
  <c r="L80" i="5"/>
  <c r="K80" i="5"/>
  <c r="J80" i="5"/>
  <c r="I80" i="5"/>
  <c r="H80" i="5"/>
  <c r="G80" i="5"/>
  <c r="F80" i="5"/>
  <c r="E80" i="5"/>
  <c r="D80" i="5"/>
  <c r="CA78" i="5"/>
  <c r="AA78" i="5"/>
  <c r="Z78" i="5"/>
  <c r="Y78" i="5"/>
  <c r="X78" i="5"/>
  <c r="W78" i="5"/>
  <c r="V78" i="5"/>
  <c r="U78" i="5"/>
  <c r="T78" i="5"/>
  <c r="S78" i="5"/>
  <c r="R78" i="5"/>
  <c r="Q78" i="5"/>
  <c r="P78" i="5"/>
  <c r="CA77" i="5"/>
  <c r="AA77" i="5"/>
  <c r="Z77" i="5"/>
  <c r="Y77" i="5"/>
  <c r="X77" i="5"/>
  <c r="W77" i="5"/>
  <c r="V77" i="5"/>
  <c r="U77" i="5"/>
  <c r="T77" i="5"/>
  <c r="S77" i="5"/>
  <c r="R77" i="5"/>
  <c r="Q77" i="5"/>
  <c r="P77" i="5"/>
  <c r="CA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CA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CA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CA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CA72" i="5"/>
  <c r="AA72" i="5"/>
  <c r="Z72" i="5"/>
  <c r="Y72" i="5"/>
  <c r="X72" i="5"/>
  <c r="W72" i="5"/>
  <c r="V72" i="5"/>
  <c r="U72" i="5"/>
  <c r="T72" i="5"/>
  <c r="S72" i="5"/>
  <c r="R72" i="5"/>
  <c r="Q72" i="5"/>
  <c r="P72" i="5"/>
  <c r="CA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CA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65" i="5"/>
  <c r="N65" i="5"/>
  <c r="M65" i="5"/>
  <c r="L65" i="5"/>
  <c r="K65" i="5"/>
  <c r="J65" i="5"/>
  <c r="I65" i="5"/>
  <c r="H65" i="5"/>
  <c r="G65" i="5"/>
  <c r="F65" i="5"/>
  <c r="E65" i="5"/>
  <c r="D65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CA62" i="5"/>
  <c r="AA62" i="5"/>
  <c r="Z62" i="5"/>
  <c r="Y62" i="5"/>
  <c r="X62" i="5"/>
  <c r="W62" i="5"/>
  <c r="V62" i="5"/>
  <c r="U62" i="5"/>
  <c r="T62" i="5"/>
  <c r="S62" i="5"/>
  <c r="R62" i="5"/>
  <c r="Q62" i="5"/>
  <c r="P62" i="5"/>
  <c r="CA61" i="5"/>
  <c r="AA61" i="5"/>
  <c r="Z61" i="5"/>
  <c r="Y61" i="5"/>
  <c r="X61" i="5"/>
  <c r="W61" i="5"/>
  <c r="V61" i="5"/>
  <c r="U61" i="5"/>
  <c r="T61" i="5"/>
  <c r="S61" i="5"/>
  <c r="R61" i="5"/>
  <c r="Q61" i="5"/>
  <c r="P61" i="5"/>
  <c r="CA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CC59" i="5"/>
  <c r="CA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CA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CL53" i="5"/>
  <c r="CL52" i="5"/>
  <c r="CC51" i="5"/>
  <c r="CC50" i="5"/>
  <c r="CC49" i="5"/>
  <c r="CC48" i="5"/>
  <c r="CC47" i="5"/>
  <c r="CC46" i="5"/>
  <c r="CC34" i="5"/>
  <c r="CB34" i="5"/>
  <c r="CA34" i="5"/>
  <c r="AM34" i="5"/>
  <c r="AL34" i="5"/>
  <c r="AK34" i="5"/>
  <c r="AJ34" i="5"/>
  <c r="AI34" i="5"/>
  <c r="AH34" i="5"/>
  <c r="CF29" i="5"/>
  <c r="BY27" i="5"/>
  <c r="CF25" i="5"/>
  <c r="CF22" i="5"/>
  <c r="CE22" i="5"/>
  <c r="CX17" i="5"/>
  <c r="CW17" i="5"/>
  <c r="CV17" i="5"/>
  <c r="CU17" i="5"/>
  <c r="CV9" i="5"/>
  <c r="E9" i="5"/>
  <c r="CN5" i="5" a="1"/>
  <c r="CN5" i="5" s="1"/>
  <c r="C5" i="5"/>
  <c r="AT3" i="5"/>
  <c r="AI3" i="5"/>
  <c r="E2" i="5"/>
  <c r="D2" i="5"/>
  <c r="E1" i="5"/>
  <c r="D1" i="5"/>
  <c r="D15" i="4"/>
  <c r="A14" i="4"/>
  <c r="D3" i="4"/>
  <c r="C64" i="3"/>
  <c r="E43" i="3"/>
  <c r="D43" i="3"/>
  <c r="C43" i="3"/>
  <c r="E42" i="3"/>
  <c r="E29" i="3"/>
  <c r="D29" i="3"/>
  <c r="E22" i="3"/>
  <c r="D22" i="3"/>
  <c r="D19" i="3"/>
  <c r="E17" i="3"/>
  <c r="D17" i="3"/>
  <c r="E7" i="2"/>
  <c r="C3" i="2"/>
  <c r="CD22" i="5" l="1"/>
  <c r="CD17" i="5" s="1"/>
  <c r="G22" i="31"/>
  <c r="G30" i="31"/>
  <c r="D22" i="31"/>
  <c r="D30" i="31"/>
  <c r="F30" i="31"/>
  <c r="F22" i="31"/>
  <c r="E30" i="31"/>
  <c r="Q27" i="31"/>
  <c r="Q22" i="31" s="1"/>
  <c r="H11" i="31"/>
  <c r="J11" i="31"/>
  <c r="F11" i="31"/>
  <c r="M22" i="31"/>
  <c r="O22" i="31"/>
  <c r="K22" i="31"/>
  <c r="Q16" i="31"/>
  <c r="Q11" i="31" s="1"/>
  <c r="I22" i="31"/>
  <c r="I30" i="31"/>
  <c r="N22" i="31"/>
  <c r="L22" i="31"/>
  <c r="D11" i="31"/>
  <c r="B32" i="4"/>
  <c r="B44" i="4" s="1"/>
  <c r="B56" i="4" s="1"/>
  <c r="B43" i="4"/>
  <c r="B55" i="4" s="1"/>
  <c r="B21" i="4"/>
  <c r="A15" i="4"/>
  <c r="C34" i="30"/>
  <c r="AS409" i="27"/>
  <c r="AS408" i="27"/>
  <c r="AR407" i="27"/>
  <c r="AR405" i="27"/>
  <c r="AR403" i="27"/>
  <c r="AS402" i="27"/>
  <c r="AS401" i="27"/>
  <c r="AS400" i="27"/>
  <c r="AR398" i="27"/>
  <c r="AS397" i="27"/>
  <c r="AR395" i="27"/>
  <c r="AS394" i="27"/>
  <c r="AS392" i="27"/>
  <c r="AS391" i="27"/>
  <c r="AR390" i="27"/>
  <c r="AR389" i="27"/>
  <c r="AS388" i="27"/>
  <c r="AR387" i="27"/>
  <c r="AS384" i="27"/>
  <c r="AS383" i="27"/>
  <c r="AS381" i="27"/>
  <c r="Q39" i="27"/>
  <c r="P39" i="27" s="1"/>
  <c r="AG35" i="27"/>
  <c r="AH35" i="27" s="1"/>
  <c r="AI35" i="27" s="1"/>
  <c r="AJ35" i="27" s="1"/>
  <c r="AK35" i="27" s="1"/>
  <c r="AL35" i="27" s="1"/>
  <c r="AM35" i="27" s="1"/>
  <c r="AN35" i="27" s="1"/>
  <c r="T34" i="27"/>
  <c r="U34" i="27" s="1"/>
  <c r="V34" i="27" s="1"/>
  <c r="AF20" i="27"/>
  <c r="AG20" i="27" s="1"/>
  <c r="AH20" i="27" s="1"/>
  <c r="AI20" i="27" s="1"/>
  <c r="AJ20" i="27" s="1"/>
  <c r="AK20" i="27" s="1"/>
  <c r="AL20" i="27" s="1"/>
  <c r="AM20" i="27" s="1"/>
  <c r="AN20" i="27" s="1"/>
  <c r="AO20" i="27" s="1"/>
  <c r="T20" i="27"/>
  <c r="U20" i="27" s="1"/>
  <c r="V20" i="27" s="1"/>
  <c r="W20" i="27" s="1"/>
  <c r="X20" i="27" s="1"/>
  <c r="Y20" i="27" s="1"/>
  <c r="Z20" i="27" s="1"/>
  <c r="AA20" i="27" s="1"/>
  <c r="AB20" i="27" s="1"/>
  <c r="AC20" i="27" s="1"/>
  <c r="AD20" i="27" s="1"/>
  <c r="AW90" i="26"/>
  <c r="AV90" i="26"/>
  <c r="AU90" i="26"/>
  <c r="AT90" i="26"/>
  <c r="AS90" i="26"/>
  <c r="AR90" i="26"/>
  <c r="AQ90" i="26"/>
  <c r="AP90" i="26"/>
  <c r="AO90" i="26"/>
  <c r="AN90" i="26"/>
  <c r="AM90" i="26"/>
  <c r="AL90" i="26"/>
  <c r="AK90" i="26"/>
  <c r="AJ90" i="26"/>
  <c r="AI90" i="26"/>
  <c r="AH90" i="26"/>
  <c r="AG90" i="26"/>
  <c r="AF90" i="26"/>
  <c r="AE90" i="26"/>
  <c r="AD90" i="26"/>
  <c r="AB90" i="26"/>
  <c r="W90" i="26"/>
  <c r="U90" i="26"/>
  <c r="S90" i="26"/>
  <c r="R90" i="26"/>
  <c r="Q90" i="26"/>
  <c r="P90" i="26"/>
  <c r="AV57" i="26"/>
  <c r="AV92" i="26" s="1"/>
  <c r="AT57" i="26"/>
  <c r="AT92" i="26" s="1"/>
  <c r="AQ57" i="26"/>
  <c r="AQ92" i="26" s="1"/>
  <c r="AP57" i="26"/>
  <c r="AP92" i="26" s="1"/>
  <c r="AO57" i="26"/>
  <c r="AO92" i="26" s="1"/>
  <c r="AN57" i="26"/>
  <c r="AN92" i="26" s="1"/>
  <c r="AM57" i="26"/>
  <c r="AM92" i="26" s="1"/>
  <c r="AL57" i="26"/>
  <c r="AL92" i="26" s="1"/>
  <c r="AK57" i="26"/>
  <c r="AK92" i="26" s="1"/>
  <c r="AJ57" i="26"/>
  <c r="AJ92" i="26" s="1"/>
  <c r="AH57" i="26"/>
  <c r="AH92" i="26" s="1"/>
  <c r="AC57" i="26"/>
  <c r="AA57" i="26"/>
  <c r="W57" i="26"/>
  <c r="W92" i="26" s="1"/>
  <c r="U57" i="26"/>
  <c r="U92" i="26" s="1"/>
  <c r="S57" i="26"/>
  <c r="S92" i="26" s="1"/>
  <c r="Q57" i="26"/>
  <c r="Q92" i="26" s="1"/>
  <c r="P57" i="26"/>
  <c r="P92" i="26" s="1"/>
  <c r="AN64" i="25"/>
  <c r="AN44" i="25" s="1"/>
  <c r="AL64" i="25"/>
  <c r="AL44" i="25" s="1"/>
  <c r="AJ64" i="25"/>
  <c r="AJ44" i="25" s="1"/>
  <c r="AH64" i="25"/>
  <c r="AH44" i="25" s="1"/>
  <c r="AF64" i="25"/>
  <c r="AF44" i="25" s="1"/>
  <c r="AB64" i="25"/>
  <c r="AB44" i="25" s="1"/>
  <c r="Z64" i="25"/>
  <c r="Z44" i="25" s="1"/>
  <c r="X64" i="25"/>
  <c r="X44" i="25" s="1"/>
  <c r="V64" i="25"/>
  <c r="V44" i="25" s="1"/>
  <c r="T64" i="25"/>
  <c r="T44" i="25" s="1"/>
  <c r="Q64" i="25"/>
  <c r="Q44" i="25" s="1"/>
  <c r="O64" i="25"/>
  <c r="O44" i="25" s="1"/>
  <c r="M64" i="25"/>
  <c r="M44" i="25" s="1"/>
  <c r="AO63" i="25"/>
  <c r="AO45" i="25" s="1"/>
  <c r="AM63" i="25"/>
  <c r="AM45" i="25" s="1"/>
  <c r="AK63" i="25"/>
  <c r="AK45" i="25" s="1"/>
  <c r="AI63" i="25"/>
  <c r="AI45" i="25" s="1"/>
  <c r="AG63" i="25"/>
  <c r="AG45" i="25" s="1"/>
  <c r="AD63" i="25"/>
  <c r="AD45" i="25" s="1"/>
  <c r="AA63" i="25"/>
  <c r="AA45" i="25" s="1"/>
  <c r="Y63" i="25"/>
  <c r="Y45" i="25" s="1"/>
  <c r="W63" i="25"/>
  <c r="W45" i="25" s="1"/>
  <c r="U63" i="25"/>
  <c r="U45" i="25" s="1"/>
  <c r="L63" i="25"/>
  <c r="AL62" i="25"/>
  <c r="AL42" i="25" s="1"/>
  <c r="AJ62" i="25"/>
  <c r="AJ42" i="25" s="1"/>
  <c r="AH62" i="25"/>
  <c r="AH42" i="25" s="1"/>
  <c r="AE62" i="25"/>
  <c r="AE42" i="25" s="1"/>
  <c r="AC62" i="25"/>
  <c r="AC42" i="25" s="1"/>
  <c r="AA62" i="25"/>
  <c r="AA42" i="25" s="1"/>
  <c r="Y62" i="25"/>
  <c r="Y42" i="25" s="1"/>
  <c r="W62" i="25"/>
  <c r="W42" i="25" s="1"/>
  <c r="U62" i="25"/>
  <c r="U42" i="25" s="1"/>
  <c r="S62" i="25"/>
  <c r="S42" i="25" s="1"/>
  <c r="Q62" i="25"/>
  <c r="Q42" i="25" s="1"/>
  <c r="O62" i="25"/>
  <c r="O42" i="25" s="1"/>
  <c r="M62" i="25"/>
  <c r="M42" i="25" s="1"/>
  <c r="AR61" i="25"/>
  <c r="AR43" i="25" s="1"/>
  <c r="AQ61" i="25"/>
  <c r="AQ43" i="25" s="1"/>
  <c r="AO61" i="25"/>
  <c r="AO43" i="25" s="1"/>
  <c r="AM61" i="25"/>
  <c r="AM43" i="25" s="1"/>
  <c r="AK61" i="25"/>
  <c r="AK43" i="25" s="1"/>
  <c r="AI61" i="25"/>
  <c r="AI43" i="25" s="1"/>
  <c r="AG61" i="25"/>
  <c r="AG43" i="25" s="1"/>
  <c r="AE61" i="25"/>
  <c r="AE43" i="25" s="1"/>
  <c r="AC61" i="25"/>
  <c r="AC43" i="25" s="1"/>
  <c r="AA61" i="25"/>
  <c r="AA43" i="25" s="1"/>
  <c r="Y61" i="25"/>
  <c r="Y43" i="25" s="1"/>
  <c r="W61" i="25"/>
  <c r="W43" i="25" s="1"/>
  <c r="U61" i="25"/>
  <c r="U43" i="25" s="1"/>
  <c r="S61" i="25"/>
  <c r="S43" i="25" s="1"/>
  <c r="Q61" i="25"/>
  <c r="Q43" i="25" s="1"/>
  <c r="O61" i="25"/>
  <c r="O43" i="25" s="1"/>
  <c r="M61" i="25"/>
  <c r="M43" i="25" s="1"/>
  <c r="AR60" i="25"/>
  <c r="AR40" i="25" s="1"/>
  <c r="AP60" i="25"/>
  <c r="AP40" i="25" s="1"/>
  <c r="AN60" i="25"/>
  <c r="AN40" i="25" s="1"/>
  <c r="AL60" i="25"/>
  <c r="AL40" i="25" s="1"/>
  <c r="AJ60" i="25"/>
  <c r="AJ40" i="25" s="1"/>
  <c r="AH60" i="25"/>
  <c r="AH40" i="25" s="1"/>
  <c r="AF60" i="25"/>
  <c r="AF40" i="25" s="1"/>
  <c r="AD60" i="25"/>
  <c r="AD40" i="25" s="1"/>
  <c r="AB60" i="25"/>
  <c r="AB40" i="25" s="1"/>
  <c r="Z60" i="25"/>
  <c r="Z40" i="25" s="1"/>
  <c r="X60" i="25"/>
  <c r="X40" i="25" s="1"/>
  <c r="V60" i="25"/>
  <c r="V40" i="25" s="1"/>
  <c r="T60" i="25"/>
  <c r="T40" i="25" s="1"/>
  <c r="R60" i="25"/>
  <c r="R40" i="25" s="1"/>
  <c r="P60" i="25"/>
  <c r="P40" i="25" s="1"/>
  <c r="N60" i="25"/>
  <c r="N40" i="25" s="1"/>
  <c r="L60" i="25"/>
  <c r="AP59" i="25"/>
  <c r="AN59" i="25"/>
  <c r="AL59" i="25"/>
  <c r="AJ59" i="25"/>
  <c r="AH59" i="25"/>
  <c r="AF59" i="25"/>
  <c r="AD59" i="25"/>
  <c r="AA59" i="25"/>
  <c r="Y59" i="25"/>
  <c r="W59" i="25"/>
  <c r="U59" i="25"/>
  <c r="S59" i="25"/>
  <c r="Q59" i="25"/>
  <c r="P59" i="25"/>
  <c r="N59" i="25"/>
  <c r="L59" i="25"/>
  <c r="AN58" i="25"/>
  <c r="AL58" i="25"/>
  <c r="AJ58" i="25"/>
  <c r="AH58" i="25"/>
  <c r="AF58" i="25"/>
  <c r="AD58" i="25"/>
  <c r="AB58" i="25"/>
  <c r="Y58" i="25"/>
  <c r="W58" i="25"/>
  <c r="U58" i="25"/>
  <c r="S58" i="25"/>
  <c r="Q58" i="25"/>
  <c r="O58" i="25"/>
  <c r="M58" i="25"/>
  <c r="AO57" i="25"/>
  <c r="AM57" i="25"/>
  <c r="AK57" i="25"/>
  <c r="AI57" i="25"/>
  <c r="AG57" i="25"/>
  <c r="AE57" i="25"/>
  <c r="AC57" i="25"/>
  <c r="Z57" i="25"/>
  <c r="X57" i="25"/>
  <c r="V57" i="25"/>
  <c r="T57" i="25"/>
  <c r="S57" i="25"/>
  <c r="R57" i="25"/>
  <c r="M57" i="25"/>
  <c r="AN56" i="25"/>
  <c r="AL56" i="25"/>
  <c r="AI56" i="25"/>
  <c r="AG56" i="25"/>
  <c r="AD56" i="25"/>
  <c r="AA56" i="25"/>
  <c r="W56" i="25"/>
  <c r="V56" i="25"/>
  <c r="P56" i="25"/>
  <c r="L56" i="25"/>
  <c r="AP55" i="25"/>
  <c r="AL55" i="25"/>
  <c r="AG55" i="25"/>
  <c r="AA55" i="25"/>
  <c r="X55" i="25"/>
  <c r="S55" i="25"/>
  <c r="P55" i="25"/>
  <c r="M55" i="25"/>
  <c r="Y54" i="25"/>
  <c r="V54" i="25"/>
  <c r="U54" i="25"/>
  <c r="R54" i="25"/>
  <c r="O54" i="25"/>
  <c r="M54" i="25"/>
  <c r="AJ53" i="25"/>
  <c r="AA53" i="25"/>
  <c r="V53" i="25"/>
  <c r="U53" i="25"/>
  <c r="AP52" i="25"/>
  <c r="AP37" i="25" s="1"/>
  <c r="AL52" i="25"/>
  <c r="AL37" i="25" s="1"/>
  <c r="AI52" i="25"/>
  <c r="AI37" i="25" s="1"/>
  <c r="AG52" i="25"/>
  <c r="AG37" i="25" s="1"/>
  <c r="AB52" i="25"/>
  <c r="AB37" i="25" s="1"/>
  <c r="U52" i="25"/>
  <c r="U37" i="25" s="1"/>
  <c r="T52" i="25"/>
  <c r="T37" i="25" s="1"/>
  <c r="AO51" i="25"/>
  <c r="AO34" i="25" s="1"/>
  <c r="AN51" i="25"/>
  <c r="AN34" i="25" s="1"/>
  <c r="AJ51" i="25"/>
  <c r="AJ34" i="25" s="1"/>
  <c r="AD51" i="25"/>
  <c r="AD34" i="25" s="1"/>
  <c r="Z51" i="25"/>
  <c r="Z34" i="25" s="1"/>
  <c r="V51" i="25"/>
  <c r="V34" i="25" s="1"/>
  <c r="R51" i="25"/>
  <c r="R34" i="25" s="1"/>
  <c r="M51" i="25"/>
  <c r="M34" i="25" s="1"/>
  <c r="D24" i="25"/>
  <c r="F23" i="25"/>
  <c r="Z22" i="25"/>
  <c r="F22" i="25"/>
  <c r="I21" i="25"/>
  <c r="AP20" i="25"/>
  <c r="D20" i="25"/>
  <c r="G18" i="25"/>
  <c r="G13" i="25"/>
  <c r="AO11" i="25"/>
  <c r="S11" i="25"/>
  <c r="R11" i="25"/>
  <c r="M11" i="25"/>
  <c r="AL6" i="25"/>
  <c r="AR3" i="26" s="1" a="1"/>
  <c r="AR3" i="26" s="1"/>
  <c r="AE6" i="25"/>
  <c r="AJ3" i="26" s="1" a="1"/>
  <c r="B568" i="23"/>
  <c r="B569" i="23" s="1"/>
  <c r="B570" i="23" s="1"/>
  <c r="B556" i="23"/>
  <c r="B557" i="23" s="1"/>
  <c r="B558" i="23" s="1"/>
  <c r="B529" i="23"/>
  <c r="B530" i="23" s="1"/>
  <c r="B531" i="23" s="1"/>
  <c r="B523" i="23"/>
  <c r="B524" i="23" s="1"/>
  <c r="B525" i="23" s="1"/>
  <c r="B526" i="23" s="1"/>
  <c r="B482" i="23"/>
  <c r="B483" i="23" s="1"/>
  <c r="B484" i="23" s="1"/>
  <c r="B485" i="23" s="1"/>
  <c r="B486" i="23" s="1"/>
  <c r="B487" i="23" s="1"/>
  <c r="B473" i="23"/>
  <c r="B474" i="23" s="1"/>
  <c r="B475" i="23" s="1"/>
  <c r="B476" i="23" s="1"/>
  <c r="B470" i="23"/>
  <c r="B463" i="23"/>
  <c r="B464" i="23" s="1"/>
  <c r="B414" i="23"/>
  <c r="B415" i="23" s="1"/>
  <c r="B347" i="23"/>
  <c r="B348" i="23" s="1"/>
  <c r="B349" i="23" s="1"/>
  <c r="B339" i="23"/>
  <c r="B340" i="23" s="1"/>
  <c r="B341" i="23" s="1"/>
  <c r="B342" i="23" s="1"/>
  <c r="B336" i="23"/>
  <c r="B323" i="23"/>
  <c r="B324" i="23" s="1"/>
  <c r="B325" i="23" s="1"/>
  <c r="B326" i="23" s="1"/>
  <c r="B327" i="23" s="1"/>
  <c r="B328" i="23" s="1"/>
  <c r="M282" i="23"/>
  <c r="M284" i="23" s="1"/>
  <c r="B9" i="23"/>
  <c r="B10" i="23" s="1"/>
  <c r="E61" i="21"/>
  <c r="R59" i="21"/>
  <c r="Q59" i="21"/>
  <c r="O59" i="21"/>
  <c r="M59" i="21"/>
  <c r="K59" i="21"/>
  <c r="I59" i="21"/>
  <c r="F59" i="21"/>
  <c r="F70" i="21" s="1"/>
  <c r="AF19" i="27"/>
  <c r="AG19" i="27" s="1"/>
  <c r="AH19" i="27" s="1"/>
  <c r="AI19" i="27" s="1"/>
  <c r="AJ19" i="27" s="1"/>
  <c r="AK19" i="27" s="1"/>
  <c r="AL19" i="27" s="1"/>
  <c r="AM19" i="27" s="1"/>
  <c r="AN19" i="27" s="1"/>
  <c r="AO19" i="27" s="1"/>
  <c r="AP19" i="27" s="1"/>
  <c r="T19" i="27"/>
  <c r="U19" i="27" s="1"/>
  <c r="V19" i="27" s="1"/>
  <c r="W19" i="27" s="1"/>
  <c r="X19" i="27" s="1"/>
  <c r="Y19" i="27" s="1"/>
  <c r="Z19" i="27" s="1"/>
  <c r="AA19" i="27" s="1"/>
  <c r="AB19" i="27" s="1"/>
  <c r="AC19" i="27" s="1"/>
  <c r="AD19" i="27" s="1"/>
  <c r="AF18" i="27"/>
  <c r="AG18" i="27" s="1"/>
  <c r="AH18" i="27" s="1"/>
  <c r="AI18" i="27" s="1"/>
  <c r="AJ18" i="27" s="1"/>
  <c r="AK18" i="27" s="1"/>
  <c r="AL18" i="27" s="1"/>
  <c r="AM18" i="27" s="1"/>
  <c r="AN18" i="27" s="1"/>
  <c r="AO18" i="27" s="1"/>
  <c r="AP18" i="27" s="1"/>
  <c r="T18" i="27"/>
  <c r="U18" i="27" s="1"/>
  <c r="V18" i="27" s="1"/>
  <c r="W18" i="27" s="1"/>
  <c r="X18" i="27" s="1"/>
  <c r="Y18" i="27" s="1"/>
  <c r="Z18" i="27" s="1"/>
  <c r="AA18" i="27" s="1"/>
  <c r="AB18" i="27" s="1"/>
  <c r="AC18" i="27" s="1"/>
  <c r="AD18" i="27" s="1"/>
  <c r="AF17" i="27"/>
  <c r="AG17" i="27" s="1"/>
  <c r="AH17" i="27" s="1"/>
  <c r="AI17" i="27" s="1"/>
  <c r="AJ17" i="27" s="1"/>
  <c r="AK17" i="27" s="1"/>
  <c r="AL17" i="27" s="1"/>
  <c r="AM17" i="27" s="1"/>
  <c r="AN17" i="27" s="1"/>
  <c r="AO17" i="27" s="1"/>
  <c r="AP17" i="27" s="1"/>
  <c r="T17" i="27"/>
  <c r="U17" i="27" s="1"/>
  <c r="V17" i="27" s="1"/>
  <c r="W17" i="27" s="1"/>
  <c r="X17" i="27" s="1"/>
  <c r="Y17" i="27" s="1"/>
  <c r="Z17" i="27" s="1"/>
  <c r="AA17" i="27" s="1"/>
  <c r="AB17" i="27" s="1"/>
  <c r="AC17" i="27" s="1"/>
  <c r="AD17" i="27" s="1"/>
  <c r="AH16" i="27"/>
  <c r="AI16" i="27" s="1"/>
  <c r="AJ16" i="27" s="1"/>
  <c r="AK16" i="27" s="1"/>
  <c r="AL16" i="27" s="1"/>
  <c r="AM16" i="27" s="1"/>
  <c r="AN16" i="27" s="1"/>
  <c r="AO16" i="27" s="1"/>
  <c r="AP16" i="27" s="1"/>
  <c r="AF15" i="27"/>
  <c r="AG15" i="27" s="1"/>
  <c r="AH15" i="27" s="1"/>
  <c r="AI15" i="27" s="1"/>
  <c r="AJ15" i="27" s="1"/>
  <c r="AK15" i="27" s="1"/>
  <c r="AL15" i="27" s="1"/>
  <c r="AM15" i="27" s="1"/>
  <c r="AN15" i="27" s="1"/>
  <c r="AO15" i="27" s="1"/>
  <c r="AP15" i="27" s="1"/>
  <c r="T15" i="27"/>
  <c r="U15" i="27" s="1"/>
  <c r="V15" i="27" s="1"/>
  <c r="W15" i="27" s="1"/>
  <c r="X15" i="27" s="1"/>
  <c r="Y15" i="27" s="1"/>
  <c r="Z15" i="27" s="1"/>
  <c r="AA15" i="27" s="1"/>
  <c r="AB15" i="27" s="1"/>
  <c r="AC15" i="27" s="1"/>
  <c r="AD15" i="27" s="1"/>
  <c r="AF14" i="27"/>
  <c r="AG14" i="27" s="1"/>
  <c r="AH14" i="27" s="1"/>
  <c r="AI14" i="27" s="1"/>
  <c r="AJ14" i="27" s="1"/>
  <c r="AK14" i="27" s="1"/>
  <c r="AL14" i="27" s="1"/>
  <c r="AM14" i="27" s="1"/>
  <c r="AN14" i="27" s="1"/>
  <c r="AO14" i="27" s="1"/>
  <c r="AP14" i="27" s="1"/>
  <c r="T14" i="27"/>
  <c r="U14" i="27" s="1"/>
  <c r="V14" i="27" s="1"/>
  <c r="W14" i="27" s="1"/>
  <c r="X14" i="27" s="1"/>
  <c r="Y14" i="27" s="1"/>
  <c r="Z14" i="27" s="1"/>
  <c r="AA14" i="27" s="1"/>
  <c r="AB14" i="27" s="1"/>
  <c r="AC14" i="27" s="1"/>
  <c r="AD14" i="27" s="1"/>
  <c r="AF13" i="27"/>
  <c r="AG13" i="27" s="1"/>
  <c r="AH13" i="27" s="1"/>
  <c r="AI13" i="27" s="1"/>
  <c r="AJ13" i="27" s="1"/>
  <c r="AK13" i="27" s="1"/>
  <c r="AL13" i="27" s="1"/>
  <c r="AM13" i="27" s="1"/>
  <c r="AN13" i="27" s="1"/>
  <c r="AO13" i="27" s="1"/>
  <c r="AP13" i="27" s="1"/>
  <c r="T13" i="27"/>
  <c r="U13" i="27" s="1"/>
  <c r="V13" i="27" s="1"/>
  <c r="W13" i="27" s="1"/>
  <c r="X13" i="27" s="1"/>
  <c r="Y13" i="27" s="1"/>
  <c r="Z13" i="27" s="1"/>
  <c r="AA13" i="27" s="1"/>
  <c r="AB13" i="27" s="1"/>
  <c r="AC13" i="27" s="1"/>
  <c r="AD13" i="27" s="1"/>
  <c r="AF12" i="27"/>
  <c r="AG12" i="27" s="1"/>
  <c r="AH12" i="27" s="1"/>
  <c r="AI12" i="27" s="1"/>
  <c r="AJ12" i="27" s="1"/>
  <c r="AK12" i="27" s="1"/>
  <c r="AL12" i="27" s="1"/>
  <c r="AM12" i="27" s="1"/>
  <c r="AN12" i="27" s="1"/>
  <c r="AO12" i="27" s="1"/>
  <c r="AP12" i="27" s="1"/>
  <c r="T12" i="27"/>
  <c r="U12" i="27" s="1"/>
  <c r="V12" i="27" s="1"/>
  <c r="W12" i="27" s="1"/>
  <c r="X12" i="27" s="1"/>
  <c r="Y12" i="27" s="1"/>
  <c r="Z12" i="27" s="1"/>
  <c r="AA12" i="27" s="1"/>
  <c r="AB12" i="27" s="1"/>
  <c r="AC12" i="27" s="1"/>
  <c r="AD12" i="27" s="1"/>
  <c r="AF11" i="27"/>
  <c r="AG11" i="27" s="1"/>
  <c r="AH11" i="27" s="1"/>
  <c r="AI11" i="27" s="1"/>
  <c r="AJ11" i="27" s="1"/>
  <c r="AK11" i="27" s="1"/>
  <c r="AL11" i="27" s="1"/>
  <c r="AM11" i="27" s="1"/>
  <c r="AN11" i="27" s="1"/>
  <c r="AO11" i="27" s="1"/>
  <c r="AP11" i="27" s="1"/>
  <c r="T11" i="27"/>
  <c r="U11" i="27" s="1"/>
  <c r="V11" i="27" s="1"/>
  <c r="W11" i="27" s="1"/>
  <c r="X11" i="27" s="1"/>
  <c r="Y11" i="27" s="1"/>
  <c r="Z11" i="27" s="1"/>
  <c r="AA11" i="27" s="1"/>
  <c r="AB11" i="27" s="1"/>
  <c r="AC11" i="27" s="1"/>
  <c r="AD11" i="27" s="1"/>
  <c r="AF10" i="27"/>
  <c r="AG10" i="27" s="1"/>
  <c r="AH10" i="27" s="1"/>
  <c r="AI10" i="27" s="1"/>
  <c r="AJ10" i="27" s="1"/>
  <c r="AK10" i="27" s="1"/>
  <c r="AL10" i="27" s="1"/>
  <c r="AM10" i="27" s="1"/>
  <c r="AN10" i="27" s="1"/>
  <c r="AO10" i="27" s="1"/>
  <c r="AP10" i="27" s="1"/>
  <c r="T10" i="27"/>
  <c r="U10" i="27" s="1"/>
  <c r="V10" i="27" s="1"/>
  <c r="W10" i="27" s="1"/>
  <c r="X10" i="27" s="1"/>
  <c r="Y10" i="27" s="1"/>
  <c r="Z10" i="27" s="1"/>
  <c r="AA10" i="27" s="1"/>
  <c r="AB10" i="27" s="1"/>
  <c r="AC10" i="27" s="1"/>
  <c r="AD10" i="27" s="1"/>
  <c r="AF9" i="27"/>
  <c r="AG9" i="27" s="1"/>
  <c r="AH9" i="27" s="1"/>
  <c r="AI9" i="27" s="1"/>
  <c r="AJ9" i="27" s="1"/>
  <c r="AK9" i="27" s="1"/>
  <c r="AL9" i="27" s="1"/>
  <c r="AM9" i="27" s="1"/>
  <c r="AN9" i="27" s="1"/>
  <c r="AO9" i="27" s="1"/>
  <c r="AP9" i="27" s="1"/>
  <c r="T9" i="27"/>
  <c r="U9" i="27" s="1"/>
  <c r="V9" i="27" s="1"/>
  <c r="W9" i="27" s="1"/>
  <c r="X9" i="27" s="1"/>
  <c r="Y9" i="27" s="1"/>
  <c r="Z9" i="27" s="1"/>
  <c r="AA9" i="27" s="1"/>
  <c r="AB9" i="27" s="1"/>
  <c r="AC9" i="27" s="1"/>
  <c r="AD9" i="27" s="1"/>
  <c r="AF8" i="27"/>
  <c r="AG8" i="27" s="1"/>
  <c r="AH8" i="27" s="1"/>
  <c r="AI8" i="27" s="1"/>
  <c r="AJ8" i="27" s="1"/>
  <c r="AK8" i="27" s="1"/>
  <c r="AL8" i="27" s="1"/>
  <c r="AM8" i="27" s="1"/>
  <c r="AN8" i="27" s="1"/>
  <c r="AO8" i="27" s="1"/>
  <c r="AP8" i="27" s="1"/>
  <c r="T8" i="27"/>
  <c r="U8" i="27" s="1"/>
  <c r="V8" i="27" s="1"/>
  <c r="W8" i="27" s="1"/>
  <c r="X8" i="27" s="1"/>
  <c r="Y8" i="27" s="1"/>
  <c r="Z8" i="27" s="1"/>
  <c r="AA8" i="27" s="1"/>
  <c r="AB8" i="27" s="1"/>
  <c r="AC8" i="27" s="1"/>
  <c r="AD8" i="27" s="1"/>
  <c r="AF7" i="27"/>
  <c r="AG7" i="27" s="1"/>
  <c r="AH7" i="27" s="1"/>
  <c r="AI7" i="27" s="1"/>
  <c r="AJ7" i="27" s="1"/>
  <c r="AK7" i="27" s="1"/>
  <c r="AL7" i="27" s="1"/>
  <c r="AM7" i="27" s="1"/>
  <c r="AN7" i="27" s="1"/>
  <c r="AO7" i="27" s="1"/>
  <c r="AP7" i="27" s="1"/>
  <c r="T7" i="27"/>
  <c r="U7" i="27" s="1"/>
  <c r="V7" i="27" s="1"/>
  <c r="W7" i="27" s="1"/>
  <c r="X7" i="27" s="1"/>
  <c r="Y7" i="27" s="1"/>
  <c r="Z7" i="27" s="1"/>
  <c r="AA7" i="27" s="1"/>
  <c r="AB7" i="27" s="1"/>
  <c r="AC7" i="27" s="1"/>
  <c r="AD7" i="27" s="1"/>
  <c r="AF6" i="27"/>
  <c r="T6" i="27"/>
  <c r="U6" i="27" s="1"/>
  <c r="V6" i="27" s="1"/>
  <c r="W6" i="27" s="1"/>
  <c r="X6" i="27" s="1"/>
  <c r="Y6" i="27" s="1"/>
  <c r="Z6" i="27" s="1"/>
  <c r="AA6" i="27" s="1"/>
  <c r="AB6" i="27" s="1"/>
  <c r="AC6" i="27" s="1"/>
  <c r="AD6" i="27" s="1"/>
  <c r="AG3" i="27"/>
  <c r="AH3" i="27" s="1"/>
  <c r="AI3" i="27" s="1"/>
  <c r="AJ3" i="27" s="1"/>
  <c r="AK3" i="27" s="1"/>
  <c r="AL3" i="27" s="1"/>
  <c r="AM3" i="27" s="1"/>
  <c r="AN3" i="27" s="1"/>
  <c r="AO3" i="27" s="1"/>
  <c r="AP3" i="27" s="1"/>
  <c r="AE1" i="27"/>
  <c r="AW232" i="26"/>
  <c r="AV232" i="26"/>
  <c r="AV233" i="26" s="1"/>
  <c r="AU232" i="26"/>
  <c r="AT232" i="26"/>
  <c r="AT233" i="26" s="1"/>
  <c r="AS232" i="26"/>
  <c r="AR232" i="26"/>
  <c r="AQ232" i="26"/>
  <c r="AQ233" i="26" s="1"/>
  <c r="AP232" i="26"/>
  <c r="AP233" i="26" s="1"/>
  <c r="AO232" i="26"/>
  <c r="AO233" i="26" s="1"/>
  <c r="AN232" i="26"/>
  <c r="AN233" i="26" s="1"/>
  <c r="AM232" i="26"/>
  <c r="AM233" i="26" s="1"/>
  <c r="AL232" i="26"/>
  <c r="AK232" i="26"/>
  <c r="AJ232" i="26"/>
  <c r="AI232" i="26"/>
  <c r="AH232" i="26"/>
  <c r="AH233" i="26" s="1"/>
  <c r="AG232" i="26"/>
  <c r="AF232" i="26"/>
  <c r="AE232" i="26"/>
  <c r="AD232" i="26"/>
  <c r="AC232" i="26"/>
  <c r="AC233" i="26" s="1"/>
  <c r="AB232" i="26"/>
  <c r="AA232" i="26"/>
  <c r="AA233" i="26" s="1"/>
  <c r="Z232" i="26"/>
  <c r="Y232" i="26"/>
  <c r="X232" i="26"/>
  <c r="W232" i="26"/>
  <c r="W233" i="26" s="1"/>
  <c r="V232" i="26"/>
  <c r="U232" i="26"/>
  <c r="U233" i="26" s="1"/>
  <c r="T232" i="26"/>
  <c r="S232" i="26"/>
  <c r="S233" i="26" s="1"/>
  <c r="R232" i="26"/>
  <c r="Q232" i="26"/>
  <c r="Q233" i="26" s="1"/>
  <c r="P232" i="26"/>
  <c r="P233" i="26" s="1"/>
  <c r="AW158" i="26"/>
  <c r="AV158" i="26"/>
  <c r="AV159" i="26" s="1"/>
  <c r="AU158" i="26"/>
  <c r="AT158" i="26"/>
  <c r="AT159" i="26" s="1"/>
  <c r="AS158" i="26"/>
  <c r="AR158" i="26"/>
  <c r="AQ158" i="26"/>
  <c r="AQ159" i="26" s="1"/>
  <c r="AP158" i="26"/>
  <c r="AP159" i="26" s="1"/>
  <c r="AO158" i="26"/>
  <c r="AO159" i="26" s="1"/>
  <c r="AN158" i="26"/>
  <c r="AN159" i="26" s="1"/>
  <c r="AM158" i="26"/>
  <c r="AM159" i="26" s="1"/>
  <c r="AL158" i="26"/>
  <c r="AL159" i="26" s="1"/>
  <c r="AK158" i="26"/>
  <c r="AK159" i="26" s="1"/>
  <c r="AJ158" i="26"/>
  <c r="AJ159" i="26" s="1"/>
  <c r="AI158" i="26"/>
  <c r="AH158" i="26"/>
  <c r="AH159" i="26" s="1"/>
  <c r="AG158" i="26"/>
  <c r="AF158" i="26"/>
  <c r="AE158" i="26"/>
  <c r="AD158" i="26"/>
  <c r="AC158" i="26"/>
  <c r="AC159" i="26" s="1"/>
  <c r="AB158" i="26"/>
  <c r="AA158" i="26"/>
  <c r="AA159" i="26" s="1"/>
  <c r="Z158" i="26"/>
  <c r="Y158" i="26"/>
  <c r="X158" i="26"/>
  <c r="W158" i="26"/>
  <c r="W159" i="26" s="1"/>
  <c r="V158" i="26"/>
  <c r="U158" i="26"/>
  <c r="U159" i="26" s="1"/>
  <c r="T158" i="26"/>
  <c r="S158" i="26"/>
  <c r="S159" i="26" s="1"/>
  <c r="R158" i="26"/>
  <c r="Q158" i="26"/>
  <c r="Q159" i="26" s="1"/>
  <c r="P158" i="26"/>
  <c r="P159" i="26" s="1"/>
  <c r="AQ64" i="25"/>
  <c r="AQ44" i="25" s="1"/>
  <c r="AO64" i="25"/>
  <c r="AO44" i="25" s="1"/>
  <c r="AM64" i="25"/>
  <c r="AM44" i="25" s="1"/>
  <c r="AK64" i="25"/>
  <c r="AK44" i="25" s="1"/>
  <c r="AI64" i="25"/>
  <c r="AI44" i="25" s="1"/>
  <c r="AG64" i="25"/>
  <c r="AG44" i="25" s="1"/>
  <c r="AD64" i="25"/>
  <c r="AD44" i="25" s="1"/>
  <c r="AA64" i="25"/>
  <c r="AA44" i="25" s="1"/>
  <c r="Y64" i="25"/>
  <c r="Y44" i="25" s="1"/>
  <c r="W64" i="25"/>
  <c r="W44" i="25" s="1"/>
  <c r="U64" i="25"/>
  <c r="U44" i="25" s="1"/>
  <c r="S64" i="25"/>
  <c r="S44" i="25" s="1"/>
  <c r="R64" i="25"/>
  <c r="R44" i="25" s="1"/>
  <c r="P64" i="25"/>
  <c r="P44" i="25" s="1"/>
  <c r="N64" i="25"/>
  <c r="N44" i="25" s="1"/>
  <c r="L64" i="25"/>
  <c r="AP63" i="25"/>
  <c r="AP45" i="25" s="1"/>
  <c r="AN63" i="25"/>
  <c r="AN45" i="25" s="1"/>
  <c r="AL63" i="25"/>
  <c r="AL45" i="25" s="1"/>
  <c r="AJ63" i="25"/>
  <c r="AJ45" i="25" s="1"/>
  <c r="AH63" i="25"/>
  <c r="AH45" i="25" s="1"/>
  <c r="AE63" i="25"/>
  <c r="AE45" i="25" s="1"/>
  <c r="AB63" i="25"/>
  <c r="AB45" i="25" s="1"/>
  <c r="Z63" i="25"/>
  <c r="Z45" i="25" s="1"/>
  <c r="X63" i="25"/>
  <c r="X45" i="25" s="1"/>
  <c r="V63" i="25"/>
  <c r="V45" i="25" s="1"/>
  <c r="M63" i="25"/>
  <c r="M45" i="25" s="1"/>
  <c r="AM62" i="25"/>
  <c r="AM42" i="25" s="1"/>
  <c r="AK62" i="25"/>
  <c r="AK42" i="25" s="1"/>
  <c r="AI62" i="25"/>
  <c r="AI42" i="25" s="1"/>
  <c r="AF62" i="25"/>
  <c r="AF42" i="25" s="1"/>
  <c r="AD62" i="25"/>
  <c r="AD42" i="25" s="1"/>
  <c r="AB62" i="25"/>
  <c r="AB42" i="25" s="1"/>
  <c r="Z62" i="25"/>
  <c r="Z42" i="25" s="1"/>
  <c r="X62" i="25"/>
  <c r="X42" i="25" s="1"/>
  <c r="V62" i="25"/>
  <c r="V42" i="25" s="1"/>
  <c r="T62" i="25"/>
  <c r="T42" i="25" s="1"/>
  <c r="R62" i="25"/>
  <c r="R42" i="25" s="1"/>
  <c r="P62" i="25"/>
  <c r="P42" i="25" s="1"/>
  <c r="N62" i="25"/>
  <c r="N42" i="25" s="1"/>
  <c r="L62" i="25"/>
  <c r="AP61" i="25"/>
  <c r="AP43" i="25" s="1"/>
  <c r="AN61" i="25"/>
  <c r="AN43" i="25" s="1"/>
  <c r="AL61" i="25"/>
  <c r="AL43" i="25" s="1"/>
  <c r="AJ61" i="25"/>
  <c r="AJ43" i="25" s="1"/>
  <c r="AH61" i="25"/>
  <c r="AH43" i="25" s="1"/>
  <c r="AF61" i="25"/>
  <c r="AF43" i="25" s="1"/>
  <c r="AD61" i="25"/>
  <c r="AD43" i="25" s="1"/>
  <c r="AB61" i="25"/>
  <c r="AB43" i="25" s="1"/>
  <c r="Z61" i="25"/>
  <c r="Z43" i="25" s="1"/>
  <c r="X61" i="25"/>
  <c r="X43" i="25" s="1"/>
  <c r="V61" i="25"/>
  <c r="V43" i="25" s="1"/>
  <c r="T61" i="25"/>
  <c r="T43" i="25" s="1"/>
  <c r="R61" i="25"/>
  <c r="R43" i="25" s="1"/>
  <c r="P61" i="25"/>
  <c r="P43" i="25" s="1"/>
  <c r="N61" i="25"/>
  <c r="N43" i="25" s="1"/>
  <c r="L61" i="25"/>
  <c r="AQ60" i="25"/>
  <c r="AQ40" i="25" s="1"/>
  <c r="AO60" i="25"/>
  <c r="AO40" i="25" s="1"/>
  <c r="AM60" i="25"/>
  <c r="AM40" i="25" s="1"/>
  <c r="AK60" i="25"/>
  <c r="AK40" i="25" s="1"/>
  <c r="AI60" i="25"/>
  <c r="AI40" i="25" s="1"/>
  <c r="AG60" i="25"/>
  <c r="AG40" i="25" s="1"/>
  <c r="AE60" i="25"/>
  <c r="AE40" i="25" s="1"/>
  <c r="AC60" i="25"/>
  <c r="AC40" i="25" s="1"/>
  <c r="AA60" i="25"/>
  <c r="AA40" i="25" s="1"/>
  <c r="Y60" i="25"/>
  <c r="Y40" i="25" s="1"/>
  <c r="W60" i="25"/>
  <c r="W40" i="25" s="1"/>
  <c r="U60" i="25"/>
  <c r="U40" i="25" s="1"/>
  <c r="S60" i="25"/>
  <c r="S40" i="25" s="1"/>
  <c r="Q60" i="25"/>
  <c r="Q40" i="25" s="1"/>
  <c r="O60" i="25"/>
  <c r="O40" i="25" s="1"/>
  <c r="M60" i="25"/>
  <c r="M40" i="25" s="1"/>
  <c r="AQ59" i="25"/>
  <c r="AO59" i="25"/>
  <c r="AM59" i="25"/>
  <c r="AK59" i="25"/>
  <c r="AI59" i="25"/>
  <c r="AG59" i="25"/>
  <c r="AE59" i="25"/>
  <c r="AB59" i="25"/>
  <c r="Z59" i="25"/>
  <c r="X59" i="25"/>
  <c r="V59" i="25"/>
  <c r="T59" i="25"/>
  <c r="R59" i="25"/>
  <c r="O59" i="25"/>
  <c r="M59" i="25"/>
  <c r="AO58" i="25"/>
  <c r="AM58" i="25"/>
  <c r="AK58" i="25"/>
  <c r="AI58" i="25"/>
  <c r="AG58" i="25"/>
  <c r="AE58" i="25"/>
  <c r="AC58" i="25"/>
  <c r="AA58" i="25"/>
  <c r="Z58" i="25"/>
  <c r="X58" i="25"/>
  <c r="V58" i="25"/>
  <c r="T58" i="25"/>
  <c r="R58" i="25"/>
  <c r="P58" i="25"/>
  <c r="N58" i="25"/>
  <c r="L58" i="25"/>
  <c r="D58" i="25" s="1"/>
  <c r="AN57" i="25"/>
  <c r="AL57" i="25"/>
  <c r="AJ57" i="25"/>
  <c r="AH57" i="25"/>
  <c r="AF57" i="25"/>
  <c r="AD57" i="25"/>
  <c r="AB57" i="25"/>
  <c r="Y57" i="25"/>
  <c r="W57" i="25"/>
  <c r="U57" i="25"/>
  <c r="P57" i="25"/>
  <c r="N57" i="25"/>
  <c r="AQ56" i="25"/>
  <c r="AM56" i="25"/>
  <c r="AJ56" i="25"/>
  <c r="AF56" i="25"/>
  <c r="AC56" i="25"/>
  <c r="Z56" i="25"/>
  <c r="T56" i="25"/>
  <c r="O56" i="25"/>
  <c r="AN55" i="25"/>
  <c r="AK55" i="25"/>
  <c r="AH55" i="25"/>
  <c r="AD55" i="25"/>
  <c r="AC55" i="25"/>
  <c r="Y55" i="25"/>
  <c r="V55" i="25"/>
  <c r="U55" i="25"/>
  <c r="Q55" i="25"/>
  <c r="N55" i="25"/>
  <c r="AP54" i="25"/>
  <c r="AL54" i="25"/>
  <c r="AH54" i="25"/>
  <c r="AE54" i="25"/>
  <c r="AC54" i="25"/>
  <c r="AA54" i="25"/>
  <c r="X54" i="25"/>
  <c r="S54" i="25"/>
  <c r="P54" i="25"/>
  <c r="N54" i="25"/>
  <c r="L54" i="25"/>
  <c r="AR53" i="25"/>
  <c r="AO53" i="25"/>
  <c r="AK53" i="25"/>
  <c r="AH53" i="25"/>
  <c r="AD53" i="25"/>
  <c r="Z53" i="25"/>
  <c r="Q53" i="25"/>
  <c r="M53" i="25"/>
  <c r="AO52" i="25"/>
  <c r="AO37" i="25" s="1"/>
  <c r="AK52" i="25"/>
  <c r="AK37" i="25" s="1"/>
  <c r="AE52" i="25"/>
  <c r="AE37" i="25" s="1"/>
  <c r="AD52" i="25"/>
  <c r="AD37" i="25" s="1"/>
  <c r="Z52" i="25"/>
  <c r="Z37" i="25" s="1"/>
  <c r="Y52" i="25"/>
  <c r="Y37" i="25" s="1"/>
  <c r="P52" i="25"/>
  <c r="P37" i="25" s="1"/>
  <c r="M52" i="25"/>
  <c r="M37" i="25" s="1"/>
  <c r="AK51" i="25"/>
  <c r="AK34" i="25" s="1"/>
  <c r="AG51" i="25"/>
  <c r="AG34" i="25" s="1"/>
  <c r="AF51" i="25"/>
  <c r="AF34" i="25" s="1"/>
  <c r="AB51" i="25"/>
  <c r="AB34" i="25" s="1"/>
  <c r="AA51" i="25"/>
  <c r="AA34" i="25" s="1"/>
  <c r="S51" i="25"/>
  <c r="S34" i="25" s="1"/>
  <c r="O51" i="25"/>
  <c r="O34" i="25" s="1"/>
  <c r="AD24" i="25"/>
  <c r="H24" i="25"/>
  <c r="AO23" i="25"/>
  <c r="J23" i="25"/>
  <c r="R22" i="25"/>
  <c r="H22" i="25"/>
  <c r="AP21" i="25"/>
  <c r="AD21" i="25"/>
  <c r="Z21" i="25"/>
  <c r="M21" i="25"/>
  <c r="R20" i="25"/>
  <c r="I20" i="25"/>
  <c r="AR11" i="25"/>
  <c r="AL11" i="25"/>
  <c r="AI11" i="25"/>
  <c r="AF11" i="25"/>
  <c r="AA11" i="25"/>
  <c r="V11" i="25"/>
  <c r="N11" i="25"/>
  <c r="AM6" i="25"/>
  <c r="AT3" i="26" s="1" a="1"/>
  <c r="AT3" i="26" s="1"/>
  <c r="AJ6" i="25"/>
  <c r="AO3" i="26" s="1" a="1"/>
  <c r="AO3" i="26" s="1"/>
  <c r="AD6" i="25"/>
  <c r="AB6" i="25"/>
  <c r="AA3" i="26" s="1" a="1"/>
  <c r="AA3" i="26" s="1"/>
  <c r="Z6" i="25"/>
  <c r="V3" i="26" s="1" a="1"/>
  <c r="V3" i="26" s="1"/>
  <c r="O6" i="25"/>
  <c r="W3" i="26" s="1" a="1"/>
  <c r="W3" i="26" s="1"/>
  <c r="Z65" i="5"/>
  <c r="T65" i="5"/>
  <c r="L51" i="25"/>
  <c r="AR45" i="25"/>
  <c r="AQ45" i="25"/>
  <c r="AF45" i="25"/>
  <c r="AC45" i="25"/>
  <c r="T45" i="25"/>
  <c r="S45" i="25"/>
  <c r="R45" i="25"/>
  <c r="Q45" i="25"/>
  <c r="P45" i="25"/>
  <c r="O45" i="25"/>
  <c r="N45" i="25"/>
  <c r="AE44" i="25"/>
  <c r="AC44" i="25"/>
  <c r="AR42" i="25"/>
  <c r="AQ42" i="25"/>
  <c r="AP42" i="25"/>
  <c r="AO42" i="25"/>
  <c r="AN42" i="25"/>
  <c r="AG42" i="25"/>
  <c r="AQ39" i="25"/>
  <c r="AP39" i="25"/>
  <c r="AO39" i="25"/>
  <c r="AN39" i="25"/>
  <c r="AL39" i="25"/>
  <c r="AC39" i="25"/>
  <c r="AA39" i="25"/>
  <c r="X39" i="25"/>
  <c r="V39" i="25"/>
  <c r="S39" i="25"/>
  <c r="P39" i="25"/>
  <c r="N39" i="25"/>
  <c r="AR37" i="25"/>
  <c r="AQ37" i="25"/>
  <c r="AJ37" i="25"/>
  <c r="AR35" i="25"/>
  <c r="AQ35" i="25"/>
  <c r="AP35" i="25"/>
  <c r="AO35" i="25"/>
  <c r="AN35" i="25"/>
  <c r="AM35" i="25"/>
  <c r="AL35" i="25"/>
  <c r="AK35" i="25"/>
  <c r="AJ35" i="25"/>
  <c r="AI35" i="25"/>
  <c r="AH35" i="25"/>
  <c r="AG35" i="25"/>
  <c r="AF35" i="25"/>
  <c r="AE35" i="25"/>
  <c r="AD35" i="25"/>
  <c r="AC35" i="25"/>
  <c r="AB35" i="25"/>
  <c r="AA35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D35" i="25"/>
  <c r="AR34" i="25"/>
  <c r="AQ34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J31" i="25"/>
  <c r="I31" i="25"/>
  <c r="H31" i="25"/>
  <c r="F31" i="25"/>
  <c r="D31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J30" i="25"/>
  <c r="I30" i="25"/>
  <c r="H30" i="25"/>
  <c r="F30" i="25"/>
  <c r="D30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J29" i="25"/>
  <c r="I29" i="25"/>
  <c r="H29" i="25"/>
  <c r="F29" i="25"/>
  <c r="D29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J28" i="25"/>
  <c r="I28" i="25"/>
  <c r="H28" i="25"/>
  <c r="F28" i="25"/>
  <c r="D28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J27" i="25"/>
  <c r="I27" i="25"/>
  <c r="H27" i="25"/>
  <c r="F27" i="25"/>
  <c r="D27" i="25"/>
  <c r="AR25" i="25"/>
  <c r="AP25" i="25"/>
  <c r="AO25" i="25"/>
  <c r="AL25" i="25"/>
  <c r="AI25" i="25"/>
  <c r="AF25" i="25"/>
  <c r="AD25" i="25"/>
  <c r="AA25" i="25"/>
  <c r="Z25" i="25"/>
  <c r="V25" i="25"/>
  <c r="U25" i="25"/>
  <c r="S25" i="25"/>
  <c r="R25" i="25"/>
  <c r="N25" i="25"/>
  <c r="M25" i="25"/>
  <c r="J25" i="25"/>
  <c r="I25" i="25"/>
  <c r="H25" i="25"/>
  <c r="F25" i="25"/>
  <c r="D25" i="25"/>
  <c r="AR24" i="25"/>
  <c r="P13" i="8" a="1"/>
  <c r="P13" i="8" s="1"/>
  <c r="D6" i="8"/>
  <c r="F88" i="7"/>
  <c r="M79" i="7"/>
  <c r="L79" i="7"/>
  <c r="L76" i="7"/>
  <c r="I69" i="7"/>
  <c r="M60" i="7"/>
  <c r="I60" i="7"/>
  <c r="I54" i="7"/>
  <c r="I52" i="7"/>
  <c r="I44" i="7"/>
  <c r="I43" i="7"/>
  <c r="Y65" i="5"/>
  <c r="U65" i="5"/>
  <c r="F7" i="21"/>
  <c r="F61" i="21" s="1"/>
  <c r="J2" i="21"/>
  <c r="K2" i="21" s="1"/>
  <c r="L2" i="21" s="1"/>
  <c r="M2" i="21" s="1"/>
  <c r="N2" i="21" s="1"/>
  <c r="O2" i="21" s="1"/>
  <c r="P2" i="21" s="1"/>
  <c r="Q2" i="21" s="1"/>
  <c r="R2" i="21" s="1"/>
  <c r="S2" i="21" s="1"/>
  <c r="T2" i="21" s="1"/>
  <c r="I535" i="20"/>
  <c r="F535" i="20"/>
  <c r="I534" i="20"/>
  <c r="F534" i="20"/>
  <c r="I533" i="20"/>
  <c r="F533" i="20"/>
  <c r="I532" i="20"/>
  <c r="F532" i="20"/>
  <c r="I531" i="20"/>
  <c r="F531" i="20"/>
  <c r="I530" i="20"/>
  <c r="F530" i="20"/>
  <c r="I529" i="20"/>
  <c r="F529" i="20"/>
  <c r="I528" i="20"/>
  <c r="F528" i="20"/>
  <c r="I527" i="20"/>
  <c r="F527" i="20"/>
  <c r="I526" i="20"/>
  <c r="F526" i="20"/>
  <c r="I525" i="20"/>
  <c r="F525" i="20"/>
  <c r="I524" i="20"/>
  <c r="F524" i="20"/>
  <c r="I523" i="20"/>
  <c r="F523" i="20"/>
  <c r="I522" i="20"/>
  <c r="F522" i="20"/>
  <c r="I521" i="20"/>
  <c r="F521" i="20"/>
  <c r="I520" i="20"/>
  <c r="F520" i="20"/>
  <c r="I519" i="20"/>
  <c r="F519" i="20"/>
  <c r="I518" i="20"/>
  <c r="F518" i="20"/>
  <c r="I517" i="20"/>
  <c r="F517" i="20"/>
  <c r="I516" i="20"/>
  <c r="F516" i="20"/>
  <c r="I515" i="20"/>
  <c r="F515" i="20"/>
  <c r="I514" i="20"/>
  <c r="F514" i="20"/>
  <c r="I513" i="20"/>
  <c r="F513" i="20"/>
  <c r="I512" i="20"/>
  <c r="F512" i="20"/>
  <c r="I511" i="20"/>
  <c r="F511" i="20"/>
  <c r="I510" i="20"/>
  <c r="F510" i="20"/>
  <c r="I509" i="20"/>
  <c r="F509" i="20"/>
  <c r="I508" i="20"/>
  <c r="F508" i="20"/>
  <c r="I507" i="20"/>
  <c r="F507" i="20"/>
  <c r="I506" i="20"/>
  <c r="F506" i="20"/>
  <c r="I505" i="20"/>
  <c r="F505" i="20"/>
  <c r="I504" i="20"/>
  <c r="F504" i="20"/>
  <c r="I503" i="20"/>
  <c r="F503" i="20"/>
  <c r="I501" i="20"/>
  <c r="F501" i="20"/>
  <c r="I500" i="20"/>
  <c r="F500" i="20"/>
  <c r="I499" i="20"/>
  <c r="F499" i="20"/>
  <c r="I498" i="20"/>
  <c r="F498" i="20"/>
  <c r="I497" i="20"/>
  <c r="F497" i="20"/>
  <c r="I496" i="20"/>
  <c r="F496" i="20"/>
  <c r="I495" i="20"/>
  <c r="F495" i="20"/>
  <c r="I494" i="20"/>
  <c r="F494" i="20"/>
  <c r="I493" i="20"/>
  <c r="F493" i="20"/>
  <c r="I492" i="20"/>
  <c r="F492" i="20"/>
  <c r="I491" i="20"/>
  <c r="F491" i="20"/>
  <c r="I490" i="20"/>
  <c r="F490" i="20"/>
  <c r="I489" i="20"/>
  <c r="F489" i="20"/>
  <c r="I488" i="20"/>
  <c r="F488" i="20"/>
  <c r="I487" i="20"/>
  <c r="F487" i="20"/>
  <c r="I486" i="20"/>
  <c r="F486" i="20"/>
  <c r="I485" i="20"/>
  <c r="F485" i="20"/>
  <c r="I484" i="20"/>
  <c r="F484" i="20"/>
  <c r="I483" i="20"/>
  <c r="F483" i="20"/>
  <c r="I482" i="20"/>
  <c r="F482" i="20"/>
  <c r="I481" i="20"/>
  <c r="F481" i="20"/>
  <c r="I480" i="20"/>
  <c r="F480" i="20"/>
  <c r="I479" i="20"/>
  <c r="F479" i="20"/>
  <c r="I478" i="20"/>
  <c r="F478" i="20"/>
  <c r="I477" i="20"/>
  <c r="F477" i="20"/>
  <c r="I476" i="20"/>
  <c r="F476" i="20"/>
  <c r="I475" i="20"/>
  <c r="F475" i="20"/>
  <c r="I474" i="20"/>
  <c r="F474" i="20"/>
  <c r="I473" i="20"/>
  <c r="F473" i="20"/>
  <c r="I472" i="20"/>
  <c r="F472" i="20"/>
  <c r="I471" i="20"/>
  <c r="F471" i="20"/>
  <c r="I470" i="20"/>
  <c r="F470" i="20"/>
  <c r="I469" i="20"/>
  <c r="F469" i="20"/>
  <c r="I468" i="20"/>
  <c r="F468" i="20"/>
  <c r="I467" i="20"/>
  <c r="F467" i="20"/>
  <c r="I466" i="20"/>
  <c r="F466" i="20"/>
  <c r="I465" i="20"/>
  <c r="F465" i="20"/>
  <c r="I464" i="20"/>
  <c r="F464" i="20"/>
  <c r="I463" i="20"/>
  <c r="F463" i="20"/>
  <c r="I462" i="20"/>
  <c r="F462" i="20"/>
  <c r="I461" i="20"/>
  <c r="F461" i="20"/>
  <c r="I460" i="20"/>
  <c r="F460" i="20"/>
  <c r="I459" i="20"/>
  <c r="F459" i="20"/>
  <c r="I458" i="20"/>
  <c r="F458" i="20"/>
  <c r="I457" i="20"/>
  <c r="F457" i="20"/>
  <c r="I456" i="20"/>
  <c r="F456" i="20"/>
  <c r="I455" i="20"/>
  <c r="F455" i="20"/>
  <c r="R454" i="20"/>
  <c r="I454" i="20"/>
  <c r="F454" i="20"/>
  <c r="I453" i="20"/>
  <c r="F453" i="20"/>
  <c r="I452" i="20"/>
  <c r="F452" i="20"/>
  <c r="I451" i="20"/>
  <c r="F451" i="20"/>
  <c r="I450" i="20"/>
  <c r="F450" i="20"/>
  <c r="I449" i="20"/>
  <c r="F449" i="20"/>
  <c r="I448" i="20"/>
  <c r="F448" i="20"/>
  <c r="I447" i="20"/>
  <c r="F447" i="20"/>
  <c r="R446" i="20"/>
  <c r="I446" i="20"/>
  <c r="F446" i="20"/>
  <c r="R445" i="20"/>
  <c r="I445" i="20"/>
  <c r="F445" i="20"/>
  <c r="I444" i="20"/>
  <c r="F444" i="20"/>
  <c r="R443" i="20"/>
  <c r="I443" i="20"/>
  <c r="F443" i="20"/>
  <c r="I442" i="20"/>
  <c r="F442" i="20"/>
  <c r="R441" i="20"/>
  <c r="I441" i="20"/>
  <c r="F441" i="20"/>
  <c r="I440" i="20"/>
  <c r="F440" i="20"/>
  <c r="I439" i="20"/>
  <c r="F439" i="20"/>
  <c r="R438" i="20"/>
  <c r="I438" i="20"/>
  <c r="F438" i="20"/>
  <c r="R437" i="20"/>
  <c r="I437" i="20"/>
  <c r="F437" i="20"/>
  <c r="I436" i="20"/>
  <c r="F436" i="20"/>
  <c r="I435" i="20"/>
  <c r="F435" i="20"/>
  <c r="R434" i="20"/>
  <c r="I434" i="20"/>
  <c r="F434" i="20"/>
  <c r="I433" i="20"/>
  <c r="F433" i="20"/>
  <c r="I432" i="20"/>
  <c r="F432" i="20"/>
  <c r="I431" i="20"/>
  <c r="F431" i="20"/>
  <c r="R430" i="20"/>
  <c r="I430" i="20"/>
  <c r="F430" i="20"/>
  <c r="R429" i="20"/>
  <c r="I429" i="20"/>
  <c r="F429" i="20"/>
  <c r="R428" i="20"/>
  <c r="I428" i="20"/>
  <c r="F428" i="20"/>
  <c r="R427" i="20"/>
  <c r="I427" i="20"/>
  <c r="F427" i="20"/>
  <c r="R426" i="20"/>
  <c r="I426" i="20"/>
  <c r="F426" i="20"/>
  <c r="R425" i="20"/>
  <c r="I425" i="20"/>
  <c r="F425" i="20"/>
  <c r="I424" i="20"/>
  <c r="F424" i="20"/>
  <c r="R423" i="20"/>
  <c r="I423" i="20"/>
  <c r="F423" i="20"/>
  <c r="R422" i="20"/>
  <c r="I422" i="20"/>
  <c r="F422" i="20"/>
  <c r="R421" i="20"/>
  <c r="I421" i="20"/>
  <c r="F421" i="20"/>
  <c r="R420" i="20"/>
  <c r="I420" i="20"/>
  <c r="F420" i="20"/>
  <c r="R419" i="20"/>
  <c r="I419" i="20"/>
  <c r="F419" i="20"/>
  <c r="R418" i="20"/>
  <c r="I418" i="20"/>
  <c r="F418" i="20"/>
  <c r="R417" i="20"/>
  <c r="I417" i="20"/>
  <c r="F417" i="20"/>
  <c r="R416" i="20"/>
  <c r="I416" i="20"/>
  <c r="F416" i="20"/>
  <c r="R415" i="20"/>
  <c r="I415" i="20"/>
  <c r="F415" i="20"/>
  <c r="R414" i="20"/>
  <c r="I414" i="20"/>
  <c r="F414" i="20"/>
  <c r="R413" i="20"/>
  <c r="I413" i="20"/>
  <c r="F413" i="20"/>
  <c r="R412" i="20"/>
  <c r="I412" i="20"/>
  <c r="F412" i="20"/>
  <c r="I411" i="20"/>
  <c r="F411" i="20"/>
  <c r="R410" i="20"/>
  <c r="I410" i="20"/>
  <c r="F410" i="20"/>
  <c r="R409" i="20"/>
  <c r="I409" i="20"/>
  <c r="F409" i="20"/>
  <c r="R408" i="20"/>
  <c r="I408" i="20"/>
  <c r="F408" i="20"/>
  <c r="R407" i="20"/>
  <c r="I407" i="20"/>
  <c r="F407" i="20"/>
  <c r="R406" i="20"/>
  <c r="I406" i="20"/>
  <c r="F406" i="20"/>
  <c r="R405" i="20"/>
  <c r="I405" i="20"/>
  <c r="F405" i="20"/>
  <c r="R404" i="20"/>
  <c r="I404" i="20"/>
  <c r="F404" i="20"/>
  <c r="R403" i="20"/>
  <c r="I403" i="20"/>
  <c r="F403" i="20"/>
  <c r="R402" i="20"/>
  <c r="I402" i="20"/>
  <c r="F402" i="20"/>
  <c r="R401" i="20"/>
  <c r="I401" i="20"/>
  <c r="F401" i="20"/>
  <c r="R400" i="20"/>
  <c r="I400" i="20"/>
  <c r="F400" i="20"/>
  <c r="R399" i="20"/>
  <c r="I399" i="20"/>
  <c r="F399" i="20"/>
  <c r="R398" i="20"/>
  <c r="I398" i="20"/>
  <c r="F398" i="20"/>
  <c r="I397" i="20"/>
  <c r="F397" i="20"/>
  <c r="I396" i="20"/>
  <c r="F396" i="20"/>
  <c r="I395" i="20"/>
  <c r="F395" i="20"/>
  <c r="I394" i="20"/>
  <c r="F394" i="20"/>
  <c r="I393" i="20"/>
  <c r="F393" i="20"/>
  <c r="I392" i="20"/>
  <c r="F392" i="20"/>
  <c r="I391" i="20"/>
  <c r="F391" i="20"/>
  <c r="I390" i="20"/>
  <c r="F390" i="20"/>
  <c r="I389" i="20"/>
  <c r="F389" i="20"/>
  <c r="I388" i="20"/>
  <c r="F388" i="20"/>
  <c r="I387" i="20"/>
  <c r="F387" i="20"/>
  <c r="I386" i="20"/>
  <c r="F386" i="20"/>
  <c r="I385" i="20"/>
  <c r="F385" i="20"/>
  <c r="I384" i="20"/>
  <c r="F384" i="20"/>
  <c r="I383" i="20"/>
  <c r="F383" i="20"/>
  <c r="I382" i="20"/>
  <c r="F382" i="20"/>
  <c r="I381" i="20"/>
  <c r="F381" i="20"/>
  <c r="I380" i="20"/>
  <c r="F380" i="20"/>
  <c r="I379" i="20"/>
  <c r="F379" i="20"/>
  <c r="I378" i="20"/>
  <c r="F378" i="20"/>
  <c r="I377" i="20"/>
  <c r="F377" i="20"/>
  <c r="I376" i="20"/>
  <c r="F376" i="20"/>
  <c r="I375" i="20"/>
  <c r="F375" i="20"/>
  <c r="R374" i="20"/>
  <c r="I374" i="20"/>
  <c r="F374" i="20"/>
  <c r="R373" i="20"/>
  <c r="I373" i="20"/>
  <c r="F373" i="20"/>
  <c r="R372" i="20"/>
  <c r="I372" i="20"/>
  <c r="F372" i="20"/>
  <c r="R371" i="20"/>
  <c r="I371" i="20"/>
  <c r="F371" i="20"/>
  <c r="R370" i="20"/>
  <c r="I370" i="20"/>
  <c r="F370" i="20"/>
  <c r="R369" i="20"/>
  <c r="I369" i="20"/>
  <c r="F369" i="20"/>
  <c r="R368" i="20"/>
  <c r="I368" i="20"/>
  <c r="F368" i="20"/>
  <c r="R367" i="20"/>
  <c r="I367" i="20"/>
  <c r="F367" i="20"/>
  <c r="R366" i="20"/>
  <c r="I366" i="20"/>
  <c r="F366" i="20"/>
  <c r="R365" i="20"/>
  <c r="I365" i="20"/>
  <c r="F365" i="20"/>
  <c r="R364" i="20"/>
  <c r="I364" i="20"/>
  <c r="F364" i="20"/>
  <c r="R363" i="20"/>
  <c r="I363" i="20"/>
  <c r="F363" i="20"/>
  <c r="R362" i="20"/>
  <c r="I362" i="20"/>
  <c r="F362" i="20"/>
  <c r="R361" i="20"/>
  <c r="I361" i="20"/>
  <c r="F361" i="20"/>
  <c r="R360" i="20"/>
  <c r="I360" i="20"/>
  <c r="F360" i="20"/>
  <c r="R359" i="20"/>
  <c r="I359" i="20"/>
  <c r="F359" i="20"/>
  <c r="R358" i="20"/>
  <c r="I358" i="20"/>
  <c r="F358" i="20"/>
  <c r="R357" i="20"/>
  <c r="I357" i="20"/>
  <c r="F357" i="20"/>
  <c r="R356" i="20"/>
  <c r="I356" i="20"/>
  <c r="F356" i="20"/>
  <c r="R355" i="20"/>
  <c r="I355" i="20"/>
  <c r="F355" i="20"/>
  <c r="R354" i="20"/>
  <c r="I354" i="20"/>
  <c r="F354" i="20"/>
  <c r="I352" i="20"/>
  <c r="F352" i="20"/>
  <c r="I351" i="20"/>
  <c r="F351" i="20"/>
  <c r="I350" i="20"/>
  <c r="F350" i="20"/>
  <c r="I349" i="20"/>
  <c r="F349" i="20"/>
  <c r="I348" i="20"/>
  <c r="F348" i="20"/>
  <c r="I347" i="20"/>
  <c r="F347" i="20"/>
  <c r="I346" i="20"/>
  <c r="F346" i="20"/>
  <c r="I345" i="20"/>
  <c r="F345" i="20"/>
  <c r="I344" i="20"/>
  <c r="F344" i="20"/>
  <c r="I343" i="20"/>
  <c r="F343" i="20"/>
  <c r="I342" i="20"/>
  <c r="F342" i="20"/>
  <c r="I341" i="20"/>
  <c r="F341" i="20"/>
  <c r="I340" i="20"/>
  <c r="F340" i="20"/>
  <c r="I339" i="20"/>
  <c r="F339" i="20"/>
  <c r="I338" i="20"/>
  <c r="F338" i="20"/>
  <c r="I337" i="20"/>
  <c r="F337" i="20"/>
  <c r="I336" i="20"/>
  <c r="F336" i="20"/>
  <c r="I335" i="20"/>
  <c r="F335" i="20"/>
  <c r="I334" i="20"/>
  <c r="F334" i="20"/>
  <c r="I333" i="20"/>
  <c r="F333" i="20"/>
  <c r="I332" i="20"/>
  <c r="F332" i="20"/>
  <c r="I331" i="20"/>
  <c r="F331" i="20"/>
  <c r="I330" i="20"/>
  <c r="F330" i="20"/>
  <c r="I329" i="20"/>
  <c r="F329" i="20"/>
  <c r="I328" i="20"/>
  <c r="F328" i="20"/>
  <c r="I327" i="20"/>
  <c r="F327" i="20"/>
  <c r="I326" i="20"/>
  <c r="F326" i="20"/>
  <c r="I325" i="20"/>
  <c r="F325" i="20"/>
  <c r="I324" i="20"/>
  <c r="F324" i="20"/>
  <c r="I323" i="20"/>
  <c r="F323" i="20"/>
  <c r="I322" i="20"/>
  <c r="F322" i="20"/>
  <c r="I321" i="20"/>
  <c r="F321" i="20"/>
  <c r="I320" i="20"/>
  <c r="F320" i="20"/>
  <c r="I319" i="20"/>
  <c r="F319" i="20"/>
  <c r="I318" i="20"/>
  <c r="F318" i="20"/>
  <c r="I317" i="20"/>
  <c r="F317" i="20"/>
  <c r="I316" i="20"/>
  <c r="F316" i="20"/>
  <c r="I315" i="20"/>
  <c r="F315" i="20"/>
  <c r="I314" i="20"/>
  <c r="F314" i="20"/>
  <c r="I313" i="20"/>
  <c r="F313" i="20"/>
  <c r="I312" i="20"/>
  <c r="F312" i="20"/>
  <c r="I311" i="20"/>
  <c r="F311" i="20"/>
  <c r="I310" i="20"/>
  <c r="F310" i="20"/>
  <c r="I309" i="20"/>
  <c r="F309" i="20"/>
  <c r="I308" i="20"/>
  <c r="F308" i="20"/>
  <c r="I307" i="20"/>
  <c r="F307" i="20"/>
  <c r="I306" i="20"/>
  <c r="F306" i="20"/>
  <c r="I305" i="20"/>
  <c r="F305" i="20"/>
  <c r="I304" i="20"/>
  <c r="F304" i="20"/>
  <c r="I303" i="20"/>
  <c r="F303" i="20"/>
  <c r="I302" i="20"/>
  <c r="F302" i="20"/>
  <c r="I301" i="20"/>
  <c r="F301" i="20"/>
  <c r="I300" i="20"/>
  <c r="F300" i="20"/>
  <c r="I299" i="20"/>
  <c r="F299" i="20"/>
  <c r="I298" i="20"/>
  <c r="F298" i="20"/>
  <c r="I297" i="20"/>
  <c r="F297" i="20"/>
  <c r="I296" i="20"/>
  <c r="F296" i="20"/>
  <c r="I295" i="20"/>
  <c r="F295" i="20"/>
  <c r="I294" i="20"/>
  <c r="F294" i="20"/>
  <c r="I293" i="20"/>
  <c r="F293" i="20"/>
  <c r="I292" i="20"/>
  <c r="F292" i="20"/>
  <c r="I291" i="20"/>
  <c r="F291" i="20"/>
  <c r="I290" i="20"/>
  <c r="F290" i="20"/>
  <c r="I289" i="20"/>
  <c r="F289" i="20"/>
  <c r="I288" i="20"/>
  <c r="F288" i="20"/>
  <c r="I287" i="20"/>
  <c r="F287" i="20"/>
  <c r="I286" i="20"/>
  <c r="F286" i="20"/>
  <c r="I285" i="20"/>
  <c r="F285" i="20"/>
  <c r="I284" i="20"/>
  <c r="F284" i="20"/>
  <c r="I283" i="20"/>
  <c r="F283" i="20"/>
  <c r="I282" i="20"/>
  <c r="F282" i="20"/>
  <c r="I281" i="20"/>
  <c r="F281" i="20"/>
  <c r="I280" i="20"/>
  <c r="F280" i="20"/>
  <c r="I279" i="20"/>
  <c r="F279" i="20"/>
  <c r="I278" i="20"/>
  <c r="F278" i="20"/>
  <c r="I277" i="20"/>
  <c r="F277" i="20"/>
  <c r="I276" i="20"/>
  <c r="F276" i="20"/>
  <c r="I275" i="20"/>
  <c r="F275" i="20"/>
  <c r="I274" i="20"/>
  <c r="F274" i="20"/>
  <c r="I273" i="20"/>
  <c r="F273" i="20"/>
  <c r="I272" i="20"/>
  <c r="F272" i="20"/>
  <c r="I271" i="20"/>
  <c r="F271" i="20"/>
  <c r="I270" i="20"/>
  <c r="F270" i="20"/>
  <c r="I269" i="20"/>
  <c r="F269" i="20"/>
  <c r="I268" i="20"/>
  <c r="F268" i="20"/>
  <c r="I267" i="20"/>
  <c r="F267" i="20"/>
  <c r="I266" i="20"/>
  <c r="F266" i="20"/>
  <c r="I265" i="20"/>
  <c r="F265" i="20"/>
  <c r="I264" i="20"/>
  <c r="F264" i="20"/>
  <c r="I263" i="20"/>
  <c r="F263" i="20"/>
  <c r="I262" i="20"/>
  <c r="F262" i="20"/>
  <c r="I261" i="20"/>
  <c r="F261" i="20"/>
  <c r="I260" i="20"/>
  <c r="F260" i="20"/>
  <c r="I259" i="20"/>
  <c r="F259" i="20"/>
  <c r="I258" i="20"/>
  <c r="F258" i="20"/>
  <c r="I257" i="20"/>
  <c r="F257" i="20"/>
  <c r="I256" i="20"/>
  <c r="F256" i="20"/>
  <c r="I255" i="20"/>
  <c r="F255" i="20"/>
  <c r="I254" i="20"/>
  <c r="F254" i="20"/>
  <c r="I253" i="20"/>
  <c r="F253" i="20"/>
  <c r="I252" i="20"/>
  <c r="F252" i="20"/>
  <c r="I251" i="20"/>
  <c r="F251" i="20"/>
  <c r="I250" i="20"/>
  <c r="F250" i="20"/>
  <c r="I249" i="20"/>
  <c r="F249" i="20"/>
  <c r="I248" i="20"/>
  <c r="F248" i="20"/>
  <c r="I247" i="20"/>
  <c r="F247" i="20"/>
  <c r="I246" i="20"/>
  <c r="F246" i="20"/>
  <c r="I245" i="20"/>
  <c r="F245" i="20"/>
  <c r="I244" i="20"/>
  <c r="F244" i="20"/>
  <c r="I243" i="20"/>
  <c r="F243" i="20"/>
  <c r="I242" i="20"/>
  <c r="F242" i="20"/>
  <c r="I241" i="20"/>
  <c r="F241" i="20"/>
  <c r="I240" i="20"/>
  <c r="F240" i="20"/>
  <c r="I239" i="20"/>
  <c r="F239" i="20"/>
  <c r="I238" i="20"/>
  <c r="F238" i="20"/>
  <c r="I237" i="20"/>
  <c r="F237" i="20"/>
  <c r="I236" i="20"/>
  <c r="F236" i="20"/>
  <c r="I235" i="20"/>
  <c r="F235" i="20"/>
  <c r="I234" i="20"/>
  <c r="F234" i="20"/>
  <c r="I233" i="20"/>
  <c r="F233" i="20"/>
  <c r="I232" i="20"/>
  <c r="F232" i="20"/>
  <c r="I231" i="20"/>
  <c r="F231" i="20"/>
  <c r="I230" i="20"/>
  <c r="F230" i="20"/>
  <c r="I229" i="20"/>
  <c r="F229" i="20"/>
  <c r="I228" i="20"/>
  <c r="F228" i="20"/>
  <c r="I227" i="20"/>
  <c r="F227" i="20"/>
  <c r="I226" i="20"/>
  <c r="F226" i="20"/>
  <c r="I225" i="20"/>
  <c r="F225" i="20"/>
  <c r="I224" i="20"/>
  <c r="F224" i="20"/>
  <c r="I223" i="20"/>
  <c r="F223" i="20"/>
  <c r="I222" i="20"/>
  <c r="F222" i="20"/>
  <c r="I221" i="20"/>
  <c r="F221" i="20"/>
  <c r="I220" i="20"/>
  <c r="F220" i="20"/>
  <c r="I219" i="20"/>
  <c r="F219" i="20"/>
  <c r="I218" i="20"/>
  <c r="F218" i="20"/>
  <c r="I217" i="20"/>
  <c r="F217" i="20"/>
  <c r="I216" i="20"/>
  <c r="F216" i="20"/>
  <c r="I215" i="20"/>
  <c r="F215" i="20"/>
  <c r="I214" i="20"/>
  <c r="F214" i="20"/>
  <c r="I213" i="20"/>
  <c r="F213" i="20"/>
  <c r="I212" i="20"/>
  <c r="F212" i="20"/>
  <c r="I211" i="20"/>
  <c r="F211" i="20"/>
  <c r="I210" i="20"/>
  <c r="F210" i="20"/>
  <c r="I209" i="20"/>
  <c r="F209" i="20"/>
  <c r="I208" i="20"/>
  <c r="F208" i="20"/>
  <c r="I207" i="20"/>
  <c r="F207" i="20"/>
  <c r="I206" i="20"/>
  <c r="F206" i="20"/>
  <c r="I205" i="20"/>
  <c r="F205" i="20"/>
  <c r="I204" i="20"/>
  <c r="F204" i="20"/>
  <c r="I203" i="20"/>
  <c r="F203" i="20"/>
  <c r="I202" i="20"/>
  <c r="F202" i="20"/>
  <c r="I201" i="20"/>
  <c r="F201" i="20"/>
  <c r="I200" i="20"/>
  <c r="F200" i="20"/>
  <c r="I199" i="20"/>
  <c r="F199" i="20"/>
  <c r="I198" i="20"/>
  <c r="F198" i="20"/>
  <c r="I197" i="20"/>
  <c r="F197" i="20"/>
  <c r="I196" i="20"/>
  <c r="F196" i="20"/>
  <c r="I195" i="20"/>
  <c r="F195" i="20"/>
  <c r="I194" i="20"/>
  <c r="F194" i="20"/>
  <c r="I193" i="20"/>
  <c r="F193" i="20"/>
  <c r="I192" i="20"/>
  <c r="F192" i="20"/>
  <c r="I191" i="20"/>
  <c r="F191" i="20"/>
  <c r="I190" i="20"/>
  <c r="F190" i="20"/>
  <c r="I189" i="20"/>
  <c r="F189" i="20"/>
  <c r="I188" i="20"/>
  <c r="F188" i="20"/>
  <c r="I187" i="20"/>
  <c r="F187" i="20"/>
  <c r="I186" i="20"/>
  <c r="F186" i="20"/>
  <c r="I185" i="20"/>
  <c r="F185" i="20"/>
  <c r="I184" i="20"/>
  <c r="F184" i="20"/>
  <c r="I183" i="20"/>
  <c r="F183" i="20"/>
  <c r="I182" i="20"/>
  <c r="F182" i="20"/>
  <c r="I181" i="20"/>
  <c r="F181" i="20"/>
  <c r="I180" i="20"/>
  <c r="F180" i="20"/>
  <c r="I179" i="20"/>
  <c r="F179" i="20"/>
  <c r="I178" i="20"/>
  <c r="F178" i="20"/>
  <c r="I174" i="20"/>
  <c r="F174" i="20"/>
  <c r="I173" i="20"/>
  <c r="F173" i="20"/>
  <c r="I172" i="20"/>
  <c r="F172" i="20"/>
  <c r="I171" i="20"/>
  <c r="F171" i="20"/>
  <c r="I170" i="20"/>
  <c r="AE3" i="20"/>
  <c r="AA3" i="20" a="1"/>
  <c r="AA3" i="20" s="1"/>
  <c r="I3" i="20"/>
  <c r="F3" i="20"/>
  <c r="I2" i="20"/>
  <c r="F2" i="20"/>
  <c r="AH226" i="19"/>
  <c r="AG226" i="19"/>
  <c r="AF226" i="19"/>
  <c r="X226" i="19"/>
  <c r="I226" i="19"/>
  <c r="Z225" i="19"/>
  <c r="Z224" i="19"/>
  <c r="Z223" i="19"/>
  <c r="Z221" i="19"/>
  <c r="Z220" i="19"/>
  <c r="Z219" i="19"/>
  <c r="Z218" i="19"/>
  <c r="Z217" i="19"/>
  <c r="Z216" i="19"/>
  <c r="Z215" i="19"/>
  <c r="Z214" i="19"/>
  <c r="Z213" i="19"/>
  <c r="Z212" i="19"/>
  <c r="Z211" i="19"/>
  <c r="Z209" i="19"/>
  <c r="Z208" i="19"/>
  <c r="Z206" i="19"/>
  <c r="Z205" i="19"/>
  <c r="Z204" i="19"/>
  <c r="Z202" i="19"/>
  <c r="Z201" i="19"/>
  <c r="Z198" i="19"/>
  <c r="Z197" i="19"/>
  <c r="Z196" i="19"/>
  <c r="Z195" i="19"/>
  <c r="Z194" i="19"/>
  <c r="Z191" i="19"/>
  <c r="Z190" i="19"/>
  <c r="Z179" i="19"/>
  <c r="Z178" i="19"/>
  <c r="Z176" i="19"/>
  <c r="Z175" i="19"/>
  <c r="Z174" i="19"/>
  <c r="Z173" i="19"/>
  <c r="Z172" i="19"/>
  <c r="Z171" i="19"/>
  <c r="Z169" i="19"/>
  <c r="Z168" i="19"/>
  <c r="Z164" i="19"/>
  <c r="Z160" i="19"/>
  <c r="Z158" i="19"/>
  <c r="Z156" i="19"/>
  <c r="Z155" i="19"/>
  <c r="Z154" i="19"/>
  <c r="Z152" i="19"/>
  <c r="Z151" i="19"/>
  <c r="Z149" i="19"/>
  <c r="Z146" i="19"/>
  <c r="Z145" i="19"/>
  <c r="Z144" i="19"/>
  <c r="Z142" i="19"/>
  <c r="Z141" i="19"/>
  <c r="Z139" i="19"/>
  <c r="Z138" i="19"/>
  <c r="Z137" i="19"/>
  <c r="Z136" i="19"/>
  <c r="Z134" i="19"/>
  <c r="Z133" i="19"/>
  <c r="Z132" i="19"/>
  <c r="Z130" i="19"/>
  <c r="Z129" i="19"/>
  <c r="Z128" i="19"/>
  <c r="Z127" i="19"/>
  <c r="Z124" i="19"/>
  <c r="Z123" i="19"/>
  <c r="Z120" i="19"/>
  <c r="Z119" i="19"/>
  <c r="Z113" i="19"/>
  <c r="Z110" i="19"/>
  <c r="Z109" i="19"/>
  <c r="Z107" i="19"/>
  <c r="Z106" i="19"/>
  <c r="Z105" i="19"/>
  <c r="Z104" i="19"/>
  <c r="Z97" i="19"/>
  <c r="Z96" i="19"/>
  <c r="Z94" i="19"/>
  <c r="Z91" i="19"/>
  <c r="Z88" i="19"/>
  <c r="Z87" i="19"/>
  <c r="Z85" i="19"/>
  <c r="Z84" i="19"/>
  <c r="Z83" i="19"/>
  <c r="Z81" i="19"/>
  <c r="Z80" i="19"/>
  <c r="Z78" i="19"/>
  <c r="Z77" i="19"/>
  <c r="Z76" i="19"/>
  <c r="Z75" i="19"/>
  <c r="Z74" i="19"/>
  <c r="Z73" i="19"/>
  <c r="Z72" i="19"/>
  <c r="Z71" i="19"/>
  <c r="Z68" i="19"/>
  <c r="Z64" i="19"/>
  <c r="Z63" i="19"/>
  <c r="Z61" i="19"/>
  <c r="Z60" i="19"/>
  <c r="Z58" i="19"/>
  <c r="Z57" i="19"/>
  <c r="Z54" i="19"/>
  <c r="Z53" i="19"/>
  <c r="Z52" i="19"/>
  <c r="Z50" i="19"/>
  <c r="Z49" i="19"/>
  <c r="Z48" i="19"/>
  <c r="Z47" i="19"/>
  <c r="Z46" i="19"/>
  <c r="Z43" i="19"/>
  <c r="E18" i="17"/>
  <c r="C18" i="17"/>
  <c r="E91" i="14"/>
  <c r="D91" i="14"/>
  <c r="G91" i="14" s="1"/>
  <c r="E90" i="14"/>
  <c r="C28" i="12"/>
  <c r="C26" i="12"/>
  <c r="G6" i="12"/>
  <c r="G5" i="12"/>
  <c r="G4" i="12"/>
  <c r="AC32" i="9"/>
  <c r="Y20" i="9" a="1"/>
  <c r="Y20" i="9" s="1"/>
  <c r="W20" i="9"/>
  <c r="Q20" i="9"/>
  <c r="E44" i="5" s="1" a="1"/>
  <c r="E44" i="5" s="1"/>
  <c r="P20" i="9"/>
  <c r="I20" i="9"/>
  <c r="H20" i="9"/>
  <c r="E29" i="5" s="1" a="1"/>
  <c r="E29" i="5" s="1"/>
  <c r="E31" i="5" s="1"/>
  <c r="E20" i="9"/>
  <c r="D20" i="9"/>
  <c r="R19" i="9"/>
  <c r="M19" i="9"/>
  <c r="D43" i="5" s="1" a="1"/>
  <c r="D43" i="5" s="1"/>
  <c r="L19" i="9"/>
  <c r="F19" i="9"/>
  <c r="R16" i="9"/>
  <c r="N16" i="9"/>
  <c r="J16" i="9"/>
  <c r="F16" i="9"/>
  <c r="F88" i="8"/>
  <c r="E88" i="8"/>
  <c r="K82" i="8"/>
  <c r="K81" i="8"/>
  <c r="L80" i="8"/>
  <c r="K80" i="8"/>
  <c r="K79" i="8"/>
  <c r="L69" i="8"/>
  <c r="I54" i="8"/>
  <c r="I52" i="8"/>
  <c r="I84" i="8" s="1"/>
  <c r="I45" i="8"/>
  <c r="I44" i="8"/>
  <c r="I43" i="8"/>
  <c r="F170" i="20"/>
  <c r="I169" i="20"/>
  <c r="F169" i="20"/>
  <c r="I168" i="20"/>
  <c r="F168" i="20"/>
  <c r="I167" i="20"/>
  <c r="F167" i="20"/>
  <c r="I166" i="20"/>
  <c r="F166" i="20"/>
  <c r="I165" i="20"/>
  <c r="F165" i="20"/>
  <c r="I164" i="20"/>
  <c r="F164" i="20"/>
  <c r="I163" i="20"/>
  <c r="F163" i="20"/>
  <c r="I162" i="20"/>
  <c r="F162" i="20"/>
  <c r="I161" i="20"/>
  <c r="F161" i="20"/>
  <c r="I160" i="20"/>
  <c r="F160" i="20"/>
  <c r="I159" i="20"/>
  <c r="F159" i="20"/>
  <c r="I158" i="20"/>
  <c r="F158" i="20"/>
  <c r="I157" i="20"/>
  <c r="F157" i="20"/>
  <c r="I156" i="20"/>
  <c r="F156" i="20"/>
  <c r="I155" i="20"/>
  <c r="F155" i="20"/>
  <c r="I154" i="20"/>
  <c r="F154" i="20"/>
  <c r="I153" i="20"/>
  <c r="F153" i="20"/>
  <c r="I152" i="20"/>
  <c r="F152" i="20"/>
  <c r="I151" i="20"/>
  <c r="F151" i="20"/>
  <c r="I150" i="20"/>
  <c r="F150" i="20"/>
  <c r="I149" i="20"/>
  <c r="F149" i="20"/>
  <c r="I148" i="20"/>
  <c r="F148" i="20"/>
  <c r="I147" i="20"/>
  <c r="F147" i="20"/>
  <c r="I146" i="20"/>
  <c r="F146" i="20"/>
  <c r="I145" i="20"/>
  <c r="F145" i="20"/>
  <c r="I144" i="20"/>
  <c r="F144" i="20"/>
  <c r="I143" i="20"/>
  <c r="F143" i="20"/>
  <c r="I142" i="20"/>
  <c r="F142" i="20"/>
  <c r="I141" i="20"/>
  <c r="F141" i="20"/>
  <c r="I140" i="20"/>
  <c r="F140" i="20"/>
  <c r="I139" i="20"/>
  <c r="F139" i="20"/>
  <c r="I138" i="20"/>
  <c r="F138" i="20"/>
  <c r="I137" i="20"/>
  <c r="F137" i="20"/>
  <c r="I136" i="20"/>
  <c r="F136" i="20"/>
  <c r="I135" i="20"/>
  <c r="F135" i="20"/>
  <c r="I134" i="20"/>
  <c r="F134" i="20"/>
  <c r="I133" i="20"/>
  <c r="F133" i="20"/>
  <c r="I132" i="20"/>
  <c r="F132" i="20"/>
  <c r="I131" i="20"/>
  <c r="F131" i="20"/>
  <c r="I130" i="20"/>
  <c r="F130" i="20"/>
  <c r="I129" i="20"/>
  <c r="F129" i="20"/>
  <c r="I128" i="20"/>
  <c r="F128" i="20"/>
  <c r="I127" i="20"/>
  <c r="F127" i="20"/>
  <c r="I126" i="20"/>
  <c r="F126" i="20"/>
  <c r="I125" i="20"/>
  <c r="F125" i="20"/>
  <c r="I124" i="20"/>
  <c r="F124" i="20"/>
  <c r="I123" i="20"/>
  <c r="F123" i="20"/>
  <c r="I122" i="20"/>
  <c r="F122" i="20"/>
  <c r="I121" i="20"/>
  <c r="F121" i="20"/>
  <c r="I120" i="20"/>
  <c r="F120" i="20"/>
  <c r="I119" i="20"/>
  <c r="F119" i="20"/>
  <c r="I118" i="20"/>
  <c r="F118" i="20"/>
  <c r="I117" i="20"/>
  <c r="F117" i="20"/>
  <c r="I116" i="20"/>
  <c r="F116" i="20"/>
  <c r="I115" i="20"/>
  <c r="F115" i="20"/>
  <c r="I114" i="20"/>
  <c r="F114" i="20"/>
  <c r="I113" i="20"/>
  <c r="F113" i="20"/>
  <c r="I112" i="20"/>
  <c r="F112" i="20"/>
  <c r="I111" i="20"/>
  <c r="F111" i="20"/>
  <c r="I110" i="20"/>
  <c r="F110" i="20"/>
  <c r="I109" i="20"/>
  <c r="F109" i="20"/>
  <c r="I108" i="20"/>
  <c r="F108" i="20"/>
  <c r="I107" i="20"/>
  <c r="F107" i="20"/>
  <c r="I106" i="20"/>
  <c r="F106" i="20"/>
  <c r="I105" i="20"/>
  <c r="F105" i="20"/>
  <c r="I104" i="20"/>
  <c r="F104" i="20"/>
  <c r="I103" i="20"/>
  <c r="F103" i="20"/>
  <c r="I102" i="20"/>
  <c r="F102" i="20"/>
  <c r="I101" i="20"/>
  <c r="F101" i="20"/>
  <c r="I100" i="20"/>
  <c r="F100" i="20"/>
  <c r="I99" i="20"/>
  <c r="F99" i="20"/>
  <c r="I98" i="20"/>
  <c r="F98" i="20"/>
  <c r="I97" i="20"/>
  <c r="F97" i="20"/>
  <c r="I96" i="20"/>
  <c r="F96" i="20"/>
  <c r="I95" i="20"/>
  <c r="F95" i="20"/>
  <c r="I94" i="20"/>
  <c r="F94" i="20"/>
  <c r="I93" i="20"/>
  <c r="F93" i="20"/>
  <c r="I92" i="20"/>
  <c r="F92" i="20"/>
  <c r="I91" i="20"/>
  <c r="F91" i="20"/>
  <c r="I90" i="20"/>
  <c r="F90" i="20"/>
  <c r="I89" i="20"/>
  <c r="F89" i="20"/>
  <c r="I88" i="20"/>
  <c r="F88" i="20"/>
  <c r="I87" i="20"/>
  <c r="F87" i="20"/>
  <c r="I86" i="20"/>
  <c r="F86" i="20"/>
  <c r="I85" i="20"/>
  <c r="F85" i="20"/>
  <c r="I84" i="20"/>
  <c r="F84" i="20"/>
  <c r="I83" i="20"/>
  <c r="F83" i="20"/>
  <c r="I82" i="20"/>
  <c r="F82" i="20"/>
  <c r="I81" i="20"/>
  <c r="F81" i="20"/>
  <c r="I80" i="20"/>
  <c r="F80" i="20"/>
  <c r="I79" i="20"/>
  <c r="F79" i="20"/>
  <c r="I78" i="20"/>
  <c r="F78" i="20"/>
  <c r="I77" i="20"/>
  <c r="F77" i="20"/>
  <c r="I76" i="20"/>
  <c r="F76" i="20"/>
  <c r="I75" i="20"/>
  <c r="F75" i="20"/>
  <c r="I74" i="20"/>
  <c r="F74" i="20"/>
  <c r="I73" i="20"/>
  <c r="F73" i="20"/>
  <c r="I72" i="20"/>
  <c r="F72" i="20"/>
  <c r="I71" i="20"/>
  <c r="F71" i="20"/>
  <c r="I70" i="20"/>
  <c r="F70" i="20"/>
  <c r="I69" i="20"/>
  <c r="F69" i="20"/>
  <c r="I68" i="20"/>
  <c r="F68" i="20"/>
  <c r="I67" i="20"/>
  <c r="F67" i="20"/>
  <c r="I66" i="20"/>
  <c r="F66" i="20"/>
  <c r="I65" i="20"/>
  <c r="F65" i="20"/>
  <c r="I64" i="20"/>
  <c r="F64" i="20"/>
  <c r="I63" i="20"/>
  <c r="F63" i="20"/>
  <c r="I62" i="20"/>
  <c r="F62" i="20"/>
  <c r="I61" i="20"/>
  <c r="F61" i="20"/>
  <c r="I60" i="20"/>
  <c r="F60" i="20"/>
  <c r="I59" i="20"/>
  <c r="F59" i="20"/>
  <c r="I58" i="20"/>
  <c r="F58" i="20"/>
  <c r="I57" i="20"/>
  <c r="F57" i="20"/>
  <c r="I56" i="20"/>
  <c r="F56" i="20"/>
  <c r="I55" i="20"/>
  <c r="F55" i="20"/>
  <c r="I54" i="20"/>
  <c r="F54" i="20"/>
  <c r="I53" i="20"/>
  <c r="F53" i="20"/>
  <c r="I52" i="20"/>
  <c r="F52" i="20"/>
  <c r="I51" i="20"/>
  <c r="F51" i="20"/>
  <c r="I50" i="20"/>
  <c r="F50" i="20"/>
  <c r="I48" i="20"/>
  <c r="F48" i="20"/>
  <c r="I47" i="20"/>
  <c r="F47" i="20"/>
  <c r="I46" i="20"/>
  <c r="F46" i="20"/>
  <c r="I45" i="20"/>
  <c r="F45" i="20"/>
  <c r="I44" i="20"/>
  <c r="F44" i="20"/>
  <c r="I43" i="20"/>
  <c r="F43" i="20"/>
  <c r="I42" i="20"/>
  <c r="F42" i="20"/>
  <c r="I41" i="20"/>
  <c r="F41" i="20"/>
  <c r="I40" i="20"/>
  <c r="F40" i="20"/>
  <c r="I39" i="20"/>
  <c r="F39" i="20"/>
  <c r="I38" i="20"/>
  <c r="F38" i="20"/>
  <c r="I37" i="20"/>
  <c r="F37" i="20"/>
  <c r="I36" i="20"/>
  <c r="F36" i="20"/>
  <c r="I35" i="20"/>
  <c r="F35" i="20"/>
  <c r="I34" i="20"/>
  <c r="F34" i="20"/>
  <c r="I33" i="20"/>
  <c r="F33" i="20"/>
  <c r="I32" i="20"/>
  <c r="F32" i="20"/>
  <c r="I31" i="20"/>
  <c r="F31" i="20"/>
  <c r="I30" i="20"/>
  <c r="F30" i="20"/>
  <c r="I29" i="20"/>
  <c r="F29" i="20"/>
  <c r="I28" i="20"/>
  <c r="F28" i="20"/>
  <c r="I27" i="20"/>
  <c r="F27" i="20"/>
  <c r="I26" i="20"/>
  <c r="F26" i="20"/>
  <c r="I25" i="20"/>
  <c r="F25" i="20"/>
  <c r="I24" i="20"/>
  <c r="F24" i="20"/>
  <c r="I23" i="20"/>
  <c r="F23" i="20"/>
  <c r="I22" i="20"/>
  <c r="F22" i="20"/>
  <c r="I21" i="20"/>
  <c r="F21" i="20"/>
  <c r="I20" i="20"/>
  <c r="F20" i="20"/>
  <c r="I19" i="20"/>
  <c r="F19" i="20"/>
  <c r="I18" i="20"/>
  <c r="F18" i="20"/>
  <c r="I17" i="20"/>
  <c r="F17" i="20"/>
  <c r="I16" i="20"/>
  <c r="F16" i="20"/>
  <c r="I15" i="20"/>
  <c r="F15" i="20"/>
  <c r="I14" i="20"/>
  <c r="F14" i="20"/>
  <c r="I13" i="20"/>
  <c r="F13" i="20"/>
  <c r="I12" i="20"/>
  <c r="F12" i="20"/>
  <c r="I11" i="20"/>
  <c r="F11" i="20"/>
  <c r="I10" i="20"/>
  <c r="F10" i="20"/>
  <c r="I9" i="20"/>
  <c r="F9" i="20"/>
  <c r="AF8" i="20"/>
  <c r="AE8" i="20"/>
  <c r="AD8" i="20"/>
  <c r="I8" i="20"/>
  <c r="F8" i="20"/>
  <c r="AF7" i="20"/>
  <c r="AE7" i="20"/>
  <c r="AD7" i="20"/>
  <c r="I7" i="20"/>
  <c r="F7" i="20"/>
  <c r="AF6" i="20"/>
  <c r="AE6" i="20"/>
  <c r="AD6" i="20"/>
  <c r="I6" i="20"/>
  <c r="F6" i="20"/>
  <c r="AF5" i="20"/>
  <c r="AE5" i="20"/>
  <c r="AD5" i="20"/>
  <c r="I5" i="20"/>
  <c r="F5" i="20"/>
  <c r="AF4" i="20"/>
  <c r="AE4" i="20"/>
  <c r="AD4" i="20"/>
  <c r="I4" i="20"/>
  <c r="F4" i="20"/>
  <c r="AF3" i="20"/>
  <c r="Z189" i="19"/>
  <c r="Z188" i="19"/>
  <c r="Z187" i="19"/>
  <c r="Z186" i="19"/>
  <c r="Z185" i="19"/>
  <c r="Z184" i="19"/>
  <c r="Z183" i="19"/>
  <c r="Z170" i="19"/>
  <c r="Z167" i="19"/>
  <c r="Z163" i="19"/>
  <c r="Z162" i="19"/>
  <c r="Z161" i="19"/>
  <c r="Z159" i="19"/>
  <c r="Z157" i="19"/>
  <c r="Z153" i="19"/>
  <c r="Z150" i="19"/>
  <c r="Z148" i="19"/>
  <c r="Z147" i="19"/>
  <c r="Z143" i="19"/>
  <c r="Z135" i="19"/>
  <c r="Z131" i="19"/>
  <c r="Z126" i="19"/>
  <c r="Z125" i="19"/>
  <c r="Z121" i="19"/>
  <c r="Z118" i="19"/>
  <c r="Z117" i="19"/>
  <c r="Z114" i="19"/>
  <c r="Z111" i="19"/>
  <c r="Z108" i="19"/>
  <c r="Z103" i="19"/>
  <c r="Z102" i="19"/>
  <c r="Z99" i="19"/>
  <c r="V98" i="19"/>
  <c r="Z98" i="19" s="1"/>
  <c r="Z95" i="19"/>
  <c r="Z93" i="19"/>
  <c r="Z92" i="19"/>
  <c r="Z90" i="19"/>
  <c r="Z89" i="19"/>
  <c r="Z86" i="19"/>
  <c r="Z70" i="19"/>
  <c r="Z69" i="19"/>
  <c r="Z67" i="19"/>
  <c r="Z65" i="19"/>
  <c r="Z62" i="19"/>
  <c r="Z59" i="19"/>
  <c r="Z56" i="19"/>
  <c r="Z55" i="19"/>
  <c r="Z51" i="19"/>
  <c r="Z45" i="19"/>
  <c r="Z42" i="19"/>
  <c r="Z41" i="19"/>
  <c r="Z40" i="19"/>
  <c r="Z226" i="19" s="1"/>
  <c r="A19" i="17"/>
  <c r="D18" i="17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92" i="14"/>
  <c r="D90" i="14"/>
  <c r="G90" i="14" s="1"/>
  <c r="G10" i="12"/>
  <c r="G7" i="12"/>
  <c r="G3" i="12"/>
  <c r="AE21" i="9"/>
  <c r="AC21" i="9"/>
  <c r="C21" i="9"/>
  <c r="J19" i="9"/>
  <c r="D88" i="8"/>
  <c r="L81" i="8"/>
  <c r="M69" i="8"/>
  <c r="K69" i="8"/>
  <c r="K67" i="8"/>
  <c r="L66" i="8"/>
  <c r="K66" i="8"/>
  <c r="L65" i="8"/>
  <c r="K65" i="8"/>
  <c r="K64" i="8"/>
  <c r="M63" i="8"/>
  <c r="L63" i="8"/>
  <c r="K63" i="8"/>
  <c r="I63" i="8"/>
  <c r="K62" i="8"/>
  <c r="I46" i="8"/>
  <c r="I78" i="8" s="1"/>
  <c r="CA65" i="5"/>
  <c r="X65" i="5"/>
  <c r="P65" i="5"/>
  <c r="Q32" i="10"/>
  <c r="AD21" i="10"/>
  <c r="AC21" i="10"/>
  <c r="AB21" i="10"/>
  <c r="AB22" i="10" s="1"/>
  <c r="AB23" i="10" s="1"/>
  <c r="AB24" i="10" s="1"/>
  <c r="AB25" i="10" s="1"/>
  <c r="AB26" i="10" s="1"/>
  <c r="AB27" i="10" s="1"/>
  <c r="AB28" i="10" s="1"/>
  <c r="AB29" i="10" s="1"/>
  <c r="AB30" i="10" s="1"/>
  <c r="AB31" i="10" s="1"/>
  <c r="AB32" i="10" s="1"/>
  <c r="AB33" i="10" s="1"/>
  <c r="AB34" i="10" s="1"/>
  <c r="AB35" i="10" s="1"/>
  <c r="AB36" i="10" s="1"/>
  <c r="AB37" i="10" s="1"/>
  <c r="AB38" i="10" s="1"/>
  <c r="AB39" i="10" s="1"/>
  <c r="AB40" i="10" s="1"/>
  <c r="AB41" i="10" s="1"/>
  <c r="AB42" i="10" s="1"/>
  <c r="AB43" i="10" s="1"/>
  <c r="AB44" i="10" s="1"/>
  <c r="AB46" i="10" s="1"/>
  <c r="AB47" i="10" s="1"/>
  <c r="AB48" i="10" s="1"/>
  <c r="AB49" i="10" s="1"/>
  <c r="X21" i="10"/>
  <c r="W21" i="10"/>
  <c r="V21" i="10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6" i="10" s="1"/>
  <c r="V47" i="10" s="1"/>
  <c r="V48" i="10" s="1"/>
  <c r="V49" i="10" s="1"/>
  <c r="S21" i="10"/>
  <c r="Q21" i="10"/>
  <c r="C21" i="10"/>
  <c r="AE20" i="10"/>
  <c r="Y20" i="10"/>
  <c r="M20" i="10" a="1"/>
  <c r="M20" i="10" s="1"/>
  <c r="K20" i="10"/>
  <c r="H20" i="10"/>
  <c r="E20" i="10"/>
  <c r="D20" i="10"/>
  <c r="AE19" i="10"/>
  <c r="Y19" i="10"/>
  <c r="F19" i="10"/>
  <c r="I40" i="6"/>
  <c r="I38" i="6"/>
  <c r="M38" i="6" s="1"/>
  <c r="I32" i="6"/>
  <c r="M32" i="6" s="1"/>
  <c r="I31" i="6"/>
  <c r="I30" i="6"/>
  <c r="M30" i="6" s="1"/>
  <c r="I29" i="6"/>
  <c r="M29" i="6" s="1"/>
  <c r="I22" i="6"/>
  <c r="R13" i="6" a="1"/>
  <c r="R13" i="6" s="1"/>
  <c r="Q13" i="6" a="1"/>
  <c r="Q13" i="6" s="1"/>
  <c r="P13" i="6" a="1"/>
  <c r="P13" i="6" s="1"/>
  <c r="CN35" i="5" s="1"/>
  <c r="I12" i="6"/>
  <c r="I54" i="6" s="1"/>
  <c r="O8" i="6"/>
  <c r="D6" i="6"/>
  <c r="CC107" i="5"/>
  <c r="CC106" i="5"/>
  <c r="CA105" i="5"/>
  <c r="CA104" i="5"/>
  <c r="CA109" i="5" s="1"/>
  <c r="CA99" i="5"/>
  <c r="AA97" i="5"/>
  <c r="Z97" i="5"/>
  <c r="Y97" i="5"/>
  <c r="X97" i="5"/>
  <c r="W97" i="5"/>
  <c r="V97" i="5"/>
  <c r="U97" i="5"/>
  <c r="T97" i="5"/>
  <c r="S97" i="5"/>
  <c r="R97" i="5"/>
  <c r="Q97" i="5"/>
  <c r="P97" i="5"/>
  <c r="CC96" i="5"/>
  <c r="AA95" i="5"/>
  <c r="Z95" i="5"/>
  <c r="Y95" i="5"/>
  <c r="X95" i="5"/>
  <c r="W95" i="5"/>
  <c r="V95" i="5"/>
  <c r="U95" i="5"/>
  <c r="T95" i="5"/>
  <c r="S95" i="5"/>
  <c r="R95" i="5"/>
  <c r="Q95" i="5"/>
  <c r="P95" i="5"/>
  <c r="AA93" i="5"/>
  <c r="AA104" i="5" s="1"/>
  <c r="Z93" i="5"/>
  <c r="Z104" i="5" s="1"/>
  <c r="Y93" i="5"/>
  <c r="Y104" i="5" s="1"/>
  <c r="X93" i="5"/>
  <c r="X104" i="5" s="1"/>
  <c r="W93" i="5"/>
  <c r="W104" i="5" s="1"/>
  <c r="V93" i="5"/>
  <c r="V104" i="5" s="1"/>
  <c r="U93" i="5"/>
  <c r="U104" i="5" s="1"/>
  <c r="T93" i="5"/>
  <c r="S93" i="5"/>
  <c r="S104" i="5" s="1"/>
  <c r="R93" i="5"/>
  <c r="R104" i="5" s="1"/>
  <c r="Q93" i="5"/>
  <c r="Q104" i="5" s="1"/>
  <c r="P93" i="5"/>
  <c r="P104" i="5" s="1"/>
  <c r="AA92" i="5"/>
  <c r="Z92" i="5"/>
  <c r="Y92" i="5"/>
  <c r="X92" i="5"/>
  <c r="W92" i="5"/>
  <c r="V92" i="5"/>
  <c r="U92" i="5"/>
  <c r="T92" i="5"/>
  <c r="S92" i="5"/>
  <c r="R92" i="5"/>
  <c r="Q92" i="5"/>
  <c r="P92" i="5"/>
  <c r="AA91" i="5"/>
  <c r="Z91" i="5"/>
  <c r="Y91" i="5"/>
  <c r="X91" i="5"/>
  <c r="W91" i="5"/>
  <c r="V91" i="5"/>
  <c r="U91" i="5"/>
  <c r="T91" i="5"/>
  <c r="S91" i="5"/>
  <c r="R91" i="5"/>
  <c r="Q91" i="5"/>
  <c r="P91" i="5"/>
  <c r="AA90" i="5"/>
  <c r="Z90" i="5"/>
  <c r="Y90" i="5"/>
  <c r="X90" i="5"/>
  <c r="W90" i="5"/>
  <c r="V90" i="5"/>
  <c r="U90" i="5"/>
  <c r="T90" i="5"/>
  <c r="S90" i="5"/>
  <c r="R90" i="5"/>
  <c r="Q90" i="5"/>
  <c r="P90" i="5"/>
  <c r="CC89" i="5"/>
  <c r="AA87" i="5"/>
  <c r="Z87" i="5"/>
  <c r="Y87" i="5"/>
  <c r="X87" i="5"/>
  <c r="W87" i="5"/>
  <c r="V87" i="5"/>
  <c r="U87" i="5"/>
  <c r="T87" i="5"/>
  <c r="S87" i="5"/>
  <c r="R87" i="5"/>
  <c r="Q87" i="5"/>
  <c r="P87" i="5"/>
  <c r="AA86" i="5"/>
  <c r="Z86" i="5"/>
  <c r="Y86" i="5"/>
  <c r="X86" i="5"/>
  <c r="W86" i="5"/>
  <c r="V86" i="5"/>
  <c r="U86" i="5"/>
  <c r="T86" i="5"/>
  <c r="S86" i="5"/>
  <c r="R86" i="5"/>
  <c r="Q86" i="5"/>
  <c r="P86" i="5"/>
  <c r="AA84" i="5"/>
  <c r="Z84" i="5"/>
  <c r="Y84" i="5"/>
  <c r="X84" i="5"/>
  <c r="W84" i="5"/>
  <c r="V84" i="5"/>
  <c r="U84" i="5"/>
  <c r="T84" i="5"/>
  <c r="S84" i="5"/>
  <c r="R84" i="5"/>
  <c r="Q84" i="5"/>
  <c r="P84" i="5"/>
  <c r="CA80" i="5"/>
  <c r="AA80" i="5"/>
  <c r="Z80" i="5"/>
  <c r="Y80" i="5"/>
  <c r="X80" i="5"/>
  <c r="W80" i="5"/>
  <c r="V80" i="5"/>
  <c r="U80" i="5"/>
  <c r="T80" i="5"/>
  <c r="S80" i="5"/>
  <c r="R80" i="5"/>
  <c r="Q80" i="5"/>
  <c r="P80" i="5"/>
  <c r="CC76" i="5"/>
  <c r="CC74" i="5"/>
  <c r="CC71" i="5"/>
  <c r="CC70" i="5"/>
  <c r="W65" i="5"/>
  <c r="R65" i="5"/>
  <c r="CC58" i="5"/>
  <c r="CL51" i="5"/>
  <c r="D44" i="5" a="1"/>
  <c r="D44" i="5" s="1"/>
  <c r="CF38" i="5"/>
  <c r="CF40" i="5" s="1"/>
  <c r="D38" i="5" a="1"/>
  <c r="D38" i="5" s="1"/>
  <c r="D40" i="5" s="1"/>
  <c r="CF33" i="5"/>
  <c r="CF30" i="5"/>
  <c r="D29" i="5" a="1"/>
  <c r="D29" i="5" s="1"/>
  <c r="D31" i="5" s="1"/>
  <c r="CF26" i="5"/>
  <c r="CF34" i="5" s="1"/>
  <c r="D25" i="5" a="1"/>
  <c r="D25" i="5" s="1"/>
  <c r="CW9" i="5"/>
  <c r="CC9" i="5"/>
  <c r="F9" i="5"/>
  <c r="BF3" i="5"/>
  <c r="AU3" i="5"/>
  <c r="AJ3" i="5"/>
  <c r="B293" i="23"/>
  <c r="B294" i="23" s="1"/>
  <c r="B11" i="23"/>
  <c r="B12" i="23" s="1"/>
  <c r="B13" i="23" s="1"/>
  <c r="R13" i="8"/>
  <c r="O8" i="8"/>
  <c r="E88" i="7"/>
  <c r="D88" i="7"/>
  <c r="M83" i="7"/>
  <c r="L83" i="7"/>
  <c r="K83" i="7"/>
  <c r="M81" i="7"/>
  <c r="M80" i="7"/>
  <c r="M76" i="7"/>
  <c r="K76" i="7"/>
  <c r="I63" i="7"/>
  <c r="I63" i="6" s="1"/>
  <c r="I46" i="7"/>
  <c r="I45" i="7"/>
  <c r="CC60" i="5"/>
  <c r="CL60" i="5" s="1"/>
  <c r="D16" i="4"/>
  <c r="E23" i="3"/>
  <c r="D23" i="3"/>
  <c r="F7" i="2"/>
  <c r="G7" i="2" s="1"/>
  <c r="H7" i="2" s="1"/>
  <c r="I7" i="2" s="1"/>
  <c r="J7" i="2" s="1"/>
  <c r="K7" i="2" s="1"/>
  <c r="L7" i="2" s="1"/>
  <c r="M7" i="2" s="1"/>
  <c r="N7" i="2" s="1"/>
  <c r="O7" i="2" s="1"/>
  <c r="AJ3" i="26"/>
  <c r="AM54" i="25"/>
  <c r="AJ54" i="25"/>
  <c r="AG54" i="25"/>
  <c r="AQ53" i="25"/>
  <c r="AN53" i="25"/>
  <c r="AI53" i="25"/>
  <c r="AF53" i="25"/>
  <c r="AC53" i="25"/>
  <c r="X53" i="25"/>
  <c r="S53" i="25"/>
  <c r="AF52" i="25"/>
  <c r="AF37" i="25" s="1"/>
  <c r="AA52" i="25"/>
  <c r="AA37" i="25" s="1"/>
  <c r="V52" i="25"/>
  <c r="V37" i="25" s="1"/>
  <c r="Q52" i="25"/>
  <c r="Q37" i="25" s="1"/>
  <c r="AP51" i="25"/>
  <c r="AP34" i="25" s="1"/>
  <c r="AL51" i="25"/>
  <c r="AL34" i="25" s="1"/>
  <c r="AH51" i="25"/>
  <c r="AH34" i="25" s="1"/>
  <c r="X51" i="25"/>
  <c r="X34" i="25" s="1"/>
  <c r="Q51" i="25"/>
  <c r="Q34" i="25" s="1"/>
  <c r="AO24" i="25"/>
  <c r="AF24" i="25"/>
  <c r="AA24" i="25"/>
  <c r="R24" i="25"/>
  <c r="I24" i="25"/>
  <c r="U23" i="25"/>
  <c r="S23" i="25"/>
  <c r="N23" i="25"/>
  <c r="I23" i="25"/>
  <c r="AP22" i="25"/>
  <c r="AL22" i="25"/>
  <c r="AE22" i="25"/>
  <c r="AR21" i="25"/>
  <c r="AI21" i="25"/>
  <c r="U21" i="25"/>
  <c r="F21" i="25"/>
  <c r="AR20" i="25"/>
  <c r="AD20" i="25"/>
  <c r="V20" i="25"/>
  <c r="J20" i="25"/>
  <c r="G15" i="25"/>
  <c r="AN11" i="25"/>
  <c r="AM11" i="25"/>
  <c r="AH11" i="25"/>
  <c r="AG11" i="25"/>
  <c r="AB11" i="25"/>
  <c r="W11" i="25"/>
  <c r="P11" i="25"/>
  <c r="AN6" i="25"/>
  <c r="AU3" i="26" s="1" a="1"/>
  <c r="AU3" i="26" s="1"/>
  <c r="AI6" i="25"/>
  <c r="AN3" i="26" s="1" a="1"/>
  <c r="AN3" i="26" s="1"/>
  <c r="AC6" i="25"/>
  <c r="AH3" i="26" s="1" a="1"/>
  <c r="AH3" i="26" s="1"/>
  <c r="AA6" i="25"/>
  <c r="Y3" i="26" s="1" a="1"/>
  <c r="Y3" i="26" s="1"/>
  <c r="V6" i="25"/>
  <c r="AF3" i="26" s="1" a="1"/>
  <c r="AF3" i="26" s="1"/>
  <c r="R6" i="25"/>
  <c r="AB3" i="26" s="1" a="1"/>
  <c r="AB3" i="26" s="1"/>
  <c r="M6" i="25"/>
  <c r="S3" i="26" s="1" a="1"/>
  <c r="S3" i="26" s="1"/>
  <c r="M63" i="6"/>
  <c r="CC73" i="5"/>
  <c r="V65" i="5"/>
  <c r="Q65" i="5"/>
  <c r="CL59" i="5"/>
  <c r="C13" i="30"/>
  <c r="H11" i="30"/>
  <c r="AR413" i="27"/>
  <c r="AR412" i="27"/>
  <c r="AS411" i="27"/>
  <c r="AR410" i="27"/>
  <c r="AR408" i="27"/>
  <c r="AS407" i="27"/>
  <c r="AS406" i="27"/>
  <c r="AR404" i="27"/>
  <c r="AS403" i="27"/>
  <c r="AR401" i="27"/>
  <c r="AR399" i="27"/>
  <c r="AS396" i="27"/>
  <c r="AS395" i="27"/>
  <c r="AR393" i="27"/>
  <c r="AR388" i="27"/>
  <c r="AS386" i="27"/>
  <c r="AR385" i="27"/>
  <c r="AR383" i="27"/>
  <c r="AS382" i="27"/>
  <c r="AR381" i="27"/>
  <c r="AR380" i="27"/>
  <c r="AI39" i="27"/>
  <c r="AJ39" i="27" s="1"/>
  <c r="AK39" i="27" s="1"/>
  <c r="AL39" i="27" s="1"/>
  <c r="AM39" i="27" s="1"/>
  <c r="AN39" i="27" s="1"/>
  <c r="AO39" i="27" s="1"/>
  <c r="AP39" i="27" s="1"/>
  <c r="AF38" i="27"/>
  <c r="AG38" i="27" s="1"/>
  <c r="AH38" i="27" s="1"/>
  <c r="AI38" i="27" s="1"/>
  <c r="AJ38" i="27" s="1"/>
  <c r="AK38" i="27" s="1"/>
  <c r="AL38" i="27" s="1"/>
  <c r="AM38" i="27" s="1"/>
  <c r="AN38" i="27" s="1"/>
  <c r="AO38" i="27" s="1"/>
  <c r="AP38" i="27" s="1"/>
  <c r="Q37" i="27"/>
  <c r="P37" i="27" s="1"/>
  <c r="O37" i="27" s="1"/>
  <c r="N37" i="27" s="1"/>
  <c r="M37" i="27" s="1"/>
  <c r="L37" i="27" s="1"/>
  <c r="K37" i="27" s="1"/>
  <c r="J37" i="27" s="1"/>
  <c r="I37" i="27" s="1"/>
  <c r="H37" i="27" s="1"/>
  <c r="G37" i="27" s="1"/>
  <c r="T36" i="27"/>
  <c r="U36" i="27" s="1"/>
  <c r="V36" i="27" s="1"/>
  <c r="W36" i="27" s="1"/>
  <c r="X36" i="27" s="1"/>
  <c r="Y36" i="27" s="1"/>
  <c r="Z36" i="27" s="1"/>
  <c r="AA36" i="27" s="1"/>
  <c r="AB36" i="27" s="1"/>
  <c r="AC36" i="27" s="1"/>
  <c r="AD36" i="27" s="1"/>
  <c r="R36" i="27"/>
  <c r="Q36" i="27" s="1"/>
  <c r="P36" i="27"/>
  <c r="O36" i="27" s="1"/>
  <c r="N36" i="27" s="1"/>
  <c r="M36" i="27" s="1"/>
  <c r="L36" i="27" s="1"/>
  <c r="K36" i="27" s="1"/>
  <c r="J36" i="27" s="1"/>
  <c r="I36" i="27"/>
  <c r="H36" i="27" s="1"/>
  <c r="G36" i="27" s="1"/>
  <c r="U35" i="27"/>
  <c r="V35" i="27" s="1"/>
  <c r="W35" i="27" s="1"/>
  <c r="X35" i="27" s="1"/>
  <c r="Y35" i="27" s="1"/>
  <c r="Z35" i="27" s="1"/>
  <c r="AA35" i="27" s="1"/>
  <c r="AB35" i="27" s="1"/>
  <c r="AC35" i="27" s="1"/>
  <c r="AD35" i="27" s="1"/>
  <c r="AF34" i="27"/>
  <c r="AG34" i="27" s="1"/>
  <c r="AH34" i="27" s="1"/>
  <c r="AI34" i="27" s="1"/>
  <c r="AJ34" i="27" s="1"/>
  <c r="AK34" i="27" s="1"/>
  <c r="AL34" i="27" s="1"/>
  <c r="AM34" i="27" s="1"/>
  <c r="AN34" i="27" s="1"/>
  <c r="AO34" i="27" s="1"/>
  <c r="AP34" i="27" s="1"/>
  <c r="W34" i="27"/>
  <c r="X34" i="27" s="1"/>
  <c r="Y34" i="27" s="1"/>
  <c r="Z34" i="27" s="1"/>
  <c r="AA34" i="27" s="1"/>
  <c r="AB34" i="27" s="1"/>
  <c r="AC34" i="27" s="1"/>
  <c r="AD34" i="27" s="1"/>
  <c r="Q33" i="27"/>
  <c r="P33" i="27" s="1"/>
  <c r="T31" i="27"/>
  <c r="U31" i="27" s="1"/>
  <c r="V31" i="27" s="1"/>
  <c r="W31" i="27" s="1"/>
  <c r="X31" i="27" s="1"/>
  <c r="Y31" i="27" s="1"/>
  <c r="Z31" i="27" s="1"/>
  <c r="AP64" i="25"/>
  <c r="AP44" i="25" s="1"/>
  <c r="G17" i="25"/>
  <c r="G16" i="25"/>
  <c r="AQ11" i="25"/>
  <c r="AK11" i="25"/>
  <c r="AJ11" i="25"/>
  <c r="AC11" i="25"/>
  <c r="Y11" i="25"/>
  <c r="X11" i="25"/>
  <c r="T11" i="25"/>
  <c r="Q11" i="25"/>
  <c r="O11" i="25"/>
  <c r="L11" i="25"/>
  <c r="X6" i="25"/>
  <c r="P3" i="26" s="1" a="1"/>
  <c r="P3" i="26" s="1"/>
  <c r="U6" i="25"/>
  <c r="AE3" i="26" s="1" a="1"/>
  <c r="AE3" i="26" s="1"/>
  <c r="Q6" i="25"/>
  <c r="T3" i="26" s="1" a="1"/>
  <c r="T3" i="26" s="1"/>
  <c r="B563" i="23"/>
  <c r="B564" i="23" s="1"/>
  <c r="M560" i="23"/>
  <c r="B534" i="23"/>
  <c r="B535" i="23" s="1"/>
  <c r="B536" i="23" s="1"/>
  <c r="B537" i="23" s="1"/>
  <c r="B538" i="23" s="1"/>
  <c r="B539" i="23" s="1"/>
  <c r="B540" i="23" s="1"/>
  <c r="B541" i="23" s="1"/>
  <c r="B542" i="23" s="1"/>
  <c r="B543" i="23" s="1"/>
  <c r="B544" i="23" s="1"/>
  <c r="B545" i="23" s="1"/>
  <c r="B546" i="23" s="1"/>
  <c r="B547" i="23" s="1"/>
  <c r="B548" i="23" s="1"/>
  <c r="B549" i="23" s="1"/>
  <c r="B550" i="23" s="1"/>
  <c r="B551" i="23" s="1"/>
  <c r="B552" i="23" s="1"/>
  <c r="B553" i="23" s="1"/>
  <c r="B511" i="23"/>
  <c r="B512" i="23" s="1"/>
  <c r="B513" i="23" s="1"/>
  <c r="B514" i="23" s="1"/>
  <c r="B515" i="23" s="1"/>
  <c r="B516" i="23" s="1"/>
  <c r="B517" i="23" s="1"/>
  <c r="B518" i="23" s="1"/>
  <c r="B519" i="23" s="1"/>
  <c r="B520" i="23" s="1"/>
  <c r="B491" i="23"/>
  <c r="B492" i="23" s="1"/>
  <c r="B493" i="23" s="1"/>
  <c r="B494" i="23" s="1"/>
  <c r="B495" i="23" s="1"/>
  <c r="B496" i="23" s="1"/>
  <c r="B497" i="23" s="1"/>
  <c r="B498" i="23" s="1"/>
  <c r="B499" i="23" s="1"/>
  <c r="B500" i="23" s="1"/>
  <c r="B501" i="23" s="1"/>
  <c r="B502" i="23" s="1"/>
  <c r="B503" i="23" s="1"/>
  <c r="B504" i="23" s="1"/>
  <c r="B505" i="23" s="1"/>
  <c r="B506" i="23" s="1"/>
  <c r="B507" i="23" s="1"/>
  <c r="B508" i="23" s="1"/>
  <c r="B488" i="23"/>
  <c r="B477" i="23"/>
  <c r="B478" i="23" s="1"/>
  <c r="B479" i="23" s="1"/>
  <c r="B465" i="23"/>
  <c r="B466" i="23" s="1"/>
  <c r="B467" i="23" s="1"/>
  <c r="B416" i="23"/>
  <c r="B417" i="23" s="1"/>
  <c r="B418" i="23" s="1"/>
  <c r="B419" i="23" s="1"/>
  <c r="B420" i="23" s="1"/>
  <c r="B421" i="23" s="1"/>
  <c r="B422" i="23" s="1"/>
  <c r="B423" i="23" s="1"/>
  <c r="B424" i="23" s="1"/>
  <c r="B425" i="23" s="1"/>
  <c r="B426" i="23" s="1"/>
  <c r="B427" i="23" s="1"/>
  <c r="B428" i="23" s="1"/>
  <c r="B429" i="23" s="1"/>
  <c r="B430" i="23" s="1"/>
  <c r="B431" i="23" s="1"/>
  <c r="B432" i="23" s="1"/>
  <c r="B433" i="23" s="1"/>
  <c r="B434" i="23" s="1"/>
  <c r="B435" i="23" s="1"/>
  <c r="B436" i="23" s="1"/>
  <c r="B437" i="23" s="1"/>
  <c r="B438" i="23" s="1"/>
  <c r="B439" i="23" s="1"/>
  <c r="B440" i="23" s="1"/>
  <c r="B441" i="23" s="1"/>
  <c r="B442" i="23" s="1"/>
  <c r="B443" i="23" s="1"/>
  <c r="B444" i="23" s="1"/>
  <c r="B445" i="23" s="1"/>
  <c r="B446" i="23" s="1"/>
  <c r="B447" i="23" s="1"/>
  <c r="B448" i="23" s="1"/>
  <c r="B449" i="23" s="1"/>
  <c r="B450" i="23" s="1"/>
  <c r="B451" i="23" s="1"/>
  <c r="B452" i="23" s="1"/>
  <c r="B453" i="23" s="1"/>
  <c r="B454" i="23" s="1"/>
  <c r="B455" i="23" s="1"/>
  <c r="B456" i="23" s="1"/>
  <c r="B457" i="23" s="1"/>
  <c r="B458" i="23" s="1"/>
  <c r="B459" i="23" s="1"/>
  <c r="B460" i="23" s="1"/>
  <c r="B409" i="23"/>
  <c r="B410" i="23" s="1"/>
  <c r="B411" i="23" s="1"/>
  <c r="B404" i="23"/>
  <c r="B405" i="23" s="1"/>
  <c r="B406" i="23" s="1"/>
  <c r="B350" i="23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372" i="23" s="1"/>
  <c r="B373" i="23" s="1"/>
  <c r="B374" i="23" s="1"/>
  <c r="B375" i="23" s="1"/>
  <c r="B376" i="23" s="1"/>
  <c r="B377" i="23" s="1"/>
  <c r="B378" i="23" s="1"/>
  <c r="B379" i="23" s="1"/>
  <c r="B380" i="23" s="1"/>
  <c r="B381" i="23" s="1"/>
  <c r="B382" i="23" s="1"/>
  <c r="B383" i="23" s="1"/>
  <c r="B384" i="23" s="1"/>
  <c r="B385" i="23" s="1"/>
  <c r="B386" i="23" s="1"/>
  <c r="B387" i="23" s="1"/>
  <c r="B388" i="23" s="1"/>
  <c r="B389" i="23" s="1"/>
  <c r="B390" i="23" s="1"/>
  <c r="B391" i="23" s="1"/>
  <c r="B392" i="23" s="1"/>
  <c r="B393" i="23" s="1"/>
  <c r="B394" i="23" s="1"/>
  <c r="B395" i="23" s="1"/>
  <c r="B396" i="23" s="1"/>
  <c r="B397" i="23" s="1"/>
  <c r="B398" i="23" s="1"/>
  <c r="B399" i="23" s="1"/>
  <c r="B400" i="23" s="1"/>
  <c r="B401" i="23" s="1"/>
  <c r="B343" i="23"/>
  <c r="B344" i="23" s="1"/>
  <c r="B331" i="23"/>
  <c r="B332" i="23" s="1"/>
  <c r="B333" i="23" s="1"/>
  <c r="B295" i="23"/>
  <c r="B296" i="23" s="1"/>
  <c r="B297" i="23" s="1"/>
  <c r="B298" i="23" s="1"/>
  <c r="B299" i="23" s="1"/>
  <c r="B300" i="23" s="1"/>
  <c r="B301" i="23" s="1"/>
  <c r="B302" i="23" s="1"/>
  <c r="B303" i="23" s="1"/>
  <c r="B304" i="23" s="1"/>
  <c r="B305" i="23" s="1"/>
  <c r="B306" i="23" s="1"/>
  <c r="B307" i="23" s="1"/>
  <c r="B308" i="23" s="1"/>
  <c r="B309" i="23" s="1"/>
  <c r="B310" i="23" s="1"/>
  <c r="B311" i="23" s="1"/>
  <c r="B312" i="23" s="1"/>
  <c r="B313" i="23" s="1"/>
  <c r="B314" i="23" s="1"/>
  <c r="B315" i="23" s="1"/>
  <c r="B316" i="23" s="1"/>
  <c r="B317" i="23" s="1"/>
  <c r="B318" i="23" s="1"/>
  <c r="B319" i="23" s="1"/>
  <c r="B320" i="23" s="1"/>
  <c r="B287" i="23"/>
  <c r="B288" i="23" s="1"/>
  <c r="B289" i="23" s="1"/>
  <c r="B290" i="23" s="1"/>
  <c r="B283" i="23"/>
  <c r="B14" i="23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48" i="23" s="1"/>
  <c r="B149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B262" i="23" s="1"/>
  <c r="B263" i="23" s="1"/>
  <c r="B264" i="23" s="1"/>
  <c r="B265" i="23" s="1"/>
  <c r="B266" i="23" s="1"/>
  <c r="B267" i="23" s="1"/>
  <c r="B268" i="23" s="1"/>
  <c r="B269" i="23" s="1"/>
  <c r="B270" i="23" s="1"/>
  <c r="B271" i="23" s="1"/>
  <c r="B272" i="23" s="1"/>
  <c r="B273" i="23" s="1"/>
  <c r="B274" i="23" s="1"/>
  <c r="B275" i="23" s="1"/>
  <c r="B276" i="23" s="1"/>
  <c r="B277" i="23" s="1"/>
  <c r="B278" i="23" s="1"/>
  <c r="B279" i="23" s="1"/>
  <c r="B280" i="23" s="1"/>
  <c r="F5" i="22"/>
  <c r="G5" i="22" s="1"/>
  <c r="H5" i="22" s="1"/>
  <c r="I5" i="22" s="1"/>
  <c r="J5" i="22" s="1"/>
  <c r="K5" i="22" s="1"/>
  <c r="L5" i="22" s="1"/>
  <c r="M5" i="22" s="1"/>
  <c r="N5" i="22" s="1"/>
  <c r="O5" i="22" s="1"/>
  <c r="E70" i="21"/>
  <c r="D70" i="21"/>
  <c r="D61" i="21"/>
  <c r="S59" i="21"/>
  <c r="P59" i="21"/>
  <c r="N59" i="21"/>
  <c r="L59" i="21"/>
  <c r="J59" i="21"/>
  <c r="H59" i="21"/>
  <c r="F43" i="30"/>
  <c r="AE42" i="30"/>
  <c r="AE43" i="30" s="1"/>
  <c r="AD42" i="30"/>
  <c r="AD43" i="30" s="1"/>
  <c r="AC42" i="30"/>
  <c r="AC43" i="30" s="1"/>
  <c r="AB42" i="30"/>
  <c r="AB43" i="30" s="1"/>
  <c r="AA42" i="30"/>
  <c r="AA43" i="30" s="1"/>
  <c r="Z42" i="30"/>
  <c r="Z43" i="30" s="1"/>
  <c r="Y42" i="30"/>
  <c r="Y43" i="30" s="1"/>
  <c r="X42" i="30"/>
  <c r="X43" i="30" s="1"/>
  <c r="W42" i="30"/>
  <c r="W43" i="30" s="1"/>
  <c r="V42" i="30"/>
  <c r="V43" i="30" s="1"/>
  <c r="U42" i="30"/>
  <c r="U43" i="30" s="1"/>
  <c r="T42" i="30"/>
  <c r="T43" i="30" s="1"/>
  <c r="S42" i="30"/>
  <c r="S43" i="30" s="1"/>
  <c r="R42" i="30"/>
  <c r="R43" i="30" s="1"/>
  <c r="Q42" i="30"/>
  <c r="Q43" i="30" s="1"/>
  <c r="P42" i="30"/>
  <c r="P43" i="30" s="1"/>
  <c r="O42" i="30"/>
  <c r="O43" i="30" s="1"/>
  <c r="N42" i="30"/>
  <c r="N43" i="30" s="1"/>
  <c r="M42" i="30"/>
  <c r="M43" i="30" s="1"/>
  <c r="L42" i="30"/>
  <c r="L43" i="30" s="1"/>
  <c r="K42" i="30"/>
  <c r="K43" i="30" s="1"/>
  <c r="J42" i="30"/>
  <c r="J43" i="30" s="1"/>
  <c r="I42" i="30"/>
  <c r="I43" i="30" s="1"/>
  <c r="H42" i="30"/>
  <c r="H43" i="30" s="1"/>
  <c r="G42" i="30"/>
  <c r="G43" i="30" s="1"/>
  <c r="F38" i="30"/>
  <c r="G37" i="30"/>
  <c r="F29" i="30"/>
  <c r="AF29" i="27"/>
  <c r="AG29" i="27" s="1"/>
  <c r="AH29" i="27" s="1"/>
  <c r="AI29" i="27" s="1"/>
  <c r="AJ29" i="27" s="1"/>
  <c r="AK29" i="27" s="1"/>
  <c r="AL29" i="27" s="1"/>
  <c r="AM29" i="27" s="1"/>
  <c r="AN29" i="27" s="1"/>
  <c r="X29" i="27"/>
  <c r="Y29" i="27" s="1"/>
  <c r="Z29" i="27" s="1"/>
  <c r="AA29" i="27" s="1"/>
  <c r="AB29" i="27" s="1"/>
  <c r="AC29" i="27" s="1"/>
  <c r="AD29" i="27" s="1"/>
  <c r="AF28" i="27"/>
  <c r="AG28" i="27" s="1"/>
  <c r="AH28" i="27" s="1"/>
  <c r="AI28" i="27" s="1"/>
  <c r="AJ28" i="27" s="1"/>
  <c r="AK28" i="27" s="1"/>
  <c r="AL28" i="27" s="1"/>
  <c r="AM28" i="27" s="1"/>
  <c r="AN28" i="27" s="1"/>
  <c r="AO28" i="27" s="1"/>
  <c r="AP28" i="27" s="1"/>
  <c r="T28" i="27"/>
  <c r="U28" i="27" s="1"/>
  <c r="V28" i="27" s="1"/>
  <c r="W28" i="27" s="1"/>
  <c r="X28" i="27" s="1"/>
  <c r="Y28" i="27" s="1"/>
  <c r="Z28" i="27" s="1"/>
  <c r="AA28" i="27" s="1"/>
  <c r="AB28" i="27" s="1"/>
  <c r="AC28" i="27" s="1"/>
  <c r="AD28" i="27" s="1"/>
  <c r="AF27" i="27"/>
  <c r="AG27" i="27" s="1"/>
  <c r="AH27" i="27" s="1"/>
  <c r="AI27" i="27" s="1"/>
  <c r="AJ27" i="27" s="1"/>
  <c r="AK27" i="27" s="1"/>
  <c r="AL27" i="27" s="1"/>
  <c r="AM27" i="27" s="1"/>
  <c r="AN27" i="27" s="1"/>
  <c r="AO27" i="27" s="1"/>
  <c r="AP27" i="27" s="1"/>
  <c r="T27" i="27"/>
  <c r="U27" i="27" s="1"/>
  <c r="V27" i="27" s="1"/>
  <c r="W27" i="27" s="1"/>
  <c r="X27" i="27" s="1"/>
  <c r="Y27" i="27" s="1"/>
  <c r="Z27" i="27" s="1"/>
  <c r="AA27" i="27" s="1"/>
  <c r="AB27" i="27" s="1"/>
  <c r="AC27" i="27" s="1"/>
  <c r="AD27" i="27" s="1"/>
  <c r="AF26" i="27"/>
  <c r="AG26" i="27" s="1"/>
  <c r="AH26" i="27" s="1"/>
  <c r="AI26" i="27" s="1"/>
  <c r="AJ26" i="27" s="1"/>
  <c r="AK26" i="27" s="1"/>
  <c r="AL26" i="27" s="1"/>
  <c r="AM26" i="27" s="1"/>
  <c r="AN26" i="27" s="1"/>
  <c r="AO26" i="27" s="1"/>
  <c r="AP26" i="27" s="1"/>
  <c r="T26" i="27"/>
  <c r="U26" i="27" s="1"/>
  <c r="V26" i="27" s="1"/>
  <c r="W26" i="27" s="1"/>
  <c r="X26" i="27" s="1"/>
  <c r="Y26" i="27" s="1"/>
  <c r="Z26" i="27" s="1"/>
  <c r="AA26" i="27" s="1"/>
  <c r="AB26" i="27" s="1"/>
  <c r="AC26" i="27" s="1"/>
  <c r="AD26" i="27" s="1"/>
  <c r="AF24" i="27"/>
  <c r="AG24" i="27" s="1"/>
  <c r="AH24" i="27" s="1"/>
  <c r="AI24" i="27" s="1"/>
  <c r="AJ24" i="27" s="1"/>
  <c r="AK24" i="27" s="1"/>
  <c r="AL24" i="27" s="1"/>
  <c r="AM24" i="27" s="1"/>
  <c r="AN24" i="27" s="1"/>
  <c r="AO24" i="27" s="1"/>
  <c r="AP24" i="27" s="1"/>
  <c r="T24" i="27"/>
  <c r="U24" i="27" s="1"/>
  <c r="V24" i="27" s="1"/>
  <c r="W24" i="27" s="1"/>
  <c r="X24" i="27" s="1"/>
  <c r="Y24" i="27" s="1"/>
  <c r="Z24" i="27" s="1"/>
  <c r="AA24" i="27" s="1"/>
  <c r="AB24" i="27" s="1"/>
  <c r="AC24" i="27" s="1"/>
  <c r="AD24" i="27" s="1"/>
  <c r="AF23" i="27"/>
  <c r="AG23" i="27" s="1"/>
  <c r="AH23" i="27" s="1"/>
  <c r="AI23" i="27" s="1"/>
  <c r="AJ23" i="27" s="1"/>
  <c r="AK23" i="27" s="1"/>
  <c r="AL23" i="27" s="1"/>
  <c r="AM23" i="27" s="1"/>
  <c r="AN23" i="27" s="1"/>
  <c r="AO23" i="27" s="1"/>
  <c r="AP23" i="27" s="1"/>
  <c r="T23" i="27"/>
  <c r="U23" i="27" s="1"/>
  <c r="V23" i="27" s="1"/>
  <c r="W23" i="27" s="1"/>
  <c r="X23" i="27" s="1"/>
  <c r="Y23" i="27" s="1"/>
  <c r="Z23" i="27" s="1"/>
  <c r="AA23" i="27" s="1"/>
  <c r="AB23" i="27" s="1"/>
  <c r="AC23" i="27" s="1"/>
  <c r="AD23" i="27" s="1"/>
  <c r="AF22" i="27"/>
  <c r="AG22" i="27" s="1"/>
  <c r="AH22" i="27" s="1"/>
  <c r="AI22" i="27" s="1"/>
  <c r="AJ22" i="27" s="1"/>
  <c r="AK22" i="27" s="1"/>
  <c r="AL22" i="27" s="1"/>
  <c r="AM22" i="27" s="1"/>
  <c r="AN22" i="27" s="1"/>
  <c r="AO22" i="27" s="1"/>
  <c r="AP22" i="27" s="1"/>
  <c r="T22" i="27"/>
  <c r="U22" i="27" s="1"/>
  <c r="V22" i="27" s="1"/>
  <c r="W22" i="27" s="1"/>
  <c r="X22" i="27" s="1"/>
  <c r="Y22" i="27" s="1"/>
  <c r="Z22" i="27" s="1"/>
  <c r="AA22" i="27" s="1"/>
  <c r="AB22" i="27" s="1"/>
  <c r="AC22" i="27" s="1"/>
  <c r="AD22" i="27" s="1"/>
  <c r="AF21" i="27"/>
  <c r="AG21" i="27" s="1"/>
  <c r="AH21" i="27" s="1"/>
  <c r="AI21" i="27" s="1"/>
  <c r="AJ21" i="27" s="1"/>
  <c r="AK21" i="27" s="1"/>
  <c r="AL21" i="27" s="1"/>
  <c r="AM21" i="27" s="1"/>
  <c r="AN21" i="27" s="1"/>
  <c r="AO21" i="27" s="1"/>
  <c r="AP21" i="27" s="1"/>
  <c r="T21" i="27"/>
  <c r="U21" i="27" s="1"/>
  <c r="V21" i="27" s="1"/>
  <c r="W21" i="27" s="1"/>
  <c r="X21" i="27" s="1"/>
  <c r="Y21" i="27" s="1"/>
  <c r="Z21" i="27" s="1"/>
  <c r="AA21" i="27" s="1"/>
  <c r="AB21" i="27" s="1"/>
  <c r="AC21" i="27" s="1"/>
  <c r="AD21" i="27" s="1"/>
  <c r="AR64" i="25"/>
  <c r="AR44" i="25" s="1"/>
  <c r="AA57" i="25"/>
  <c r="O57" i="25"/>
  <c r="L57" i="25"/>
  <c r="AE56" i="25"/>
  <c r="X56" i="25"/>
  <c r="S56" i="25"/>
  <c r="R56" i="25"/>
  <c r="N56" i="25"/>
  <c r="AO55" i="25"/>
  <c r="AJ55" i="25"/>
  <c r="AF55" i="25"/>
  <c r="AP53" i="25"/>
  <c r="AL53" i="25"/>
  <c r="AG53" i="25"/>
  <c r="AB53" i="25"/>
  <c r="W53" i="25"/>
  <c r="R53" i="25"/>
  <c r="L53" i="25"/>
  <c r="AM52" i="25"/>
  <c r="AM37" i="25" s="1"/>
  <c r="X52" i="25"/>
  <c r="X37" i="25" s="1"/>
  <c r="S52" i="25"/>
  <c r="S37" i="25" s="1"/>
  <c r="O52" i="25"/>
  <c r="O37" i="25" s="1"/>
  <c r="L52" i="25"/>
  <c r="AM51" i="25"/>
  <c r="AM34" i="25" s="1"/>
  <c r="AI51" i="25"/>
  <c r="AI34" i="25" s="1"/>
  <c r="AE51" i="25"/>
  <c r="AE34" i="25" s="1"/>
  <c r="Y51" i="25"/>
  <c r="Y34" i="25" s="1"/>
  <c r="U51" i="25"/>
  <c r="U34" i="25" s="1"/>
  <c r="T51" i="25"/>
  <c r="T34" i="25" s="1"/>
  <c r="N51" i="25"/>
  <c r="N34" i="25" s="1"/>
  <c r="F24" i="25"/>
  <c r="D23" i="25"/>
  <c r="I22" i="25"/>
  <c r="D22" i="25"/>
  <c r="H21" i="25"/>
  <c r="H20" i="25"/>
  <c r="AP11" i="25"/>
  <c r="AP24" i="25" s="1"/>
  <c r="AD11" i="25"/>
  <c r="Z11" i="25"/>
  <c r="U11" i="25"/>
  <c r="AQ6" i="25"/>
  <c r="AW3" i="26" s="1" a="1"/>
  <c r="AW3" i="26" s="1"/>
  <c r="AK6" i="25"/>
  <c r="AP3" i="26" s="1" a="1"/>
  <c r="AP3" i="26" s="1"/>
  <c r="AF6" i="25"/>
  <c r="AK3" i="26" s="1" a="1"/>
  <c r="AK3" i="26" s="1"/>
  <c r="W6" i="25"/>
  <c r="AG3" i="26" s="1" a="1"/>
  <c r="AG3" i="26" s="1"/>
  <c r="S6" i="25"/>
  <c r="AC3" i="26" s="1" a="1"/>
  <c r="AC3" i="26" s="1"/>
  <c r="N6" i="25"/>
  <c r="U3" i="26" s="1" a="1"/>
  <c r="U3" i="26" s="1"/>
  <c r="CC75" i="5"/>
  <c r="AA65" i="5"/>
  <c r="S65" i="5"/>
  <c r="F50" i="30"/>
  <c r="F22" i="30"/>
  <c r="F17" i="30"/>
  <c r="G16" i="30"/>
  <c r="AS413" i="27"/>
  <c r="AS412" i="27"/>
  <c r="AR411" i="27"/>
  <c r="AS410" i="27"/>
  <c r="AR409" i="27"/>
  <c r="AR406" i="27"/>
  <c r="AS405" i="27"/>
  <c r="AS404" i="27"/>
  <c r="AR402" i="27"/>
  <c r="AR400" i="27"/>
  <c r="AS399" i="27"/>
  <c r="AS398" i="27"/>
  <c r="AR397" i="27"/>
  <c r="AR396" i="27"/>
  <c r="AR394" i="27"/>
  <c r="AS393" i="27"/>
  <c r="AR392" i="27"/>
  <c r="AR391" i="27"/>
  <c r="AS390" i="27"/>
  <c r="AS389" i="27"/>
  <c r="AS387" i="27"/>
  <c r="AR386" i="27"/>
  <c r="AS385" i="27"/>
  <c r="AR384" i="27"/>
  <c r="AR382" i="27"/>
  <c r="AS380" i="27"/>
  <c r="T38" i="27"/>
  <c r="U38" i="27" s="1"/>
  <c r="V38" i="27" s="1"/>
  <c r="W38" i="27" s="1"/>
  <c r="X38" i="27" s="1"/>
  <c r="Y38" i="27" s="1"/>
  <c r="Z38" i="27" s="1"/>
  <c r="AA38" i="27" s="1"/>
  <c r="AB38" i="27" s="1"/>
  <c r="AC38" i="27" s="1"/>
  <c r="AD38" i="27" s="1"/>
  <c r="Q38" i="27"/>
  <c r="P38" i="27" s="1"/>
  <c r="O38" i="27" s="1"/>
  <c r="N38" i="27" s="1"/>
  <c r="M38" i="27" s="1"/>
  <c r="L38" i="27" s="1"/>
  <c r="K38" i="27" s="1"/>
  <c r="J38" i="27" s="1"/>
  <c r="I38" i="27" s="1"/>
  <c r="H38" i="27" s="1"/>
  <c r="G38" i="27" s="1"/>
  <c r="AF37" i="27"/>
  <c r="AG37" i="27" s="1"/>
  <c r="AH37" i="27" s="1"/>
  <c r="AI37" i="27" s="1"/>
  <c r="AJ37" i="27" s="1"/>
  <c r="AK37" i="27" s="1"/>
  <c r="AL37" i="27" s="1"/>
  <c r="AM37" i="27" s="1"/>
  <c r="AN37" i="27" s="1"/>
  <c r="AO37" i="27" s="1"/>
  <c r="AP37" i="27" s="1"/>
  <c r="AF36" i="27"/>
  <c r="AG36" i="27" s="1"/>
  <c r="AH36" i="27" s="1"/>
  <c r="AI36" i="27" s="1"/>
  <c r="AJ36" i="27" s="1"/>
  <c r="AK36" i="27" s="1"/>
  <c r="AL36" i="27" s="1"/>
  <c r="AM36" i="27" s="1"/>
  <c r="AN36" i="27" s="1"/>
  <c r="AO36" i="27" s="1"/>
  <c r="AP36" i="27" s="1"/>
  <c r="P35" i="27"/>
  <c r="O35" i="27" s="1"/>
  <c r="R34" i="27"/>
  <c r="Q34" i="27" s="1"/>
  <c r="P34" i="27" s="1"/>
  <c r="O34" i="27" s="1"/>
  <c r="N34" i="27" s="1"/>
  <c r="M34" i="27" s="1"/>
  <c r="L34" i="27" s="1"/>
  <c r="K34" i="27" s="1"/>
  <c r="J34" i="27" s="1"/>
  <c r="I34" i="27" s="1"/>
  <c r="H34" i="27" s="1"/>
  <c r="G34" i="27" s="1"/>
  <c r="AF33" i="27"/>
  <c r="AG33" i="27" s="1"/>
  <c r="AH33" i="27" s="1"/>
  <c r="AI33" i="27" s="1"/>
  <c r="AJ33" i="27" s="1"/>
  <c r="AK33" i="27" s="1"/>
  <c r="AL33" i="27" s="1"/>
  <c r="AM33" i="27" s="1"/>
  <c r="AN33" i="27" s="1"/>
  <c r="AO33" i="27" s="1"/>
  <c r="AP33" i="27" s="1"/>
  <c r="T33" i="27"/>
  <c r="U33" i="27" s="1"/>
  <c r="V33" i="27" s="1"/>
  <c r="W33" i="27" s="1"/>
  <c r="X33" i="27" s="1"/>
  <c r="Y33" i="27" s="1"/>
  <c r="Z33" i="27" s="1"/>
  <c r="AA33" i="27" s="1"/>
  <c r="AB33" i="27" s="1"/>
  <c r="AC33" i="27" s="1"/>
  <c r="AD33" i="27" s="1"/>
  <c r="AF31" i="27"/>
  <c r="AG31" i="27" s="1"/>
  <c r="AH31" i="27" s="1"/>
  <c r="AI31" i="27" s="1"/>
  <c r="AJ31" i="27" s="1"/>
  <c r="AK31" i="27" s="1"/>
  <c r="AL31" i="27" s="1"/>
  <c r="AM31" i="27" s="1"/>
  <c r="AN31" i="27" s="1"/>
  <c r="AO31" i="27" s="1"/>
  <c r="AP31" i="27" s="1"/>
  <c r="Q31" i="27"/>
  <c r="P31" i="27" s="1"/>
  <c r="O31" i="27" s="1"/>
  <c r="N31" i="27" s="1"/>
  <c r="M31" i="27" s="1"/>
  <c r="L31" i="27" s="1"/>
  <c r="K31" i="27" s="1"/>
  <c r="J31" i="27" s="1"/>
  <c r="I31" i="27" s="1"/>
  <c r="H31" i="27" s="1"/>
  <c r="G31" i="27" s="1"/>
  <c r="AF30" i="27"/>
  <c r="AG30" i="27" s="1"/>
  <c r="AH30" i="27" s="1"/>
  <c r="AI30" i="27" s="1"/>
  <c r="AJ30" i="27" s="1"/>
  <c r="AK30" i="27" s="1"/>
  <c r="AL30" i="27" s="1"/>
  <c r="AM30" i="27" s="1"/>
  <c r="AN30" i="27" s="1"/>
  <c r="AO30" i="27" s="1"/>
  <c r="AP30" i="27" s="1"/>
  <c r="T30" i="27"/>
  <c r="U30" i="27" s="1"/>
  <c r="V30" i="27" s="1"/>
  <c r="W30" i="27" s="1"/>
  <c r="X30" i="27" s="1"/>
  <c r="Y30" i="27" s="1"/>
  <c r="Z30" i="27" s="1"/>
  <c r="AA30" i="27" s="1"/>
  <c r="AB30" i="27" s="1"/>
  <c r="AC30" i="27" s="1"/>
  <c r="AD30" i="27" s="1"/>
  <c r="AO29" i="27"/>
  <c r="AP29" i="27" s="1"/>
  <c r="AC90" i="26"/>
  <c r="AA90" i="26"/>
  <c r="Z90" i="26"/>
  <c r="Y90" i="26"/>
  <c r="X90" i="26"/>
  <c r="V90" i="26"/>
  <c r="T90" i="26"/>
  <c r="AW57" i="26"/>
  <c r="AW92" i="26" s="1"/>
  <c r="AU57" i="26"/>
  <c r="AU92" i="26" s="1"/>
  <c r="AS57" i="26"/>
  <c r="AS92" i="26" s="1"/>
  <c r="AR57" i="26"/>
  <c r="AR92" i="26" s="1"/>
  <c r="AI57" i="26"/>
  <c r="AI92" i="26" s="1"/>
  <c r="AG57" i="26"/>
  <c r="AG92" i="26" s="1"/>
  <c r="AF57" i="26"/>
  <c r="AF92" i="26" s="1"/>
  <c r="AE57" i="26"/>
  <c r="AE92" i="26" s="1"/>
  <c r="AD57" i="26"/>
  <c r="AD92" i="26" s="1"/>
  <c r="AB57" i="26"/>
  <c r="AB92" i="26" s="1"/>
  <c r="Z57" i="26"/>
  <c r="Z92" i="26" s="1"/>
  <c r="Y57" i="26"/>
  <c r="Y92" i="26" s="1"/>
  <c r="X57" i="26"/>
  <c r="X92" i="26" s="1"/>
  <c r="V57" i="26"/>
  <c r="V92" i="26" s="1"/>
  <c r="T57" i="26"/>
  <c r="T92" i="26" s="1"/>
  <c r="R57" i="26"/>
  <c r="R92" i="26" s="1"/>
  <c r="AQ3" i="26"/>
  <c r="AI3" i="26"/>
  <c r="X3" i="26" a="1"/>
  <c r="X3" i="26" s="1"/>
  <c r="AR56" i="25"/>
  <c r="AK56" i="25"/>
  <c r="AH56" i="25"/>
  <c r="AB56" i="25"/>
  <c r="Y56" i="25"/>
  <c r="U56" i="25"/>
  <c r="Q56" i="25"/>
  <c r="M56" i="25"/>
  <c r="AM55" i="25"/>
  <c r="AI55" i="25"/>
  <c r="AE55" i="25"/>
  <c r="Z55" i="25"/>
  <c r="W55" i="25"/>
  <c r="R55" i="25"/>
  <c r="O55" i="25"/>
  <c r="L55" i="25"/>
  <c r="D55" i="25" s="1"/>
  <c r="AI54" i="25"/>
  <c r="AF54" i="25"/>
  <c r="AD54" i="25"/>
  <c r="AB54" i="25"/>
  <c r="Z54" i="25"/>
  <c r="W54" i="25"/>
  <c r="T54" i="25"/>
  <c r="Q54" i="25"/>
  <c r="AM53" i="25"/>
  <c r="AE53" i="25"/>
  <c r="Y53" i="25"/>
  <c r="T53" i="25"/>
  <c r="P53" i="25"/>
  <c r="O53" i="25"/>
  <c r="N53" i="25"/>
  <c r="AN52" i="25"/>
  <c r="AN37" i="25" s="1"/>
  <c r="AH52" i="25"/>
  <c r="AH37" i="25" s="1"/>
  <c r="AC52" i="25"/>
  <c r="AC37" i="25" s="1"/>
  <c r="W52" i="25"/>
  <c r="W37" i="25" s="1"/>
  <c r="R52" i="25"/>
  <c r="R37" i="25" s="1"/>
  <c r="N52" i="25"/>
  <c r="N37" i="25" s="1"/>
  <c r="AC51" i="25"/>
  <c r="AC34" i="25" s="1"/>
  <c r="W51" i="25"/>
  <c r="W34" i="25" s="1"/>
  <c r="P51" i="25"/>
  <c r="P34" i="25" s="1"/>
  <c r="AL24" i="25"/>
  <c r="Z24" i="25"/>
  <c r="V24" i="25"/>
  <c r="S24" i="25"/>
  <c r="N24" i="25"/>
  <c r="J24" i="25"/>
  <c r="Z23" i="25"/>
  <c r="V23" i="25"/>
  <c r="M23" i="25"/>
  <c r="H23" i="25"/>
  <c r="AO22" i="25"/>
  <c r="AD22" i="25"/>
  <c r="S22" i="25"/>
  <c r="N22" i="25"/>
  <c r="J22" i="25"/>
  <c r="AA21" i="25"/>
  <c r="V21" i="25"/>
  <c r="J21" i="25"/>
  <c r="D21" i="25"/>
  <c r="Z20" i="25"/>
  <c r="U20" i="25"/>
  <c r="S20" i="25"/>
  <c r="F20" i="25"/>
  <c r="G14" i="25"/>
  <c r="AE11" i="25"/>
  <c r="G11" i="25"/>
  <c r="AP6" i="25"/>
  <c r="AS3" i="26" s="1" a="1"/>
  <c r="AS3" i="26" s="1"/>
  <c r="AO6" i="25"/>
  <c r="AV3" i="26" s="1" a="1"/>
  <c r="AV3" i="26" s="1"/>
  <c r="AH6" i="25"/>
  <c r="AM3" i="26" s="1" a="1"/>
  <c r="AM3" i="26" s="1"/>
  <c r="AG6" i="25"/>
  <c r="AL3" i="26" s="1" a="1"/>
  <c r="AL3" i="26" s="1"/>
  <c r="Y6" i="25"/>
  <c r="R3" i="26" s="1" a="1"/>
  <c r="R3" i="26" s="1"/>
  <c r="T6" i="25"/>
  <c r="AD3" i="26" s="1" a="1"/>
  <c r="AD3" i="26" s="1"/>
  <c r="P6" i="25"/>
  <c r="Z3" i="26" s="1" a="1"/>
  <c r="Z3" i="26" s="1"/>
  <c r="L6" i="25"/>
  <c r="P13" i="7" a="1"/>
  <c r="P13" i="7" s="1"/>
  <c r="O8" i="7"/>
  <c r="D6" i="7"/>
  <c r="F88" i="6"/>
  <c r="E88" i="6"/>
  <c r="D88" i="6"/>
  <c r="AS17" i="5" l="1"/>
  <c r="AS15" i="5" s="1"/>
  <c r="AQ17" i="5"/>
  <c r="AQ15" i="5" s="1"/>
  <c r="AO17" i="5"/>
  <c r="AO15" i="5" s="1"/>
  <c r="AR17" i="5"/>
  <c r="AR15" i="5" s="1"/>
  <c r="AP17" i="5"/>
  <c r="AP15" i="5" s="1"/>
  <c r="E38" i="5" a="1"/>
  <c r="E38" i="5" s="1"/>
  <c r="E40" i="5" s="1"/>
  <c r="L20" i="9"/>
  <c r="E25" i="5" a="1"/>
  <c r="E25" i="5" s="1"/>
  <c r="J20" i="9"/>
  <c r="B33" i="4"/>
  <c r="B45" i="4" s="1"/>
  <c r="B57" i="4" s="1"/>
  <c r="B22" i="4"/>
  <c r="AV93" i="26"/>
  <c r="AV235" i="26"/>
  <c r="AV236" i="26" s="1"/>
  <c r="AT93" i="26"/>
  <c r="AT235" i="26"/>
  <c r="AT236" i="26" s="1"/>
  <c r="AQ93" i="26"/>
  <c r="AQ235" i="26"/>
  <c r="AQ236" i="26" s="1"/>
  <c r="AP93" i="26"/>
  <c r="AP235" i="26"/>
  <c r="AP236" i="26" s="1"/>
  <c r="AO93" i="26"/>
  <c r="AO235" i="26"/>
  <c r="AO236" i="26" s="1"/>
  <c r="AN93" i="26"/>
  <c r="AN235" i="26"/>
  <c r="AN236" i="26" s="1"/>
  <c r="AM93" i="26"/>
  <c r="AM235" i="26"/>
  <c r="AM236" i="26" s="1"/>
  <c r="AL93" i="26"/>
  <c r="AL235" i="26"/>
  <c r="AL236" i="26" s="1"/>
  <c r="AK93" i="26"/>
  <c r="AK235" i="26"/>
  <c r="AK236" i="26" s="1"/>
  <c r="AJ93" i="26"/>
  <c r="AJ235" i="26"/>
  <c r="AJ236" i="26" s="1"/>
  <c r="AH93" i="26"/>
  <c r="AH235" i="26"/>
  <c r="AH236" i="26" s="1"/>
  <c r="W93" i="26"/>
  <c r="W235" i="26"/>
  <c r="W236" i="26" s="1"/>
  <c r="U93" i="26"/>
  <c r="U235" i="26"/>
  <c r="U236" i="26" s="1"/>
  <c r="S93" i="26"/>
  <c r="S235" i="26"/>
  <c r="S236" i="26" s="1"/>
  <c r="Q93" i="26"/>
  <c r="Q235" i="26"/>
  <c r="Q236" i="26" s="1"/>
  <c r="P93" i="26"/>
  <c r="P235" i="26"/>
  <c r="P236" i="26" s="1"/>
  <c r="L45" i="25"/>
  <c r="D63" i="25"/>
  <c r="D45" i="25" s="1"/>
  <c r="L40" i="25"/>
  <c r="D60" i="25"/>
  <c r="D40" i="25" s="1"/>
  <c r="AJ36" i="25"/>
  <c r="AJ38" i="25"/>
  <c r="AA36" i="25"/>
  <c r="AA38" i="25"/>
  <c r="V36" i="25"/>
  <c r="V38" i="25"/>
  <c r="U36" i="25"/>
  <c r="U38" i="25"/>
  <c r="G25" i="25"/>
  <c r="G31" i="25"/>
  <c r="G20" i="25"/>
  <c r="AG6" i="27"/>
  <c r="AF1" i="27"/>
  <c r="D64" i="25"/>
  <c r="D44" i="25" s="1"/>
  <c r="L44" i="25"/>
  <c r="L42" i="25"/>
  <c r="D62" i="25"/>
  <c r="D42" i="25" s="1"/>
  <c r="L43" i="25"/>
  <c r="D61" i="25"/>
  <c r="D43" i="25" s="1"/>
  <c r="AR36" i="25"/>
  <c r="AR38" i="25"/>
  <c r="AO36" i="25"/>
  <c r="AO38" i="25"/>
  <c r="AK36" i="25"/>
  <c r="AK38" i="25"/>
  <c r="AH36" i="25"/>
  <c r="AH38" i="25"/>
  <c r="AD36" i="25"/>
  <c r="AD38" i="25"/>
  <c r="Z36" i="25"/>
  <c r="Z38" i="25"/>
  <c r="Q36" i="25"/>
  <c r="Q38" i="25"/>
  <c r="M36" i="25"/>
  <c r="M38" i="25"/>
  <c r="L34" i="25"/>
  <c r="D51" i="25"/>
  <c r="D34" i="25" s="1"/>
  <c r="R65" i="7" a="1"/>
  <c r="R65" i="7" s="1"/>
  <c r="R80" i="7" s="1"/>
  <c r="R65" i="6" a="1"/>
  <c r="R65" i="6" s="1"/>
  <c r="R80" i="6" s="1"/>
  <c r="R65" i="8" a="1"/>
  <c r="R65" i="8" s="1"/>
  <c r="R80" i="8" s="1"/>
  <c r="Q37" i="7" a="1"/>
  <c r="Q37" i="7" s="1"/>
  <c r="Q51" i="7" s="1"/>
  <c r="Q37" i="6" a="1"/>
  <c r="Q37" i="6" s="1"/>
  <c r="Q51" i="6" s="1"/>
  <c r="Q37" i="8" a="1"/>
  <c r="Q37" i="8" s="1"/>
  <c r="Q51" i="8" s="1"/>
  <c r="R37" i="6" a="1"/>
  <c r="R37" i="6" s="1"/>
  <c r="R51" i="6" s="1"/>
  <c r="R37" i="8" a="1"/>
  <c r="R37" i="8" s="1"/>
  <c r="R51" i="8" s="1"/>
  <c r="R37" i="7" a="1"/>
  <c r="R37" i="7" s="1"/>
  <c r="Q36" i="7" a="1"/>
  <c r="Q36" i="7" s="1"/>
  <c r="Q50" i="7" s="1"/>
  <c r="Q36" i="6" a="1"/>
  <c r="Q36" i="6" s="1"/>
  <c r="Q50" i="6" s="1"/>
  <c r="Q36" i="8" a="1"/>
  <c r="Q36" i="8" s="1"/>
  <c r="Q50" i="8" s="1"/>
  <c r="R36" i="6" a="1"/>
  <c r="R36" i="6" s="1"/>
  <c r="R50" i="6" s="1"/>
  <c r="R36" i="8" a="1"/>
  <c r="R36" i="8" s="1"/>
  <c r="R50" i="8" s="1"/>
  <c r="R36" i="7" a="1"/>
  <c r="R36" i="7" s="1"/>
  <c r="Q35" i="6" a="1"/>
  <c r="Q35" i="6" s="1"/>
  <c r="Q49" i="6" s="1"/>
  <c r="Q35" i="8" a="1"/>
  <c r="Q35" i="8" s="1"/>
  <c r="Q49" i="8" s="1"/>
  <c r="Q35" i="7" a="1"/>
  <c r="Q35" i="7" s="1"/>
  <c r="Q49" i="7" s="1"/>
  <c r="R35" i="7" a="1"/>
  <c r="R35" i="7" s="1"/>
  <c r="R35" i="6" a="1"/>
  <c r="R35" i="6" s="1"/>
  <c r="R49" i="6" s="1"/>
  <c r="R35" i="8" a="1"/>
  <c r="R35" i="8" s="1"/>
  <c r="R49" i="8" s="1"/>
  <c r="Q34" i="7" a="1"/>
  <c r="Q34" i="7" s="1"/>
  <c r="Q48" i="7" s="1"/>
  <c r="Q34" i="6" a="1"/>
  <c r="Q34" i="6" s="1"/>
  <c r="Q48" i="6" s="1"/>
  <c r="Q34" i="8" a="1"/>
  <c r="Q34" i="8" s="1"/>
  <c r="Q48" i="8" s="1"/>
  <c r="R34" i="6" a="1"/>
  <c r="R34" i="6" s="1"/>
  <c r="R48" i="6" s="1"/>
  <c r="R34" i="8" a="1"/>
  <c r="R34" i="8" s="1"/>
  <c r="R48" i="8" s="1"/>
  <c r="R34" i="7" a="1"/>
  <c r="R34" i="7" s="1"/>
  <c r="Q33" i="6" a="1"/>
  <c r="Q33" i="6" s="1"/>
  <c r="Q47" i="6" s="1"/>
  <c r="Q33" i="8" a="1"/>
  <c r="Q33" i="8" s="1"/>
  <c r="Q47" i="8" s="1"/>
  <c r="Q33" i="7" a="1"/>
  <c r="Q33" i="7" s="1"/>
  <c r="Q47" i="7" s="1"/>
  <c r="R33" i="7" a="1"/>
  <c r="R33" i="7" s="1"/>
  <c r="R33" i="6" a="1"/>
  <c r="R33" i="6" s="1"/>
  <c r="R47" i="6" s="1"/>
  <c r="R33" i="8" a="1"/>
  <c r="R33" i="8" s="1"/>
  <c r="R47" i="8" s="1"/>
  <c r="M64" i="7"/>
  <c r="M64" i="8" s="1"/>
  <c r="M79" i="8"/>
  <c r="L64" i="7"/>
  <c r="L64" i="8" s="1"/>
  <c r="L79" i="8"/>
  <c r="L61" i="7"/>
  <c r="L61" i="8" s="1"/>
  <c r="L76" i="8"/>
  <c r="I60" i="6"/>
  <c r="I84" i="7"/>
  <c r="I84" i="6" s="1"/>
  <c r="M84" i="6" s="1"/>
  <c r="I52" i="6"/>
  <c r="M52" i="6" s="1"/>
  <c r="I76" i="7"/>
  <c r="I44" i="6"/>
  <c r="I43" i="6"/>
  <c r="M43" i="6" s="1"/>
  <c r="U2" i="21"/>
  <c r="T4" i="21"/>
  <c r="T5" i="21"/>
  <c r="T6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35" i="21"/>
  <c r="T36" i="21"/>
  <c r="T47" i="21"/>
  <c r="T50" i="21"/>
  <c r="T58" i="21"/>
  <c r="T28" i="21"/>
  <c r="T29" i="21"/>
  <c r="T30" i="21"/>
  <c r="T31" i="21"/>
  <c r="T32" i="21"/>
  <c r="T33" i="21"/>
  <c r="T34" i="21"/>
  <c r="T37" i="21"/>
  <c r="T38" i="21"/>
  <c r="T40" i="21"/>
  <c r="T43" i="21"/>
  <c r="T44" i="21"/>
  <c r="T45" i="21"/>
  <c r="T48" i="21"/>
  <c r="T53" i="21"/>
  <c r="T54" i="21"/>
  <c r="T39" i="21"/>
  <c r="T41" i="21"/>
  <c r="T42" i="21"/>
  <c r="T46" i="21"/>
  <c r="T49" i="21"/>
  <c r="T51" i="21"/>
  <c r="T52" i="21"/>
  <c r="T55" i="21"/>
  <c r="T56" i="21"/>
  <c r="T57" i="21"/>
  <c r="G8" i="12"/>
  <c r="CD72" i="5" s="1"/>
  <c r="C25" i="12"/>
  <c r="F20" i="9"/>
  <c r="M20" i="9"/>
  <c r="E19" i="17"/>
  <c r="C19" i="17"/>
  <c r="D19" i="17"/>
  <c r="A20" i="17"/>
  <c r="D92" i="14"/>
  <c r="G92" i="14" s="1"/>
  <c r="E92" i="14"/>
  <c r="A93" i="14"/>
  <c r="G11" i="12"/>
  <c r="CD70" i="5"/>
  <c r="AE22" i="9"/>
  <c r="AC22" i="9"/>
  <c r="AC33" i="9"/>
  <c r="D21" i="9"/>
  <c r="F25" i="5" s="1" a="1"/>
  <c r="F25" i="5" s="1"/>
  <c r="I21" i="9"/>
  <c r="P21" i="9"/>
  <c r="Q21" i="9"/>
  <c r="W21" i="9"/>
  <c r="Y21" i="9" a="1"/>
  <c r="Y21" i="9" s="1"/>
  <c r="E21" i="9"/>
  <c r="H21" i="9"/>
  <c r="C22" i="9"/>
  <c r="AC22" i="10"/>
  <c r="AD22" i="10"/>
  <c r="W22" i="10"/>
  <c r="X22" i="10"/>
  <c r="Y21" i="10"/>
  <c r="AE21" i="10"/>
  <c r="S22" i="10"/>
  <c r="Q22" i="10"/>
  <c r="Q33" i="10"/>
  <c r="D21" i="10"/>
  <c r="E21" i="10"/>
  <c r="H21" i="10"/>
  <c r="K21" i="10"/>
  <c r="M21" i="10" a="1"/>
  <c r="M21" i="10" s="1"/>
  <c r="C22" i="10"/>
  <c r="M31" i="6"/>
  <c r="T104" i="5"/>
  <c r="CL58" i="5"/>
  <c r="E27" i="5"/>
  <c r="E33" i="5"/>
  <c r="E35" i="5" s="1"/>
  <c r="D27" i="5"/>
  <c r="D33" i="5"/>
  <c r="D35" i="5" s="1"/>
  <c r="CX9" i="5"/>
  <c r="G9" i="5"/>
  <c r="F1" i="5"/>
  <c r="F2" i="5"/>
  <c r="BS3" i="5"/>
  <c r="BG3" i="5"/>
  <c r="AK3" i="5"/>
  <c r="AV3" i="5"/>
  <c r="AJ71" i="5"/>
  <c r="M83" i="8"/>
  <c r="M68" i="7"/>
  <c r="M68" i="8" s="1"/>
  <c r="L83" i="8"/>
  <c r="L68" i="7"/>
  <c r="L68" i="8" s="1"/>
  <c r="K83" i="8"/>
  <c r="K68" i="7"/>
  <c r="K68" i="8" s="1"/>
  <c r="M81" i="8"/>
  <c r="M66" i="7"/>
  <c r="M66" i="8" s="1"/>
  <c r="M80" i="8"/>
  <c r="M65" i="7"/>
  <c r="M65" i="8" s="1"/>
  <c r="M76" i="8"/>
  <c r="I76" i="8" s="1"/>
  <c r="M61" i="7"/>
  <c r="K76" i="8"/>
  <c r="K61" i="7"/>
  <c r="K61" i="8" s="1"/>
  <c r="I46" i="6"/>
  <c r="M46" i="6" s="1"/>
  <c r="I78" i="7"/>
  <c r="I78" i="6" s="1"/>
  <c r="I45" i="6"/>
  <c r="M45" i="6" s="1"/>
  <c r="D17" i="4"/>
  <c r="A16" i="4"/>
  <c r="AQ36" i="25"/>
  <c r="AQ38" i="25"/>
  <c r="AN36" i="25"/>
  <c r="AN38" i="25"/>
  <c r="AI36" i="25"/>
  <c r="AI38" i="25"/>
  <c r="AF36" i="25"/>
  <c r="AF38" i="25"/>
  <c r="AC36" i="25"/>
  <c r="AC38" i="25"/>
  <c r="X36" i="25"/>
  <c r="X38" i="25"/>
  <c r="S36" i="25"/>
  <c r="S38" i="25"/>
  <c r="G28" i="25"/>
  <c r="G22" i="25"/>
  <c r="I11" i="30"/>
  <c r="H16" i="30"/>
  <c r="H37" i="30"/>
  <c r="G30" i="25"/>
  <c r="G24" i="25"/>
  <c r="G29" i="25"/>
  <c r="G23" i="25"/>
  <c r="F47" i="30"/>
  <c r="AP36" i="25"/>
  <c r="AP38" i="25"/>
  <c r="AL36" i="25"/>
  <c r="AL38" i="25"/>
  <c r="AG36" i="25"/>
  <c r="AG38" i="25"/>
  <c r="AB36" i="25"/>
  <c r="AB38" i="25"/>
  <c r="W36" i="25"/>
  <c r="W38" i="25"/>
  <c r="R36" i="25"/>
  <c r="R38" i="25"/>
  <c r="L36" i="25"/>
  <c r="L38" i="25"/>
  <c r="D53" i="25"/>
  <c r="L37" i="25"/>
  <c r="D52" i="25"/>
  <c r="D37" i="25" s="1"/>
  <c r="F26" i="30"/>
  <c r="AW93" i="26"/>
  <c r="AW235" i="26"/>
  <c r="AW236" i="26" s="1"/>
  <c r="AU93" i="26"/>
  <c r="AU235" i="26"/>
  <c r="AU236" i="26" s="1"/>
  <c r="AS93" i="26"/>
  <c r="AS235" i="26"/>
  <c r="AS236" i="26" s="1"/>
  <c r="AR93" i="26"/>
  <c r="AR235" i="26"/>
  <c r="AR236" i="26" s="1"/>
  <c r="AI93" i="26"/>
  <c r="AI235" i="26"/>
  <c r="AI236" i="26" s="1"/>
  <c r="AG93" i="26"/>
  <c r="AG235" i="26"/>
  <c r="AG236" i="26" s="1"/>
  <c r="AF93" i="26"/>
  <c r="AF235" i="26"/>
  <c r="AF236" i="26" s="1"/>
  <c r="AE93" i="26"/>
  <c r="AE235" i="26"/>
  <c r="AE236" i="26" s="1"/>
  <c r="AD93" i="26"/>
  <c r="AD235" i="26"/>
  <c r="AD236" i="26" s="1"/>
  <c r="AB93" i="26"/>
  <c r="AB235" i="26"/>
  <c r="AB236" i="26" s="1"/>
  <c r="Z93" i="26"/>
  <c r="Z235" i="26"/>
  <c r="Z236" i="26" s="1"/>
  <c r="Y93" i="26"/>
  <c r="Y235" i="26"/>
  <c r="Y236" i="26" s="1"/>
  <c r="X93" i="26"/>
  <c r="X235" i="26"/>
  <c r="X236" i="26" s="1"/>
  <c r="V93" i="26"/>
  <c r="V235" i="26"/>
  <c r="V236" i="26" s="1"/>
  <c r="T93" i="26"/>
  <c r="T235" i="26"/>
  <c r="T236" i="26" s="1"/>
  <c r="R93" i="26"/>
  <c r="R235" i="26"/>
  <c r="R236" i="26" s="1"/>
  <c r="AM36" i="25"/>
  <c r="AM38" i="25"/>
  <c r="AE36" i="25"/>
  <c r="AE38" i="25"/>
  <c r="Y36" i="25"/>
  <c r="Y38" i="25"/>
  <c r="T36" i="25"/>
  <c r="T38" i="25"/>
  <c r="P36" i="25"/>
  <c r="P38" i="25"/>
  <c r="O36" i="25"/>
  <c r="O38" i="25"/>
  <c r="N36" i="25"/>
  <c r="N38" i="25"/>
  <c r="G21" i="25"/>
  <c r="G27" i="25"/>
  <c r="F52" i="25"/>
  <c r="F53" i="25"/>
  <c r="J55" i="25"/>
  <c r="F56" i="25"/>
  <c r="G56" i="25" s="1"/>
  <c r="J52" i="25"/>
  <c r="J37" i="25" s="1"/>
  <c r="J53" i="25"/>
  <c r="H54" i="25"/>
  <c r="I56" i="25"/>
  <c r="F57" i="25"/>
  <c r="G57" i="25" s="1"/>
  <c r="J57" i="25"/>
  <c r="Q3" i="26" a="1"/>
  <c r="Q3" i="26" s="1"/>
  <c r="I52" i="25"/>
  <c r="I37" i="25" s="1"/>
  <c r="H53" i="25"/>
  <c r="F55" i="25"/>
  <c r="G55" i="25" s="1"/>
  <c r="F49" i="25"/>
  <c r="H49" i="25"/>
  <c r="H35" i="25" s="1"/>
  <c r="I49" i="25"/>
  <c r="I35" i="25" s="1"/>
  <c r="J49" i="25"/>
  <c r="J35" i="25" s="1"/>
  <c r="F50" i="25"/>
  <c r="G50" i="25" s="1"/>
  <c r="H50" i="25"/>
  <c r="I50" i="25"/>
  <c r="J50" i="25"/>
  <c r="F51" i="25"/>
  <c r="H51" i="25"/>
  <c r="H34" i="25" s="1"/>
  <c r="I51" i="25"/>
  <c r="I34" i="25" s="1"/>
  <c r="J51" i="25"/>
  <c r="J34" i="25" s="1"/>
  <c r="J54" i="25"/>
  <c r="I55" i="25"/>
  <c r="H56" i="25"/>
  <c r="I57" i="25"/>
  <c r="F58" i="25"/>
  <c r="G58" i="25" s="1"/>
  <c r="J58" i="25"/>
  <c r="F59" i="25"/>
  <c r="G59" i="25" s="1"/>
  <c r="I59" i="25"/>
  <c r="F60" i="25"/>
  <c r="H60" i="25"/>
  <c r="H40" i="25" s="1"/>
  <c r="I60" i="25"/>
  <c r="I40" i="25" s="1"/>
  <c r="H61" i="25"/>
  <c r="H43" i="25" s="1"/>
  <c r="J61" i="25"/>
  <c r="J43" i="25" s="1"/>
  <c r="J62" i="25"/>
  <c r="J42" i="25" s="1"/>
  <c r="I63" i="25"/>
  <c r="I45" i="25" s="1"/>
  <c r="J64" i="25"/>
  <c r="J44" i="25" s="1"/>
  <c r="H52" i="25"/>
  <c r="H37" i="25" s="1"/>
  <c r="I53" i="25"/>
  <c r="F54" i="25"/>
  <c r="I54" i="25"/>
  <c r="H55" i="25"/>
  <c r="J56" i="25"/>
  <c r="H57" i="25"/>
  <c r="H58" i="25"/>
  <c r="I58" i="25"/>
  <c r="H59" i="25"/>
  <c r="J59" i="25"/>
  <c r="J60" i="25"/>
  <c r="J40" i="25" s="1"/>
  <c r="F61" i="25"/>
  <c r="I61" i="25"/>
  <c r="I43" i="25" s="1"/>
  <c r="F62" i="25"/>
  <c r="H62" i="25"/>
  <c r="H42" i="25" s="1"/>
  <c r="I62" i="25"/>
  <c r="I42" i="25" s="1"/>
  <c r="F63" i="25"/>
  <c r="H63" i="25"/>
  <c r="H45" i="25" s="1"/>
  <c r="J63" i="25"/>
  <c r="J45" i="25" s="1"/>
  <c r="F64" i="25"/>
  <c r="H64" i="25"/>
  <c r="H44" i="25" s="1"/>
  <c r="I64" i="25"/>
  <c r="I44" i="25" s="1"/>
  <c r="O39" i="27"/>
  <c r="N39" i="27" s="1"/>
  <c r="M39" i="27" s="1"/>
  <c r="L39" i="27" s="1"/>
  <c r="D59" i="25"/>
  <c r="AK24" i="25"/>
  <c r="AC24" i="25"/>
  <c r="T24" i="25"/>
  <c r="L24" i="25"/>
  <c r="AJ23" i="25"/>
  <c r="AH23" i="25"/>
  <c r="AE23" i="25"/>
  <c r="X23" i="25"/>
  <c r="P23" i="25"/>
  <c r="W22" i="25"/>
  <c r="Q22" i="25"/>
  <c r="M22" i="25"/>
  <c r="AQ21" i="25"/>
  <c r="AN21" i="25"/>
  <c r="AJ21" i="25"/>
  <c r="AH21" i="25"/>
  <c r="O20" i="25"/>
  <c r="M20" i="25"/>
  <c r="AK39" i="25"/>
  <c r="AH39" i="25"/>
  <c r="AD39" i="25"/>
  <c r="Y39" i="25"/>
  <c r="L39" i="25"/>
  <c r="AQ25" i="25"/>
  <c r="W25" i="25"/>
  <c r="P25" i="25"/>
  <c r="AQ24" i="25"/>
  <c r="I56" i="8"/>
  <c r="I98" i="8" s="1"/>
  <c r="F20" i="10"/>
  <c r="AL233" i="26"/>
  <c r="AK233" i="26"/>
  <c r="AJ233" i="26"/>
  <c r="AI233" i="26"/>
  <c r="AG233" i="26"/>
  <c r="AF233" i="26"/>
  <c r="AE233" i="26"/>
  <c r="AD233" i="26"/>
  <c r="AB233" i="26"/>
  <c r="Z233" i="26"/>
  <c r="Y233" i="26"/>
  <c r="X233" i="26"/>
  <c r="V233" i="26"/>
  <c r="T233" i="26"/>
  <c r="R233" i="26"/>
  <c r="AW159" i="26"/>
  <c r="AU159" i="26"/>
  <c r="AS159" i="26"/>
  <c r="AR159" i="26"/>
  <c r="AI159" i="26"/>
  <c r="AG159" i="26"/>
  <c r="AF159" i="26"/>
  <c r="AE159" i="26"/>
  <c r="AD159" i="26"/>
  <c r="AB159" i="26"/>
  <c r="Z159" i="26"/>
  <c r="Y159" i="26"/>
  <c r="X159" i="26"/>
  <c r="V159" i="26"/>
  <c r="T159" i="26"/>
  <c r="R159" i="26"/>
  <c r="D54" i="25"/>
  <c r="D39" i="25" s="1"/>
  <c r="AI24" i="25"/>
  <c r="Q24" i="25"/>
  <c r="AR23" i="25"/>
  <c r="AQ23" i="25"/>
  <c r="AK23" i="25"/>
  <c r="AF23" i="25"/>
  <c r="Q23" i="25"/>
  <c r="AR22" i="25"/>
  <c r="AI22" i="25"/>
  <c r="AF22" i="25"/>
  <c r="AC22" i="25"/>
  <c r="AA22" i="25"/>
  <c r="V22" i="25"/>
  <c r="AK21" i="25"/>
  <c r="AG21" i="25"/>
  <c r="T21" i="25"/>
  <c r="Q21" i="25"/>
  <c r="AI20" i="25"/>
  <c r="AG20" i="25"/>
  <c r="AB20" i="25"/>
  <c r="X20" i="25"/>
  <c r="AN25" i="25"/>
  <c r="AJ25" i="25"/>
  <c r="AH25" i="25"/>
  <c r="AC25" i="25"/>
  <c r="L25" i="25"/>
  <c r="CD71" i="5"/>
  <c r="I56" i="6"/>
  <c r="I13" i="6"/>
  <c r="AA99" i="5"/>
  <c r="U99" i="5"/>
  <c r="S99" i="5"/>
  <c r="P99" i="5"/>
  <c r="AH24" i="25"/>
  <c r="W24" i="25"/>
  <c r="AM23" i="25"/>
  <c r="Y23" i="25"/>
  <c r="T22" i="25"/>
  <c r="P22" i="25"/>
  <c r="AP20" i="27"/>
  <c r="D57" i="25"/>
  <c r="AJ24" i="25"/>
  <c r="AB24" i="25"/>
  <c r="X24" i="25"/>
  <c r="U24" i="25"/>
  <c r="P24" i="25"/>
  <c r="M24" i="25"/>
  <c r="AP23" i="25"/>
  <c r="AI23" i="25"/>
  <c r="AD23" i="25"/>
  <c r="AA23" i="25"/>
  <c r="W23" i="25"/>
  <c r="O23" i="25"/>
  <c r="L23" i="25"/>
  <c r="AJ22" i="25"/>
  <c r="AG22" i="25"/>
  <c r="AB22" i="25"/>
  <c r="U22" i="25"/>
  <c r="L22" i="25"/>
  <c r="AO21" i="25"/>
  <c r="AM21" i="25"/>
  <c r="AL21" i="25"/>
  <c r="AF21" i="25"/>
  <c r="AB21" i="25"/>
  <c r="AQ20" i="25"/>
  <c r="AO20" i="25"/>
  <c r="AM20" i="25"/>
  <c r="AK20" i="25"/>
  <c r="AJ20" i="25"/>
  <c r="AF20" i="25"/>
  <c r="AC20" i="25"/>
  <c r="W20" i="25"/>
  <c r="P20" i="25"/>
  <c r="AA31" i="27"/>
  <c r="AB31" i="27" s="1"/>
  <c r="AC31" i="27" s="1"/>
  <c r="AD31" i="27" s="1"/>
  <c r="AN24" i="25"/>
  <c r="AG24" i="25"/>
  <c r="AE24" i="25"/>
  <c r="AN23" i="25"/>
  <c r="AB23" i="25"/>
  <c r="T23" i="25"/>
  <c r="AQ22" i="25"/>
  <c r="AM22" i="25"/>
  <c r="AK22" i="25"/>
  <c r="Y22" i="25"/>
  <c r="X21" i="25"/>
  <c r="AE20" i="25"/>
  <c r="L20" i="25"/>
  <c r="N19" i="9"/>
  <c r="I69" i="8"/>
  <c r="I69" i="6" s="1"/>
  <c r="M69" i="6" s="1"/>
  <c r="Z99" i="5"/>
  <c r="X99" i="5"/>
  <c r="V99" i="5"/>
  <c r="T99" i="5"/>
  <c r="Q99" i="5"/>
  <c r="AM24" i="25"/>
  <c r="O24" i="25"/>
  <c r="AC23" i="25"/>
  <c r="AN22" i="25"/>
  <c r="X22" i="25"/>
  <c r="O22" i="25"/>
  <c r="O21" i="25"/>
  <c r="L21" i="25"/>
  <c r="Y20" i="25"/>
  <c r="T20" i="25"/>
  <c r="O33" i="27"/>
  <c r="N33" i="27" s="1"/>
  <c r="M33" i="27" s="1"/>
  <c r="L33" i="27" s="1"/>
  <c r="K33" i="27" s="1"/>
  <c r="J33" i="27" s="1"/>
  <c r="I33" i="27" s="1"/>
  <c r="H33" i="27" s="1"/>
  <c r="G33" i="27" s="1"/>
  <c r="AC92" i="26"/>
  <c r="AA92" i="26"/>
  <c r="D56" i="25"/>
  <c r="Y24" i="25"/>
  <c r="AL23" i="25"/>
  <c r="AG23" i="25"/>
  <c r="R23" i="25"/>
  <c r="AH22" i="25"/>
  <c r="AE21" i="25"/>
  <c r="AC21" i="25"/>
  <c r="Y21" i="25"/>
  <c r="S21" i="25"/>
  <c r="R21" i="25"/>
  <c r="P21" i="25"/>
  <c r="N21" i="25"/>
  <c r="AL20" i="25"/>
  <c r="AH20" i="25"/>
  <c r="AA20" i="25"/>
  <c r="Q20" i="25"/>
  <c r="N20" i="25"/>
  <c r="AW233" i="26"/>
  <c r="AU233" i="26"/>
  <c r="AS233" i="26"/>
  <c r="AR233" i="26"/>
  <c r="AR39" i="25"/>
  <c r="AI39" i="25"/>
  <c r="AF39" i="25"/>
  <c r="AE39" i="25"/>
  <c r="Z39" i="25"/>
  <c r="W39" i="25"/>
  <c r="T39" i="25"/>
  <c r="Q39" i="25"/>
  <c r="M39" i="25"/>
  <c r="AM25" i="25"/>
  <c r="AK25" i="25"/>
  <c r="AG25" i="25"/>
  <c r="AE25" i="25"/>
  <c r="Y25" i="25"/>
  <c r="T25" i="25"/>
  <c r="O25" i="25"/>
  <c r="R20" i="9"/>
  <c r="Y99" i="5"/>
  <c r="W99" i="5"/>
  <c r="R99" i="5"/>
  <c r="CF35" i="5"/>
  <c r="CF27" i="5"/>
  <c r="W21" i="25"/>
  <c r="AM39" i="25"/>
  <c r="AJ39" i="25"/>
  <c r="AG39" i="25"/>
  <c r="AB39" i="25"/>
  <c r="U39" i="25"/>
  <c r="R39" i="25"/>
  <c r="O39" i="25"/>
  <c r="AB25" i="25"/>
  <c r="X25" i="25"/>
  <c r="Q25" i="25"/>
  <c r="I56" i="7"/>
  <c r="I98" i="7" s="1"/>
  <c r="V226" i="19"/>
  <c r="CF31" i="5"/>
  <c r="AN20" i="25"/>
  <c r="R21" i="9" l="1"/>
  <c r="F38" i="5" a="1"/>
  <c r="F38" i="5" s="1"/>
  <c r="F40" i="5" s="1"/>
  <c r="F29" i="5" a="1"/>
  <c r="F29" i="5" s="1"/>
  <c r="B34" i="4"/>
  <c r="B46" i="4" s="1"/>
  <c r="B58" i="4" s="1"/>
  <c r="B23" i="4"/>
  <c r="R85" i="6" a="1"/>
  <c r="R85" i="6" s="1"/>
  <c r="R85" i="8" a="1"/>
  <c r="R85" i="8" s="1"/>
  <c r="R85" i="7" a="1"/>
  <c r="R85" i="7" s="1"/>
  <c r="P37" i="6" a="1"/>
  <c r="P37" i="6" s="1"/>
  <c r="P51" i="6" s="1"/>
  <c r="P37" i="7" a="1"/>
  <c r="P37" i="7" s="1"/>
  <c r="P51" i="7" s="1"/>
  <c r="P37" i="8" a="1"/>
  <c r="P37" i="8" s="1"/>
  <c r="P51" i="8" s="1"/>
  <c r="AH6" i="27"/>
  <c r="AG1" i="27"/>
  <c r="R62" i="6" a="1"/>
  <c r="R62" i="6" s="1"/>
  <c r="R77" i="6" s="1"/>
  <c r="R62" i="8" a="1"/>
  <c r="R62" i="8" s="1"/>
  <c r="R77" i="8" s="1"/>
  <c r="R62" i="7" a="1"/>
  <c r="R62" i="7" s="1"/>
  <c r="R77" i="7" s="1"/>
  <c r="R60" i="6" a="1"/>
  <c r="R60" i="6" s="1"/>
  <c r="R75" i="6" s="1"/>
  <c r="R60" i="7" a="1"/>
  <c r="R60" i="7" s="1"/>
  <c r="R75" i="7" s="1"/>
  <c r="R60" i="8" a="1"/>
  <c r="R60" i="8" s="1"/>
  <c r="R75" i="8" s="1"/>
  <c r="R61" i="6" a="1"/>
  <c r="R61" i="6" s="1"/>
  <c r="R76" i="6" s="1"/>
  <c r="R61" i="7" a="1"/>
  <c r="R61" i="7" s="1"/>
  <c r="R76" i="7" s="1"/>
  <c r="R61" i="8" a="1"/>
  <c r="R61" i="8" s="1"/>
  <c r="R76" i="8" s="1"/>
  <c r="R64" i="7" a="1"/>
  <c r="R64" i="7" s="1"/>
  <c r="R79" i="7" s="1"/>
  <c r="R64" i="6" a="1"/>
  <c r="R64" i="6" s="1"/>
  <c r="R79" i="6" s="1"/>
  <c r="R64" i="8" a="1"/>
  <c r="R64" i="8" s="1"/>
  <c r="R79" i="8" s="1"/>
  <c r="R51" i="7"/>
  <c r="K37" i="7"/>
  <c r="K37" i="8" s="1"/>
  <c r="L37" i="7"/>
  <c r="L37" i="8" s="1"/>
  <c r="M37" i="7"/>
  <c r="R50" i="7"/>
  <c r="L36" i="7"/>
  <c r="L36" i="8" s="1"/>
  <c r="M36" i="7"/>
  <c r="M35" i="7"/>
  <c r="L35" i="7"/>
  <c r="L35" i="8" s="1"/>
  <c r="R49" i="7"/>
  <c r="K35" i="7"/>
  <c r="K35" i="8" s="1"/>
  <c r="R48" i="7"/>
  <c r="K34" i="7"/>
  <c r="K34" i="8" s="1"/>
  <c r="L34" i="7"/>
  <c r="L34" i="8" s="1"/>
  <c r="M34" i="7"/>
  <c r="R47" i="7"/>
  <c r="K33" i="7"/>
  <c r="K33" i="8" s="1"/>
  <c r="L33" i="7"/>
  <c r="L33" i="8" s="1"/>
  <c r="M33" i="7"/>
  <c r="M60" i="6"/>
  <c r="M44" i="6"/>
  <c r="E5" i="1"/>
  <c r="V2" i="21"/>
  <c r="U4" i="21"/>
  <c r="U5" i="21"/>
  <c r="U6" i="21"/>
  <c r="U10" i="21"/>
  <c r="U11" i="21"/>
  <c r="AC61" i="5" s="1"/>
  <c r="U12" i="21"/>
  <c r="U13" i="21"/>
  <c r="U14" i="21"/>
  <c r="U15" i="21"/>
  <c r="U16" i="21"/>
  <c r="U17" i="21"/>
  <c r="AC87" i="5" s="1"/>
  <c r="U18" i="21"/>
  <c r="U19" i="21"/>
  <c r="AC72" i="5" s="1"/>
  <c r="U20" i="21"/>
  <c r="U21" i="21"/>
  <c r="U22" i="21"/>
  <c r="U23" i="21"/>
  <c r="U24" i="21"/>
  <c r="U25" i="21"/>
  <c r="U26" i="21"/>
  <c r="U27" i="21"/>
  <c r="AC94" i="5" s="1"/>
  <c r="U28" i="21"/>
  <c r="U29" i="21"/>
  <c r="U30" i="21"/>
  <c r="U31" i="21"/>
  <c r="U32" i="21"/>
  <c r="U34" i="21"/>
  <c r="AC86" i="5" s="1"/>
  <c r="U35" i="21"/>
  <c r="U37" i="21"/>
  <c r="AC77" i="5" s="1"/>
  <c r="U39" i="21"/>
  <c r="U40" i="21"/>
  <c r="U41" i="21"/>
  <c r="AC92" i="5" s="1"/>
  <c r="U43" i="21"/>
  <c r="U53" i="21"/>
  <c r="U56" i="21"/>
  <c r="U33" i="21"/>
  <c r="AC91" i="5" s="1"/>
  <c r="U36" i="21"/>
  <c r="AC78" i="5" s="1"/>
  <c r="U42" i="21"/>
  <c r="U45" i="21"/>
  <c r="U47" i="21"/>
  <c r="U50" i="21"/>
  <c r="U51" i="21"/>
  <c r="U52" i="21"/>
  <c r="U55" i="21"/>
  <c r="U57" i="21"/>
  <c r="U38" i="21"/>
  <c r="U44" i="21"/>
  <c r="U46" i="21"/>
  <c r="AC93" i="5" s="1"/>
  <c r="AC104" i="5" s="1"/>
  <c r="U48" i="21"/>
  <c r="U49" i="21"/>
  <c r="U54" i="21"/>
  <c r="U58" i="21"/>
  <c r="T59" i="21"/>
  <c r="AB83" i="5"/>
  <c r="AB61" i="5"/>
  <c r="AB88" i="5"/>
  <c r="AB97" i="5"/>
  <c r="AB90" i="5"/>
  <c r="AB62" i="5"/>
  <c r="AB87" i="5"/>
  <c r="AB72" i="5"/>
  <c r="AB95" i="5"/>
  <c r="AB84" i="5"/>
  <c r="AB94" i="5"/>
  <c r="AB78" i="5"/>
  <c r="AB91" i="5"/>
  <c r="AB86" i="5"/>
  <c r="AB77" i="5"/>
  <c r="AB85" i="5"/>
  <c r="AB92" i="5"/>
  <c r="AB93" i="5"/>
  <c r="E43" i="5" a="1"/>
  <c r="E43" i="5" s="1"/>
  <c r="N20" i="9"/>
  <c r="C20" i="17"/>
  <c r="D20" i="17"/>
  <c r="A21" i="17"/>
  <c r="E20" i="17"/>
  <c r="D93" i="14"/>
  <c r="G93" i="14" s="1"/>
  <c r="E93" i="14"/>
  <c r="A94" i="14"/>
  <c r="CE70" i="5"/>
  <c r="AI70" i="5"/>
  <c r="AH70" i="5"/>
  <c r="AE23" i="9"/>
  <c r="AC23" i="9"/>
  <c r="AC34" i="9"/>
  <c r="F21" i="9"/>
  <c r="M21" i="9"/>
  <c r="D22" i="9"/>
  <c r="G25" i="5" s="1" a="1"/>
  <c r="G25" i="5" s="1"/>
  <c r="E22" i="9"/>
  <c r="H22" i="9"/>
  <c r="I22" i="9"/>
  <c r="P22" i="9"/>
  <c r="Q22" i="9"/>
  <c r="G44" i="5" s="1" a="1"/>
  <c r="G44" i="5" s="1"/>
  <c r="W22" i="9"/>
  <c r="Y22" i="9" a="1"/>
  <c r="Y22" i="9" s="1"/>
  <c r="C23" i="9"/>
  <c r="AC23" i="10"/>
  <c r="AD23" i="10"/>
  <c r="Y22" i="10"/>
  <c r="AE22" i="10"/>
  <c r="W23" i="10"/>
  <c r="X23" i="10"/>
  <c r="S23" i="10"/>
  <c r="Q23" i="10"/>
  <c r="Q34" i="10"/>
  <c r="D22" i="10"/>
  <c r="E22" i="10"/>
  <c r="H22" i="10"/>
  <c r="K22" i="10"/>
  <c r="M22" i="10" a="1"/>
  <c r="M22" i="10" s="1"/>
  <c r="C23" i="10"/>
  <c r="H9" i="5"/>
  <c r="G29" i="5" a="1"/>
  <c r="G29" i="5" s="1"/>
  <c r="G31" i="5" s="1"/>
  <c r="G1" i="5"/>
  <c r="G2" i="5"/>
  <c r="F27" i="5"/>
  <c r="BT3" i="5"/>
  <c r="AL3" i="5"/>
  <c r="AW3" i="5"/>
  <c r="AK70" i="5"/>
  <c r="AK71" i="5"/>
  <c r="BH3" i="5"/>
  <c r="AV70" i="5"/>
  <c r="I61" i="7"/>
  <c r="M61" i="8"/>
  <c r="I61" i="8" s="1"/>
  <c r="CF48" i="5"/>
  <c r="M78" i="6"/>
  <c r="D18" i="4"/>
  <c r="A17" i="4"/>
  <c r="P34" i="8" a="1"/>
  <c r="P34" i="8" s="1"/>
  <c r="P48" i="8" s="1"/>
  <c r="P34" i="7" a="1"/>
  <c r="P34" i="7" s="1"/>
  <c r="P48" i="7" s="1"/>
  <c r="P34" i="6" a="1"/>
  <c r="P34" i="6" s="1"/>
  <c r="P48" i="6" s="1"/>
  <c r="J11" i="30"/>
  <c r="I16" i="30"/>
  <c r="I37" i="30"/>
  <c r="P36" i="7" a="1"/>
  <c r="P36" i="7" s="1"/>
  <c r="P50" i="7" s="1"/>
  <c r="P36" i="6" a="1"/>
  <c r="P36" i="6" s="1"/>
  <c r="P50" i="6" s="1"/>
  <c r="P36" i="8" a="1"/>
  <c r="P36" i="8" s="1"/>
  <c r="P50" i="8" s="1"/>
  <c r="P35" i="8" a="1"/>
  <c r="P35" i="8" s="1"/>
  <c r="P49" i="8" s="1"/>
  <c r="P35" i="7" a="1"/>
  <c r="P35" i="7" s="1"/>
  <c r="P49" i="7" s="1"/>
  <c r="P35" i="6" a="1"/>
  <c r="P35" i="6" s="1"/>
  <c r="P49" i="6" s="1"/>
  <c r="F48" i="30"/>
  <c r="D36" i="25"/>
  <c r="D38" i="25"/>
  <c r="R67" i="6" a="1"/>
  <c r="R67" i="6" s="1"/>
  <c r="R82" i="6" s="1"/>
  <c r="R67" i="8" a="1"/>
  <c r="R67" i="8" s="1"/>
  <c r="R82" i="8" s="1"/>
  <c r="R67" i="7" a="1"/>
  <c r="R67" i="7" s="1"/>
  <c r="R82" i="7" s="1"/>
  <c r="F27" i="30"/>
  <c r="P33" i="6" a="1"/>
  <c r="P33" i="6" s="1"/>
  <c r="P47" i="6" s="1"/>
  <c r="P33" i="8" a="1"/>
  <c r="P33" i="8" s="1"/>
  <c r="P47" i="8" s="1"/>
  <c r="P33" i="7" a="1"/>
  <c r="P33" i="7" s="1"/>
  <c r="P47" i="7" s="1"/>
  <c r="G52" i="25"/>
  <c r="G37" i="25" s="1"/>
  <c r="F37" i="25"/>
  <c r="F36" i="25"/>
  <c r="F38" i="25"/>
  <c r="G53" i="25"/>
  <c r="J36" i="25"/>
  <c r="J38" i="25"/>
  <c r="H36" i="25"/>
  <c r="H38" i="25"/>
  <c r="G49" i="25"/>
  <c r="G35" i="25" s="1"/>
  <c r="F35" i="25"/>
  <c r="G51" i="25"/>
  <c r="G34" i="25" s="1"/>
  <c r="F34" i="25"/>
  <c r="G60" i="25"/>
  <c r="G40" i="25" s="1"/>
  <c r="F40" i="25"/>
  <c r="I36" i="25"/>
  <c r="I38" i="25"/>
  <c r="F39" i="25"/>
  <c r="G54" i="25"/>
  <c r="G39" i="25" s="1"/>
  <c r="G61" i="25"/>
  <c r="G43" i="25" s="1"/>
  <c r="F43" i="25"/>
  <c r="G62" i="25"/>
  <c r="G42" i="25" s="1"/>
  <c r="F42" i="25"/>
  <c r="G63" i="25"/>
  <c r="G45" i="25" s="1"/>
  <c r="F45" i="25"/>
  <c r="G64" i="25"/>
  <c r="G44" i="25" s="1"/>
  <c r="F44" i="25"/>
  <c r="R69" i="8" a="1"/>
  <c r="R69" i="8" s="1"/>
  <c r="R84" i="8" s="1"/>
  <c r="R69" i="7" a="1"/>
  <c r="R69" i="7" s="1"/>
  <c r="R84" i="7" s="1"/>
  <c r="R69" i="6" a="1"/>
  <c r="R69" i="6" s="1"/>
  <c r="R84" i="6" s="1"/>
  <c r="AH71" i="5"/>
  <c r="AI71" i="5"/>
  <c r="CE71" i="5"/>
  <c r="I26" i="29"/>
  <c r="I98" i="6"/>
  <c r="AC235" i="26"/>
  <c r="AC236" i="26" s="1"/>
  <c r="AC93" i="26"/>
  <c r="AA235" i="26"/>
  <c r="AA236" i="26" s="1"/>
  <c r="AA93" i="26"/>
  <c r="C5" i="1"/>
  <c r="I28" i="29"/>
  <c r="I76" i="6"/>
  <c r="M76" i="6" s="1"/>
  <c r="F44" i="5" a="1"/>
  <c r="F44" i="5" s="1"/>
  <c r="AJ70" i="5"/>
  <c r="J99" i="26"/>
  <c r="L99" i="26"/>
  <c r="L158" i="26" s="1"/>
  <c r="M99" i="26"/>
  <c r="M158" i="26" s="1"/>
  <c r="M159" i="26" s="1"/>
  <c r="L124" i="26"/>
  <c r="J134" i="26"/>
  <c r="J142" i="26"/>
  <c r="N142" i="26"/>
  <c r="L151" i="26"/>
  <c r="L156" i="26"/>
  <c r="N156" i="26"/>
  <c r="N165" i="26"/>
  <c r="J173" i="26"/>
  <c r="J179" i="26"/>
  <c r="M179" i="26"/>
  <c r="M183" i="26"/>
  <c r="J209" i="26"/>
  <c r="N209" i="26"/>
  <c r="M210" i="26"/>
  <c r="M216" i="26"/>
  <c r="N22" i="26"/>
  <c r="N26" i="26"/>
  <c r="M27" i="26"/>
  <c r="N33" i="26"/>
  <c r="N89" i="26"/>
  <c r="J89" i="26"/>
  <c r="K89" i="26" s="1"/>
  <c r="L88" i="26"/>
  <c r="J88" i="26"/>
  <c r="K88" i="26" s="1"/>
  <c r="M85" i="26"/>
  <c r="L85" i="26"/>
  <c r="N79" i="26"/>
  <c r="M79" i="26"/>
  <c r="J79" i="26"/>
  <c r="K79" i="26" s="1"/>
  <c r="L78" i="26"/>
  <c r="N77" i="26"/>
  <c r="J77" i="26"/>
  <c r="N76" i="26"/>
  <c r="M76" i="26"/>
  <c r="L76" i="26"/>
  <c r="J76" i="26"/>
  <c r="K76" i="26" s="1"/>
  <c r="N75" i="26"/>
  <c r="M75" i="26"/>
  <c r="L75" i="26"/>
  <c r="J75" i="26"/>
  <c r="M64" i="26"/>
  <c r="L64" i="26"/>
  <c r="M55" i="26"/>
  <c r="J55" i="26"/>
  <c r="N42" i="26"/>
  <c r="M42" i="26"/>
  <c r="N34" i="26"/>
  <c r="M34" i="26"/>
  <c r="L34" i="26"/>
  <c r="M33" i="26"/>
  <c r="J33" i="26"/>
  <c r="K33" i="26" s="1"/>
  <c r="M32" i="26"/>
  <c r="L32" i="26"/>
  <c r="M31" i="26"/>
  <c r="J31" i="26"/>
  <c r="N27" i="26"/>
  <c r="L27" i="26"/>
  <c r="M26" i="26"/>
  <c r="J26" i="26"/>
  <c r="N23" i="26"/>
  <c r="M23" i="26"/>
  <c r="L23" i="26"/>
  <c r="M22" i="26"/>
  <c r="M57" i="26" s="1"/>
  <c r="L22" i="26"/>
  <c r="J22" i="26"/>
  <c r="N103" i="26"/>
  <c r="N112" i="26"/>
  <c r="N124" i="26"/>
  <c r="M151" i="26"/>
  <c r="M156" i="26"/>
  <c r="J165" i="26"/>
  <c r="L173" i="26"/>
  <c r="N173" i="26"/>
  <c r="L179" i="26"/>
  <c r="N179" i="26"/>
  <c r="L183" i="26"/>
  <c r="J186" i="26"/>
  <c r="M186" i="26"/>
  <c r="J197" i="26"/>
  <c r="M197" i="26"/>
  <c r="J202" i="26"/>
  <c r="M202" i="26"/>
  <c r="J205" i="26"/>
  <c r="L208" i="26"/>
  <c r="N208" i="26"/>
  <c r="L209" i="26"/>
  <c r="L210" i="26"/>
  <c r="N210" i="26"/>
  <c r="L216" i="26"/>
  <c r="J27" i="26"/>
  <c r="L31" i="26"/>
  <c r="J32" i="26"/>
  <c r="J34" i="26"/>
  <c r="L55" i="26"/>
  <c r="N55" i="26"/>
  <c r="L77" i="26"/>
  <c r="J78" i="26"/>
  <c r="L79" i="26"/>
  <c r="L89" i="26"/>
  <c r="J39" i="25"/>
  <c r="L21" i="9"/>
  <c r="J103" i="26"/>
  <c r="J112" i="26"/>
  <c r="L112" i="26"/>
  <c r="J124" i="26"/>
  <c r="M134" i="26"/>
  <c r="L142" i="26"/>
  <c r="J151" i="26"/>
  <c r="N151" i="26"/>
  <c r="L103" i="26"/>
  <c r="M124" i="26"/>
  <c r="N134" i="26"/>
  <c r="M142" i="26"/>
  <c r="N183" i="26"/>
  <c r="N186" i="26"/>
  <c r="N191" i="26"/>
  <c r="J230" i="26"/>
  <c r="N64" i="26"/>
  <c r="N78" i="26"/>
  <c r="M88" i="26"/>
  <c r="M89" i="26"/>
  <c r="H39" i="25"/>
  <c r="I39" i="25"/>
  <c r="M112" i="26"/>
  <c r="L134" i="26"/>
  <c r="J156" i="26"/>
  <c r="L165" i="26"/>
  <c r="M165" i="26"/>
  <c r="J191" i="26"/>
  <c r="M191" i="26"/>
  <c r="N197" i="26"/>
  <c r="N202" i="26"/>
  <c r="L205" i="26"/>
  <c r="J208" i="26"/>
  <c r="M208" i="26"/>
  <c r="M209" i="26"/>
  <c r="J216" i="26"/>
  <c r="N216" i="26"/>
  <c r="L230" i="26"/>
  <c r="M230" i="26"/>
  <c r="J23" i="26"/>
  <c r="L42" i="26"/>
  <c r="J64" i="26"/>
  <c r="M78" i="26"/>
  <c r="N85" i="26"/>
  <c r="N88" i="26"/>
  <c r="K39" i="27"/>
  <c r="J39" i="27" s="1"/>
  <c r="I39" i="27" s="1"/>
  <c r="H39" i="27" s="1"/>
  <c r="G39" i="27" s="1"/>
  <c r="J21" i="9"/>
  <c r="F21" i="10"/>
  <c r="F5" i="1"/>
  <c r="N99" i="26"/>
  <c r="M103" i="26"/>
  <c r="M173" i="26"/>
  <c r="J183" i="26"/>
  <c r="L186" i="26"/>
  <c r="L191" i="26"/>
  <c r="L197" i="26"/>
  <c r="L202" i="26"/>
  <c r="M205" i="26"/>
  <c r="N205" i="26"/>
  <c r="J210" i="26"/>
  <c r="N230" i="26"/>
  <c r="L26" i="26"/>
  <c r="N31" i="26"/>
  <c r="N32" i="26"/>
  <c r="L33" i="26"/>
  <c r="J42" i="26"/>
  <c r="M77" i="26"/>
  <c r="J85" i="26"/>
  <c r="F31" i="5" l="1"/>
  <c r="F33" i="5"/>
  <c r="F35" i="5" s="1"/>
  <c r="G38" i="5" a="1"/>
  <c r="G38" i="5" s="1"/>
  <c r="G40" i="5" s="1"/>
  <c r="J22" i="9"/>
  <c r="R22" i="9"/>
  <c r="B35" i="4"/>
  <c r="B47" i="4" s="1"/>
  <c r="B59" i="4" s="1"/>
  <c r="B24" i="4"/>
  <c r="AI6" i="27"/>
  <c r="AH1" i="27"/>
  <c r="L77" i="7"/>
  <c r="M77" i="7"/>
  <c r="M51" i="7"/>
  <c r="K51" i="7"/>
  <c r="K51" i="8" s="1"/>
  <c r="L51" i="7"/>
  <c r="L51" i="8" s="1"/>
  <c r="M37" i="8"/>
  <c r="I37" i="8" s="1"/>
  <c r="I68" i="8" s="1"/>
  <c r="I37" i="7"/>
  <c r="L50" i="7"/>
  <c r="L50" i="8" s="1"/>
  <c r="M50" i="7"/>
  <c r="M36" i="8"/>
  <c r="I36" i="8" s="1"/>
  <c r="I36" i="7"/>
  <c r="M35" i="8"/>
  <c r="I35" i="8" s="1"/>
  <c r="I66" i="8" s="1"/>
  <c r="I35" i="7"/>
  <c r="L49" i="7"/>
  <c r="L49" i="8" s="1"/>
  <c r="K49" i="7"/>
  <c r="K49" i="8" s="1"/>
  <c r="M49" i="7"/>
  <c r="K48" i="7"/>
  <c r="K48" i="8" s="1"/>
  <c r="M48" i="7"/>
  <c r="L48" i="7"/>
  <c r="L48" i="8" s="1"/>
  <c r="M34" i="8"/>
  <c r="I34" i="8" s="1"/>
  <c r="I65" i="8" s="1"/>
  <c r="I34" i="7"/>
  <c r="L47" i="7"/>
  <c r="L47" i="8" s="1"/>
  <c r="K47" i="7"/>
  <c r="K47" i="8" s="1"/>
  <c r="M47" i="7"/>
  <c r="M33" i="8"/>
  <c r="I33" i="8" s="1"/>
  <c r="I64" i="8" s="1"/>
  <c r="I33" i="7"/>
  <c r="W2" i="21"/>
  <c r="V4" i="21"/>
  <c r="V5" i="21"/>
  <c r="V6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35" i="21"/>
  <c r="V47" i="21"/>
  <c r="V56" i="21"/>
  <c r="V28" i="21"/>
  <c r="V29" i="21"/>
  <c r="V30" i="21"/>
  <c r="V31" i="21"/>
  <c r="V32" i="21"/>
  <c r="V33" i="21"/>
  <c r="V34" i="21"/>
  <c r="V36" i="21"/>
  <c r="V37" i="21"/>
  <c r="V38" i="21"/>
  <c r="V40" i="21"/>
  <c r="V42" i="21"/>
  <c r="V43" i="21"/>
  <c r="V44" i="21"/>
  <c r="V46" i="21"/>
  <c r="V48" i="21"/>
  <c r="V49" i="21"/>
  <c r="V52" i="21"/>
  <c r="V53" i="21"/>
  <c r="V54" i="21"/>
  <c r="V57" i="21"/>
  <c r="V58" i="21"/>
  <c r="V39" i="21"/>
  <c r="V41" i="21"/>
  <c r="V45" i="21"/>
  <c r="V50" i="21"/>
  <c r="V51" i="21"/>
  <c r="V55" i="21"/>
  <c r="U59" i="21"/>
  <c r="AC83" i="5"/>
  <c r="AB99" i="5"/>
  <c r="AB65" i="5"/>
  <c r="AB80" i="5"/>
  <c r="AB104" i="5"/>
  <c r="C21" i="17"/>
  <c r="D21" i="17"/>
  <c r="E21" i="17"/>
  <c r="A22" i="17"/>
  <c r="D94" i="14"/>
  <c r="E94" i="14"/>
  <c r="A95" i="14"/>
  <c r="AU70" i="5"/>
  <c r="AT70" i="5"/>
  <c r="CF70" i="5"/>
  <c r="AE24" i="9"/>
  <c r="AC24" i="9"/>
  <c r="AC35" i="9"/>
  <c r="F43" i="5" a="1"/>
  <c r="F43" i="5" s="1"/>
  <c r="N21" i="9"/>
  <c r="F22" i="9"/>
  <c r="M22" i="9"/>
  <c r="E23" i="9"/>
  <c r="H23" i="9"/>
  <c r="I23" i="9"/>
  <c r="J23" i="9" s="1"/>
  <c r="P23" i="9"/>
  <c r="Q23" i="9"/>
  <c r="R23" i="9" s="1"/>
  <c r="W23" i="9"/>
  <c r="Y23" i="9" a="1"/>
  <c r="Y23" i="9" s="1"/>
  <c r="D23" i="9"/>
  <c r="C24" i="9"/>
  <c r="AC24" i="10"/>
  <c r="AD24" i="10"/>
  <c r="Y23" i="10"/>
  <c r="AE23" i="10"/>
  <c r="W24" i="10"/>
  <c r="X24" i="10"/>
  <c r="S24" i="10"/>
  <c r="Q24" i="10"/>
  <c r="Q35" i="10"/>
  <c r="D23" i="10"/>
  <c r="E23" i="10"/>
  <c r="H23" i="10"/>
  <c r="K23" i="10"/>
  <c r="M23" i="10" a="1"/>
  <c r="M23" i="10" s="1"/>
  <c r="C24" i="10"/>
  <c r="I9" i="5"/>
  <c r="H29" i="5" a="1"/>
  <c r="H29" i="5" s="1"/>
  <c r="H31" i="5" s="1"/>
  <c r="H38" i="5" a="1"/>
  <c r="H38" i="5" s="1"/>
  <c r="H40" i="5" s="1"/>
  <c r="H44" i="5" a="1"/>
  <c r="H44" i="5" s="1"/>
  <c r="H1" i="5"/>
  <c r="H2" i="5"/>
  <c r="G27" i="5"/>
  <c r="G33" i="5"/>
  <c r="G35" i="5" s="1"/>
  <c r="AM3" i="5"/>
  <c r="AX3" i="5"/>
  <c r="AL70" i="5"/>
  <c r="AL71" i="5"/>
  <c r="BI3" i="5"/>
  <c r="AW71" i="5"/>
  <c r="AW70" i="5"/>
  <c r="BU3" i="5"/>
  <c r="BH70" i="5"/>
  <c r="BH71" i="5"/>
  <c r="BU71" i="5" s="1"/>
  <c r="I61" i="6"/>
  <c r="D19" i="4"/>
  <c r="A18" i="4"/>
  <c r="K11" i="30"/>
  <c r="J16" i="30"/>
  <c r="J37" i="30"/>
  <c r="R66" i="6" a="1"/>
  <c r="R66" i="6" s="1"/>
  <c r="R81" i="6" s="1"/>
  <c r="R66" i="7" a="1"/>
  <c r="R66" i="7" s="1"/>
  <c r="R81" i="7" s="1"/>
  <c r="R66" i="8" a="1"/>
  <c r="R66" i="8" s="1"/>
  <c r="R81" i="8" s="1"/>
  <c r="R68" i="6" a="1"/>
  <c r="R68" i="6" s="1"/>
  <c r="R83" i="6" s="1"/>
  <c r="R68" i="8" a="1"/>
  <c r="R68" i="8" s="1"/>
  <c r="R83" i="8" s="1"/>
  <c r="R68" i="7" a="1"/>
  <c r="R68" i="7" s="1"/>
  <c r="R83" i="7" s="1"/>
  <c r="P67" i="7" a="1"/>
  <c r="P67" i="7" s="1"/>
  <c r="P82" i="7" s="1"/>
  <c r="L82" i="7" s="1"/>
  <c r="P67" i="8" a="1"/>
  <c r="P67" i="8" s="1"/>
  <c r="P82" i="8" s="1"/>
  <c r="P67" i="6" a="1"/>
  <c r="P67" i="6" s="1"/>
  <c r="P82" i="6" s="1"/>
  <c r="Q67" i="7" a="1"/>
  <c r="Q67" i="7" s="1"/>
  <c r="Q82" i="7" s="1"/>
  <c r="M82" i="7" s="1"/>
  <c r="Q67" i="6" a="1"/>
  <c r="Q67" i="6" s="1"/>
  <c r="Q82" i="6" s="1"/>
  <c r="Q67" i="8" a="1"/>
  <c r="Q67" i="8" s="1"/>
  <c r="Q82" i="8" s="1"/>
  <c r="Q66" i="6" a="1"/>
  <c r="Q66" i="6" s="1"/>
  <c r="Q81" i="6" s="1"/>
  <c r="Q66" i="8" a="1"/>
  <c r="Q66" i="8" s="1"/>
  <c r="Q81" i="8" s="1"/>
  <c r="Q66" i="7" a="1"/>
  <c r="Q66" i="7" s="1"/>
  <c r="Q81" i="7" s="1"/>
  <c r="Q68" i="6" a="1"/>
  <c r="Q68" i="6" s="1"/>
  <c r="Q83" i="6" s="1"/>
  <c r="Q68" i="7" a="1"/>
  <c r="Q68" i="7" s="1"/>
  <c r="Q83" i="7" s="1"/>
  <c r="Q68" i="8" a="1"/>
  <c r="Q68" i="8" s="1"/>
  <c r="Q83" i="8" s="1"/>
  <c r="G36" i="25"/>
  <c r="G38" i="25"/>
  <c r="P65" i="7" a="1"/>
  <c r="P65" i="7" s="1"/>
  <c r="P80" i="7" s="1"/>
  <c r="P65" i="8" a="1"/>
  <c r="P65" i="8" s="1"/>
  <c r="P80" i="8" s="1"/>
  <c r="P65" i="6" a="1"/>
  <c r="P65" i="6" s="1"/>
  <c r="P80" i="6" s="1"/>
  <c r="Q65" i="6" a="1"/>
  <c r="Q65" i="6" s="1"/>
  <c r="Q80" i="6" s="1"/>
  <c r="Q65" i="8" a="1"/>
  <c r="Q65" i="8" s="1"/>
  <c r="Q80" i="8" s="1"/>
  <c r="Q65" i="7" a="1"/>
  <c r="Q65" i="7" s="1"/>
  <c r="Q80" i="7" s="1"/>
  <c r="P64" i="7" a="1"/>
  <c r="P64" i="7" s="1"/>
  <c r="P79" i="7" s="1"/>
  <c r="P64" i="8" a="1"/>
  <c r="P64" i="8" s="1"/>
  <c r="P79" i="8" s="1"/>
  <c r="P64" i="6" a="1"/>
  <c r="P64" i="6" s="1"/>
  <c r="P79" i="6" s="1"/>
  <c r="Q64" i="6" a="1"/>
  <c r="Q64" i="6" s="1"/>
  <c r="Q79" i="6" s="1"/>
  <c r="Q64" i="8" a="1"/>
  <c r="Q64" i="8" s="1"/>
  <c r="Q79" i="8" s="1"/>
  <c r="Q64" i="7" a="1"/>
  <c r="Q64" i="7" s="1"/>
  <c r="Q79" i="7" s="1"/>
  <c r="Q69" i="8" a="1"/>
  <c r="Q69" i="8" s="1"/>
  <c r="Q84" i="8" s="1"/>
  <c r="Q69" i="6" a="1"/>
  <c r="Q69" i="6" s="1"/>
  <c r="Q84" i="6" s="1"/>
  <c r="Q69" i="7" a="1"/>
  <c r="Q69" i="7" s="1"/>
  <c r="Q84" i="7" s="1"/>
  <c r="P69" i="6" a="1"/>
  <c r="P69" i="6" s="1"/>
  <c r="P84" i="6" s="1"/>
  <c r="P69" i="8" a="1"/>
  <c r="P69" i="8" s="1"/>
  <c r="P84" i="8" s="1"/>
  <c r="P69" i="7" a="1"/>
  <c r="P69" i="7" s="1"/>
  <c r="P84" i="7" s="1"/>
  <c r="P61" i="7" a="1"/>
  <c r="P61" i="7" s="1"/>
  <c r="P76" i="7" s="1"/>
  <c r="P61" i="8" a="1"/>
  <c r="P61" i="8" s="1"/>
  <c r="P76" i="8" s="1"/>
  <c r="P61" i="6" a="1"/>
  <c r="P61" i="6" s="1"/>
  <c r="P76" i="6" s="1"/>
  <c r="Q61" i="6" a="1"/>
  <c r="Q61" i="6" s="1"/>
  <c r="Q76" i="6" s="1"/>
  <c r="Q61" i="8" a="1"/>
  <c r="Q61" i="8" s="1"/>
  <c r="Q76" i="8" s="1"/>
  <c r="Q61" i="7" a="1"/>
  <c r="Q61" i="7" s="1"/>
  <c r="Q76" i="7" s="1"/>
  <c r="P60" i="8" a="1"/>
  <c r="P60" i="8" s="1"/>
  <c r="P75" i="8" s="1"/>
  <c r="P60" i="7" a="1"/>
  <c r="P60" i="7" s="1"/>
  <c r="P75" i="7" s="1"/>
  <c r="P60" i="6" a="1"/>
  <c r="P60" i="6" s="1"/>
  <c r="P75" i="6" s="1"/>
  <c r="Q60" i="6" a="1"/>
  <c r="Q60" i="6" s="1"/>
  <c r="Q75" i="6" s="1"/>
  <c r="Q60" i="8" a="1"/>
  <c r="Q60" i="8" s="1"/>
  <c r="Q75" i="8" s="1"/>
  <c r="Q60" i="7" a="1"/>
  <c r="Q60" i="7" s="1"/>
  <c r="Q75" i="7" s="1"/>
  <c r="P85" i="7" a="1"/>
  <c r="P85" i="7" s="1"/>
  <c r="P85" i="8" a="1"/>
  <c r="P85" i="8" s="1"/>
  <c r="P85" i="6" a="1"/>
  <c r="P85" i="6" s="1"/>
  <c r="Q85" i="6" a="1"/>
  <c r="Q85" i="6" s="1"/>
  <c r="Q85" i="7" a="1"/>
  <c r="Q85" i="7" s="1"/>
  <c r="Q85" i="8" a="1"/>
  <c r="Q85" i="8" s="1"/>
  <c r="P62" i="8" a="1"/>
  <c r="P62" i="8" s="1"/>
  <c r="P77" i="8" s="1"/>
  <c r="P62" i="7" a="1"/>
  <c r="P62" i="7" s="1"/>
  <c r="P77" i="7" s="1"/>
  <c r="P62" i="6" a="1"/>
  <c r="P62" i="6" s="1"/>
  <c r="P77" i="6" s="1"/>
  <c r="Q62" i="7" a="1"/>
  <c r="Q62" i="7" s="1"/>
  <c r="Q77" i="7" s="1"/>
  <c r="Q62" i="6" a="1"/>
  <c r="Q62" i="6" s="1"/>
  <c r="Q77" i="6" s="1"/>
  <c r="Q62" i="8" a="1"/>
  <c r="Q62" i="8" s="1"/>
  <c r="Q77" i="8" s="1"/>
  <c r="AU71" i="5"/>
  <c r="AT71" i="5"/>
  <c r="CF71" i="5"/>
  <c r="J158" i="26"/>
  <c r="J159" i="26" s="1"/>
  <c r="K99" i="26"/>
  <c r="K134" i="26"/>
  <c r="CO73" i="5"/>
  <c r="K142" i="26"/>
  <c r="CO84" i="5"/>
  <c r="K173" i="26"/>
  <c r="CO85" i="5"/>
  <c r="K179" i="26"/>
  <c r="K209" i="26"/>
  <c r="K77" i="26"/>
  <c r="K75" i="26"/>
  <c r="CO59" i="5"/>
  <c r="K55" i="26"/>
  <c r="K31" i="26"/>
  <c r="K26" i="26"/>
  <c r="K22" i="26"/>
  <c r="J57" i="26"/>
  <c r="J232" i="26"/>
  <c r="J233" i="26" s="1"/>
  <c r="K165" i="26"/>
  <c r="K186" i="26"/>
  <c r="K197" i="26"/>
  <c r="K202" i="26"/>
  <c r="K205" i="26"/>
  <c r="K27" i="26"/>
  <c r="K32" i="26"/>
  <c r="K34" i="26"/>
  <c r="K78" i="26"/>
  <c r="K103" i="26"/>
  <c r="K112" i="26"/>
  <c r="K124" i="26"/>
  <c r="K151" i="26"/>
  <c r="K230" i="26"/>
  <c r="K156" i="26"/>
  <c r="K191" i="26"/>
  <c r="K208" i="26"/>
  <c r="K216" i="26"/>
  <c r="K23" i="26"/>
  <c r="J90" i="26"/>
  <c r="K64" i="26"/>
  <c r="K183" i="26"/>
  <c r="K210" i="26"/>
  <c r="K42" i="26"/>
  <c r="CO63" i="5"/>
  <c r="K85" i="26"/>
  <c r="AC97" i="5"/>
  <c r="AC62" i="5"/>
  <c r="AC80" i="5"/>
  <c r="L22" i="9"/>
  <c r="F22" i="10"/>
  <c r="AV71" i="5"/>
  <c r="N232" i="26"/>
  <c r="N57" i="26"/>
  <c r="M90" i="26"/>
  <c r="M92" i="26" s="1"/>
  <c r="L90" i="26"/>
  <c r="L57" i="26"/>
  <c r="N90" i="26"/>
  <c r="L232" i="26"/>
  <c r="L233" i="26" s="1"/>
  <c r="M232" i="26"/>
  <c r="M233" i="26" s="1"/>
  <c r="N158" i="26"/>
  <c r="N159" i="26" s="1"/>
  <c r="AC88" i="5"/>
  <c r="AC90" i="5"/>
  <c r="AC95" i="5"/>
  <c r="AC84" i="5"/>
  <c r="AC85" i="5"/>
  <c r="L23" i="9" l="1"/>
  <c r="H25" i="5" a="1"/>
  <c r="H25" i="5" s="1"/>
  <c r="B36" i="4"/>
  <c r="B48" i="4" s="1"/>
  <c r="B60" i="4" s="1"/>
  <c r="B25" i="4"/>
  <c r="AJ6" i="27"/>
  <c r="AI1" i="27"/>
  <c r="L77" i="8"/>
  <c r="L62" i="7"/>
  <c r="L62" i="8" s="1"/>
  <c r="I77" i="7"/>
  <c r="M62" i="7"/>
  <c r="M77" i="8"/>
  <c r="I77" i="8" s="1"/>
  <c r="I51" i="7"/>
  <c r="M51" i="8"/>
  <c r="I51" i="8" s="1"/>
  <c r="I83" i="8" s="1"/>
  <c r="I68" i="7"/>
  <c r="I68" i="6" s="1"/>
  <c r="I37" i="6"/>
  <c r="M37" i="6" s="1"/>
  <c r="I50" i="7"/>
  <c r="M50" i="8"/>
  <c r="I50" i="8" s="1"/>
  <c r="I36" i="6"/>
  <c r="M36" i="6" s="1"/>
  <c r="I66" i="7"/>
  <c r="I66" i="6" s="1"/>
  <c r="I35" i="6"/>
  <c r="M35" i="6" s="1"/>
  <c r="I49" i="7"/>
  <c r="M49" i="8"/>
  <c r="I49" i="8" s="1"/>
  <c r="I81" i="8" s="1"/>
  <c r="I48" i="7"/>
  <c r="M48" i="8"/>
  <c r="I48" i="8" s="1"/>
  <c r="I80" i="8" s="1"/>
  <c r="I65" i="7"/>
  <c r="I65" i="6" s="1"/>
  <c r="I34" i="6"/>
  <c r="M34" i="6" s="1"/>
  <c r="I47" i="7"/>
  <c r="M47" i="8"/>
  <c r="I47" i="8" s="1"/>
  <c r="I79" i="8" s="1"/>
  <c r="I64" i="7"/>
  <c r="I64" i="6" s="1"/>
  <c r="I33" i="6"/>
  <c r="M33" i="6" s="1"/>
  <c r="X2" i="21"/>
  <c r="W4" i="21"/>
  <c r="W5" i="21"/>
  <c r="W6" i="21"/>
  <c r="W10" i="21"/>
  <c r="W11" i="21"/>
  <c r="AE61" i="5" s="1"/>
  <c r="W12" i="21"/>
  <c r="W13" i="21"/>
  <c r="W14" i="21"/>
  <c r="AE90" i="5" s="1"/>
  <c r="W15" i="21"/>
  <c r="G15" i="21" s="1"/>
  <c r="W16" i="21"/>
  <c r="W17" i="21"/>
  <c r="AE87" i="5" s="1"/>
  <c r="W18" i="21"/>
  <c r="G18" i="21" s="1"/>
  <c r="W19" i="21"/>
  <c r="AE72" i="5" s="1"/>
  <c r="W20" i="21"/>
  <c r="AE95" i="5" s="1"/>
  <c r="W21" i="21"/>
  <c r="G21" i="21" s="1"/>
  <c r="W22" i="21"/>
  <c r="G22" i="21" s="1"/>
  <c r="W23" i="21"/>
  <c r="G23" i="21" s="1"/>
  <c r="W24" i="21"/>
  <c r="AE84" i="5" s="1"/>
  <c r="W25" i="21"/>
  <c r="G25" i="21" s="1"/>
  <c r="W26" i="21"/>
  <c r="G26" i="21" s="1"/>
  <c r="W27" i="21"/>
  <c r="AE94" i="5" s="1"/>
  <c r="W35" i="21"/>
  <c r="G35" i="21" s="1"/>
  <c r="W37" i="21"/>
  <c r="W39" i="21"/>
  <c r="G39" i="21" s="1"/>
  <c r="W40" i="21"/>
  <c r="G40" i="21" s="1"/>
  <c r="W43" i="21"/>
  <c r="G43" i="21" s="1"/>
  <c r="W50" i="21"/>
  <c r="G50" i="21" s="1"/>
  <c r="W53" i="21"/>
  <c r="W56" i="21"/>
  <c r="G56" i="21" s="1"/>
  <c r="W58" i="21"/>
  <c r="G58" i="21" s="1"/>
  <c r="W28" i="21"/>
  <c r="G28" i="21" s="1"/>
  <c r="W29" i="21"/>
  <c r="G29" i="21" s="1"/>
  <c r="W30" i="21"/>
  <c r="G30" i="21" s="1"/>
  <c r="W31" i="21"/>
  <c r="G31" i="21" s="1"/>
  <c r="W32" i="21"/>
  <c r="G32" i="21" s="1"/>
  <c r="W33" i="21"/>
  <c r="AE91" i="5" s="1"/>
  <c r="W34" i="21"/>
  <c r="W36" i="21"/>
  <c r="AE78" i="5" s="1"/>
  <c r="W45" i="21"/>
  <c r="G45" i="21" s="1"/>
  <c r="W47" i="21"/>
  <c r="G47" i="21" s="1"/>
  <c r="W48" i="21"/>
  <c r="G48" i="21" s="1"/>
  <c r="W55" i="21"/>
  <c r="G55" i="21" s="1"/>
  <c r="W38" i="21"/>
  <c r="G38" i="21" s="1"/>
  <c r="W41" i="21"/>
  <c r="AE92" i="5" s="1"/>
  <c r="W42" i="21"/>
  <c r="G42" i="21" s="1"/>
  <c r="W44" i="21"/>
  <c r="G44" i="21" s="1"/>
  <c r="W46" i="21"/>
  <c r="AE93" i="5" s="1"/>
  <c r="AE104" i="5" s="1"/>
  <c r="W49" i="21"/>
  <c r="G49" i="21" s="1"/>
  <c r="W51" i="21"/>
  <c r="G51" i="21" s="1"/>
  <c r="W52" i="21"/>
  <c r="G52" i="21" s="1"/>
  <c r="W54" i="21"/>
  <c r="G54" i="21" s="1"/>
  <c r="W57" i="21"/>
  <c r="G57" i="21" s="1"/>
  <c r="G10" i="21"/>
  <c r="V59" i="21"/>
  <c r="AD83" i="5"/>
  <c r="G11" i="21"/>
  <c r="AD61" i="5"/>
  <c r="G12" i="21"/>
  <c r="AD88" i="5"/>
  <c r="AD97" i="5"/>
  <c r="AD90" i="5"/>
  <c r="AD62" i="5"/>
  <c r="AD87" i="5"/>
  <c r="AD72" i="5"/>
  <c r="AD95" i="5"/>
  <c r="AD84" i="5"/>
  <c r="AD94" i="5"/>
  <c r="G33" i="21"/>
  <c r="AD91" i="5"/>
  <c r="CC91" i="5" s="1"/>
  <c r="G34" i="21"/>
  <c r="AD86" i="5"/>
  <c r="G36" i="21"/>
  <c r="AD78" i="5"/>
  <c r="CC78" i="5" s="1"/>
  <c r="G37" i="21"/>
  <c r="AD77" i="5"/>
  <c r="G46" i="21"/>
  <c r="AD93" i="5"/>
  <c r="G53" i="21"/>
  <c r="AD85" i="5"/>
  <c r="G41" i="21"/>
  <c r="AD92" i="5"/>
  <c r="CC92" i="5" s="1"/>
  <c r="C22" i="17"/>
  <c r="D22" i="17"/>
  <c r="E22" i="17"/>
  <c r="A23" i="17"/>
  <c r="D95" i="14"/>
  <c r="E95" i="14"/>
  <c r="A96" i="14"/>
  <c r="BG70" i="5"/>
  <c r="BF70" i="5"/>
  <c r="AE25" i="9"/>
  <c r="AC25" i="9"/>
  <c r="AC36" i="9"/>
  <c r="G43" i="5" a="1"/>
  <c r="G43" i="5" s="1"/>
  <c r="N22" i="9"/>
  <c r="M23" i="9"/>
  <c r="F23" i="9"/>
  <c r="D24" i="9"/>
  <c r="E24" i="9"/>
  <c r="H24" i="9"/>
  <c r="I24" i="9"/>
  <c r="J24" i="9" s="1"/>
  <c r="P24" i="9"/>
  <c r="Q24" i="9"/>
  <c r="W24" i="9"/>
  <c r="Y24" i="9" a="1"/>
  <c r="Y24" i="9" s="1"/>
  <c r="C25" i="9"/>
  <c r="AC25" i="10"/>
  <c r="AD25" i="10"/>
  <c r="Y24" i="10"/>
  <c r="AE24" i="10"/>
  <c r="W25" i="10"/>
  <c r="X25" i="10"/>
  <c r="S25" i="10"/>
  <c r="Q25" i="10"/>
  <c r="Q36" i="10"/>
  <c r="D24" i="10"/>
  <c r="E24" i="10"/>
  <c r="H24" i="10"/>
  <c r="K24" i="10"/>
  <c r="M24" i="10" a="1"/>
  <c r="M24" i="10" s="1"/>
  <c r="C25" i="10"/>
  <c r="J9" i="5"/>
  <c r="I25" i="5" a="1"/>
  <c r="I25" i="5" s="1"/>
  <c r="I29" i="5" a="1"/>
  <c r="I29" i="5" s="1"/>
  <c r="I31" i="5" s="1"/>
  <c r="I44" i="5" a="1"/>
  <c r="I44" i="5" s="1"/>
  <c r="I1" i="5"/>
  <c r="I2" i="5"/>
  <c r="H27" i="5"/>
  <c r="H33" i="5"/>
  <c r="H35" i="5" s="1"/>
  <c r="AN3" i="5"/>
  <c r="AY3" i="5"/>
  <c r="AM70" i="5"/>
  <c r="AM71" i="5"/>
  <c r="BJ3" i="5"/>
  <c r="AX70" i="5"/>
  <c r="AX71" i="5"/>
  <c r="BV3" i="5"/>
  <c r="BI70" i="5"/>
  <c r="BI71" i="5"/>
  <c r="BV71" i="5" s="1"/>
  <c r="BU70" i="5"/>
  <c r="M61" i="6"/>
  <c r="CF46" i="5"/>
  <c r="D20" i="4"/>
  <c r="A19" i="4"/>
  <c r="L11" i="30"/>
  <c r="K16" i="30"/>
  <c r="K37" i="30"/>
  <c r="L67" i="7"/>
  <c r="L67" i="8" s="1"/>
  <c r="L82" i="8"/>
  <c r="M67" i="7"/>
  <c r="M67" i="8" s="1"/>
  <c r="I67" i="8" s="1"/>
  <c r="M82" i="8"/>
  <c r="P66" i="7" a="1"/>
  <c r="P66" i="7" s="1"/>
  <c r="P81" i="7" s="1"/>
  <c r="P66" i="8" a="1"/>
  <c r="P66" i="8" s="1"/>
  <c r="P81" i="8" s="1"/>
  <c r="P66" i="6" a="1"/>
  <c r="P66" i="6" s="1"/>
  <c r="P81" i="6" s="1"/>
  <c r="P68" i="8" a="1"/>
  <c r="P68" i="8" s="1"/>
  <c r="P83" i="8" s="1"/>
  <c r="P68" i="7" a="1"/>
  <c r="P68" i="7" s="1"/>
  <c r="P83" i="7" s="1"/>
  <c r="P68" i="6" a="1"/>
  <c r="P68" i="6" s="1"/>
  <c r="P83" i="6" s="1"/>
  <c r="BG71" i="5"/>
  <c r="BT71" i="5" s="1"/>
  <c r="BF71" i="5"/>
  <c r="BS71" i="5" s="1"/>
  <c r="CN99" i="5"/>
  <c r="CO58" i="5"/>
  <c r="CN65" i="5"/>
  <c r="CH63" i="5"/>
  <c r="CJ63" i="5"/>
  <c r="CI63" i="5"/>
  <c r="M235" i="26"/>
  <c r="M93" i="26"/>
  <c r="L159" i="26"/>
  <c r="L92" i="26"/>
  <c r="F23" i="10"/>
  <c r="AC99" i="5"/>
  <c r="AC65" i="5"/>
  <c r="CN80" i="5"/>
  <c r="K158" i="26"/>
  <c r="CO75" i="5"/>
  <c r="CO60" i="5"/>
  <c r="CO53" i="5"/>
  <c r="CN55" i="5"/>
  <c r="CO83" i="5" s="1"/>
  <c r="K90" i="26"/>
  <c r="K57" i="26"/>
  <c r="K92" i="26" s="1"/>
  <c r="J92" i="26"/>
  <c r="K232" i="26"/>
  <c r="K233" i="26" s="1"/>
  <c r="CO51" i="5"/>
  <c r="CO52" i="5"/>
  <c r="CO77" i="5"/>
  <c r="N92" i="26"/>
  <c r="N233" i="26"/>
  <c r="G94" i="14"/>
  <c r="CO99" i="5" l="1"/>
  <c r="CO65" i="5"/>
  <c r="R24" i="9"/>
  <c r="I38" i="5" a="1"/>
  <c r="I38" i="5" s="1"/>
  <c r="I40" i="5" s="1"/>
  <c r="B37" i="4"/>
  <c r="B49" i="4" s="1"/>
  <c r="B61" i="4" s="1"/>
  <c r="B26" i="4"/>
  <c r="AK6" i="27"/>
  <c r="AJ1" i="27"/>
  <c r="I62" i="7"/>
  <c r="M62" i="8"/>
  <c r="I62" i="8" s="1"/>
  <c r="I71" i="8" s="1"/>
  <c r="I51" i="6"/>
  <c r="M51" i="6" s="1"/>
  <c r="I83" i="7"/>
  <c r="I83" i="6" s="1"/>
  <c r="M83" i="6" s="1"/>
  <c r="I50" i="6"/>
  <c r="M50" i="6" s="1"/>
  <c r="I82" i="7"/>
  <c r="I49" i="6"/>
  <c r="M49" i="6" s="1"/>
  <c r="I81" i="7"/>
  <c r="I81" i="6" s="1"/>
  <c r="M81" i="6" s="1"/>
  <c r="I48" i="6"/>
  <c r="M48" i="6" s="1"/>
  <c r="I80" i="7"/>
  <c r="I80" i="6" s="1"/>
  <c r="M80" i="6" s="1"/>
  <c r="I47" i="6"/>
  <c r="M47" i="6" s="1"/>
  <c r="I79" i="7"/>
  <c r="I79" i="6" s="1"/>
  <c r="M79" i="6" s="1"/>
  <c r="M64" i="6"/>
  <c r="X4" i="21"/>
  <c r="X5" i="21"/>
  <c r="X6" i="21"/>
  <c r="X10" i="21"/>
  <c r="X11" i="21"/>
  <c r="AF61" i="5" s="1"/>
  <c r="X12" i="21"/>
  <c r="X13" i="21"/>
  <c r="X14" i="21"/>
  <c r="X15" i="21"/>
  <c r="X16" i="21"/>
  <c r="X17" i="21"/>
  <c r="X18" i="21"/>
  <c r="X19" i="21"/>
  <c r="AF72" i="5" s="1"/>
  <c r="X20" i="21"/>
  <c r="X21" i="21"/>
  <c r="X22" i="21"/>
  <c r="X23" i="21"/>
  <c r="X24" i="21"/>
  <c r="X25" i="21"/>
  <c r="X26" i="21"/>
  <c r="X27" i="21"/>
  <c r="AF94" i="5" s="1"/>
  <c r="X35" i="21"/>
  <c r="X37" i="21"/>
  <c r="X39" i="21"/>
  <c r="X47" i="21"/>
  <c r="X53" i="21"/>
  <c r="X56" i="21"/>
  <c r="X28" i="21"/>
  <c r="X29" i="21"/>
  <c r="X30" i="21"/>
  <c r="X31" i="21"/>
  <c r="X32" i="21"/>
  <c r="X33" i="21"/>
  <c r="AF91" i="5" s="1"/>
  <c r="X34" i="21"/>
  <c r="X36" i="21"/>
  <c r="AF78" i="5" s="1"/>
  <c r="X38" i="21"/>
  <c r="X40" i="21"/>
  <c r="X42" i="21"/>
  <c r="X43" i="21"/>
  <c r="X44" i="21"/>
  <c r="X45" i="21"/>
  <c r="X48" i="21"/>
  <c r="X50" i="21"/>
  <c r="X51" i="21"/>
  <c r="X52" i="21"/>
  <c r="X54" i="21"/>
  <c r="X55" i="21"/>
  <c r="X57" i="21"/>
  <c r="X41" i="21"/>
  <c r="AF92" i="5" s="1"/>
  <c r="X46" i="21"/>
  <c r="AF93" i="5" s="1"/>
  <c r="AF104" i="5" s="1"/>
  <c r="X49" i="21"/>
  <c r="X58" i="21"/>
  <c r="W59" i="21"/>
  <c r="AE83" i="5"/>
  <c r="CC83" i="5"/>
  <c r="AD99" i="5"/>
  <c r="CC61" i="5"/>
  <c r="AD65" i="5"/>
  <c r="CC72" i="5"/>
  <c r="AD80" i="5"/>
  <c r="CC93" i="5"/>
  <c r="AD104" i="5"/>
  <c r="C23" i="17"/>
  <c r="C28" i="17" s="1"/>
  <c r="D23" i="17"/>
  <c r="E23" i="17"/>
  <c r="D96" i="14"/>
  <c r="E96" i="14"/>
  <c r="A97" i="14"/>
  <c r="BT70" i="5"/>
  <c r="BS70" i="5"/>
  <c r="AE26" i="9"/>
  <c r="AC26" i="9"/>
  <c r="AC37" i="9"/>
  <c r="H43" i="5" a="1"/>
  <c r="H43" i="5" s="1"/>
  <c r="N23" i="9"/>
  <c r="F24" i="9"/>
  <c r="M24" i="9"/>
  <c r="E25" i="9"/>
  <c r="H25" i="9"/>
  <c r="I25" i="9"/>
  <c r="J25" i="9" s="1"/>
  <c r="P25" i="9"/>
  <c r="Q25" i="9"/>
  <c r="W25" i="9"/>
  <c r="Y25" i="9" a="1"/>
  <c r="Y25" i="9" s="1"/>
  <c r="D25" i="9"/>
  <c r="C26" i="9"/>
  <c r="AC26" i="10"/>
  <c r="AD26" i="10"/>
  <c r="Y25" i="10"/>
  <c r="AE25" i="10"/>
  <c r="W26" i="10"/>
  <c r="X26" i="10"/>
  <c r="S26" i="10"/>
  <c r="Q26" i="10"/>
  <c r="Q37" i="10"/>
  <c r="D25" i="10"/>
  <c r="E25" i="10"/>
  <c r="H25" i="10"/>
  <c r="K25" i="10"/>
  <c r="M25" i="10" a="1"/>
  <c r="M25" i="10" s="1"/>
  <c r="C26" i="10"/>
  <c r="K9" i="5"/>
  <c r="J29" i="5" a="1"/>
  <c r="J29" i="5" s="1"/>
  <c r="J31" i="5" s="1"/>
  <c r="J38" i="5" a="1"/>
  <c r="J38" i="5" s="1"/>
  <c r="J40" i="5" s="1"/>
  <c r="J1" i="5"/>
  <c r="J2" i="5"/>
  <c r="I27" i="5"/>
  <c r="I33" i="5"/>
  <c r="I35" i="5" s="1"/>
  <c r="AO3" i="5"/>
  <c r="AZ3" i="5"/>
  <c r="AN70" i="5"/>
  <c r="AN71" i="5"/>
  <c r="BK3" i="5"/>
  <c r="AY71" i="5"/>
  <c r="AY70" i="5"/>
  <c r="AY60" i="5"/>
  <c r="BW3" i="5"/>
  <c r="BJ70" i="5"/>
  <c r="BJ71" i="5"/>
  <c r="BW71" i="5" s="1"/>
  <c r="BV70" i="5"/>
  <c r="D21" i="4"/>
  <c r="A20" i="4"/>
  <c r="M11" i="30"/>
  <c r="CH83" i="5"/>
  <c r="CI83" i="5"/>
  <c r="CJ83" i="5"/>
  <c r="L235" i="26"/>
  <c r="L93" i="26"/>
  <c r="CI60" i="5"/>
  <c r="CH60" i="5"/>
  <c r="CJ60" i="5"/>
  <c r="CO93" i="5"/>
  <c r="CN67" i="5"/>
  <c r="CO76" i="5"/>
  <c r="CO96" i="5"/>
  <c r="CO61" i="5"/>
  <c r="CO94" i="5"/>
  <c r="CO86" i="5"/>
  <c r="CO92" i="5"/>
  <c r="CO88" i="5"/>
  <c r="CO74" i="5"/>
  <c r="CO62" i="5"/>
  <c r="CL62" i="5" s="1"/>
  <c r="CO91" i="5"/>
  <c r="CO90" i="5"/>
  <c r="CO89" i="5"/>
  <c r="CO87" i="5"/>
  <c r="CO95" i="5"/>
  <c r="CO78" i="5"/>
  <c r="CO97" i="5"/>
  <c r="CO72" i="5"/>
  <c r="K235" i="26"/>
  <c r="K93" i="26"/>
  <c r="J235" i="26"/>
  <c r="J93" i="26"/>
  <c r="CJ77" i="5"/>
  <c r="CI77" i="5"/>
  <c r="CH77" i="5"/>
  <c r="N235" i="26"/>
  <c r="N93" i="26"/>
  <c r="AE77" i="5"/>
  <c r="AE85" i="5"/>
  <c r="CC85" i="5" s="1"/>
  <c r="AE86" i="5"/>
  <c r="CC86" i="5" s="1"/>
  <c r="G13" i="21"/>
  <c r="G14" i="21"/>
  <c r="CC90" i="5"/>
  <c r="CL90" i="5" s="1"/>
  <c r="G16" i="21"/>
  <c r="G17" i="21"/>
  <c r="CC87" i="5"/>
  <c r="G19" i="21"/>
  <c r="G20" i="21"/>
  <c r="CC95" i="5"/>
  <c r="G24" i="21"/>
  <c r="CC84" i="5"/>
  <c r="G27" i="21"/>
  <c r="CC94" i="5"/>
  <c r="C27" i="17"/>
  <c r="G95" i="14"/>
  <c r="L24" i="9"/>
  <c r="F24" i="10"/>
  <c r="CO80" i="5"/>
  <c r="K159" i="26"/>
  <c r="I77" i="6"/>
  <c r="M77" i="6" s="1"/>
  <c r="M68" i="6"/>
  <c r="I82" i="8"/>
  <c r="I67" i="7"/>
  <c r="I67" i="6" s="1"/>
  <c r="M67" i="6" s="1"/>
  <c r="M66" i="6"/>
  <c r="M65" i="6"/>
  <c r="AE88" i="5"/>
  <c r="CC88" i="5" s="1"/>
  <c r="AE97" i="5"/>
  <c r="CC97" i="5" s="1"/>
  <c r="AE62" i="5"/>
  <c r="CC62" i="5" s="1"/>
  <c r="CL73" i="5" s="1"/>
  <c r="R25" i="9" l="1"/>
  <c r="J44" i="5" a="1"/>
  <c r="J44" i="5" s="1"/>
  <c r="L25" i="9"/>
  <c r="J25" i="5" a="1"/>
  <c r="J25" i="5" s="1"/>
  <c r="B38" i="4"/>
  <c r="B50" i="4" s="1"/>
  <c r="B27" i="4"/>
  <c r="AL6" i="27"/>
  <c r="AK1" i="27"/>
  <c r="I71" i="7"/>
  <c r="I62" i="6"/>
  <c r="I72" i="8"/>
  <c r="I17" i="8"/>
  <c r="X59" i="21"/>
  <c r="AF83" i="5"/>
  <c r="CC99" i="5"/>
  <c r="CC65" i="5"/>
  <c r="CC104" i="5"/>
  <c r="D97" i="14"/>
  <c r="E97" i="14"/>
  <c r="A98" i="14"/>
  <c r="AE27" i="9"/>
  <c r="AC27" i="9"/>
  <c r="AC38" i="9"/>
  <c r="I43" i="5" a="1"/>
  <c r="I43" i="5" s="1"/>
  <c r="N24" i="9"/>
  <c r="M25" i="9"/>
  <c r="F25" i="9"/>
  <c r="D26" i="9"/>
  <c r="K25" i="5" s="1" a="1"/>
  <c r="K25" i="5" s="1"/>
  <c r="E26" i="9"/>
  <c r="H26" i="9"/>
  <c r="I26" i="9"/>
  <c r="J26" i="9" s="1"/>
  <c r="P26" i="9"/>
  <c r="Q26" i="9"/>
  <c r="R26" i="9" s="1"/>
  <c r="W26" i="9"/>
  <c r="Y26" i="9" a="1"/>
  <c r="Y26" i="9" s="1"/>
  <c r="C27" i="9"/>
  <c r="AC27" i="10"/>
  <c r="AD27" i="10"/>
  <c r="Y26" i="10"/>
  <c r="AE26" i="10"/>
  <c r="W27" i="10"/>
  <c r="X27" i="10"/>
  <c r="S27" i="10"/>
  <c r="Q27" i="10"/>
  <c r="Q38" i="10"/>
  <c r="D26" i="10"/>
  <c r="E26" i="10"/>
  <c r="H26" i="10"/>
  <c r="K26" i="10"/>
  <c r="M26" i="10" a="1"/>
  <c r="M26" i="10" s="1"/>
  <c r="C27" i="10"/>
  <c r="L9" i="5"/>
  <c r="K1" i="5"/>
  <c r="K2" i="5"/>
  <c r="AP3" i="5"/>
  <c r="BA3" i="5"/>
  <c r="AO90" i="5"/>
  <c r="AO71" i="5"/>
  <c r="AO60" i="5"/>
  <c r="AO70" i="5"/>
  <c r="BL3" i="5"/>
  <c r="AZ60" i="5"/>
  <c r="AZ70" i="5"/>
  <c r="AZ71" i="5"/>
  <c r="AZ90" i="5"/>
  <c r="BX3" i="5"/>
  <c r="BK70" i="5"/>
  <c r="BK90" i="5"/>
  <c r="BX90" i="5" s="1"/>
  <c r="BK71" i="5"/>
  <c r="BX71" i="5" s="1"/>
  <c r="BW70" i="5"/>
  <c r="D22" i="4"/>
  <c r="A21" i="4"/>
  <c r="N11" i="30"/>
  <c r="M16" i="30"/>
  <c r="M37" i="30"/>
  <c r="AX60" i="5"/>
  <c r="AW60" i="5"/>
  <c r="AV60" i="5"/>
  <c r="AU60" i="5"/>
  <c r="AT60" i="5"/>
  <c r="AM60" i="5"/>
  <c r="AL60" i="5"/>
  <c r="AK60" i="5"/>
  <c r="AJ60" i="5"/>
  <c r="AI60" i="5"/>
  <c r="AH60" i="5"/>
  <c r="CN101" i="5"/>
  <c r="CO67" i="5"/>
  <c r="CJ76" i="5"/>
  <c r="CI76" i="5"/>
  <c r="CH76" i="5"/>
  <c r="CJ94" i="5"/>
  <c r="CI94" i="5"/>
  <c r="CH94" i="5"/>
  <c r="CJ86" i="5"/>
  <c r="CI86" i="5"/>
  <c r="CH86" i="5"/>
  <c r="CJ92" i="5"/>
  <c r="CI92" i="5"/>
  <c r="CH92" i="5"/>
  <c r="CJ88" i="5"/>
  <c r="CI88" i="5"/>
  <c r="CH88" i="5"/>
  <c r="CJ74" i="5"/>
  <c r="CI74" i="5"/>
  <c r="CH74" i="5"/>
  <c r="CH62" i="5"/>
  <c r="CJ62" i="5"/>
  <c r="CI62" i="5"/>
  <c r="CJ91" i="5"/>
  <c r="CI91" i="5"/>
  <c r="CH91" i="5"/>
  <c r="CJ89" i="5"/>
  <c r="CI89" i="5"/>
  <c r="CH89" i="5"/>
  <c r="CJ87" i="5"/>
  <c r="CI87" i="5"/>
  <c r="CH87" i="5"/>
  <c r="CJ95" i="5"/>
  <c r="CI95" i="5"/>
  <c r="CH95" i="5"/>
  <c r="CJ78" i="5"/>
  <c r="CI78" i="5"/>
  <c r="CH78" i="5"/>
  <c r="CJ97" i="5"/>
  <c r="CI97" i="5"/>
  <c r="CH97" i="5"/>
  <c r="AE80" i="5"/>
  <c r="CC77" i="5"/>
  <c r="CL77" i="5" s="1"/>
  <c r="CF90" i="5"/>
  <c r="CE90" i="5"/>
  <c r="CD90" i="5"/>
  <c r="I82" i="6"/>
  <c r="M82" i="6" s="1"/>
  <c r="CF49" i="5"/>
  <c r="AF88" i="5"/>
  <c r="AF87" i="5"/>
  <c r="AF95" i="5"/>
  <c r="AF85" i="5"/>
  <c r="AE99" i="5"/>
  <c r="C29" i="17"/>
  <c r="F25" i="10"/>
  <c r="AN60" i="5"/>
  <c r="G59" i="21"/>
  <c r="G61" i="21" s="1"/>
  <c r="AF97" i="5"/>
  <c r="AF90" i="5"/>
  <c r="AF62" i="5"/>
  <c r="AF84" i="5"/>
  <c r="AF77" i="5"/>
  <c r="AF80" i="5" s="1"/>
  <c r="AF86" i="5"/>
  <c r="AE65" i="5"/>
  <c r="G96" i="14"/>
  <c r="J27" i="5" l="1"/>
  <c r="J33" i="5"/>
  <c r="J35" i="5" s="1"/>
  <c r="K29" i="5" a="1"/>
  <c r="K29" i="5" s="1"/>
  <c r="K38" i="5" a="1"/>
  <c r="K38" i="5" s="1"/>
  <c r="K40" i="5" s="1"/>
  <c r="B39" i="4"/>
  <c r="B51" i="4" s="1"/>
  <c r="B28" i="4"/>
  <c r="AM6" i="27"/>
  <c r="AL1" i="27"/>
  <c r="I72" i="7"/>
  <c r="I17" i="7"/>
  <c r="I71" i="6"/>
  <c r="M62" i="6"/>
  <c r="CF47" i="5"/>
  <c r="I23" i="8"/>
  <c r="D98" i="14"/>
  <c r="E98" i="14"/>
  <c r="A99" i="14"/>
  <c r="AE28" i="9"/>
  <c r="AC39" i="9"/>
  <c r="AC28" i="9"/>
  <c r="J43" i="5" a="1"/>
  <c r="J43" i="5" s="1"/>
  <c r="N25" i="9"/>
  <c r="F26" i="9"/>
  <c r="M26" i="9"/>
  <c r="D27" i="9"/>
  <c r="L25" i="5" s="1" a="1"/>
  <c r="L25" i="5" s="1"/>
  <c r="H27" i="9"/>
  <c r="L29" i="5" s="1" a="1"/>
  <c r="L29" i="5" s="1"/>
  <c r="L31" i="5" s="1"/>
  <c r="I27" i="9"/>
  <c r="P27" i="9"/>
  <c r="Q27" i="9"/>
  <c r="L44" i="5" s="1" a="1"/>
  <c r="L44" i="5" s="1"/>
  <c r="W27" i="9"/>
  <c r="Y27" i="9" a="1"/>
  <c r="Y27" i="9" s="1"/>
  <c r="E27" i="9"/>
  <c r="C28" i="9"/>
  <c r="AC28" i="10"/>
  <c r="AD28" i="10"/>
  <c r="Y27" i="10"/>
  <c r="AE27" i="10"/>
  <c r="W28" i="10"/>
  <c r="X28" i="10"/>
  <c r="S28" i="10"/>
  <c r="Q28" i="10"/>
  <c r="Q39" i="10"/>
  <c r="D27" i="10"/>
  <c r="E27" i="10"/>
  <c r="H27" i="10"/>
  <c r="K27" i="10"/>
  <c r="M27" i="10" a="1"/>
  <c r="M27" i="10" s="1"/>
  <c r="C28" i="10"/>
  <c r="M9" i="5"/>
  <c r="L1" i="5"/>
  <c r="L2" i="5"/>
  <c r="K27" i="5"/>
  <c r="AQ3" i="5"/>
  <c r="BB3" i="5"/>
  <c r="AP71" i="5"/>
  <c r="AP90" i="5"/>
  <c r="AP60" i="5"/>
  <c r="AP70" i="5"/>
  <c r="BM3" i="5"/>
  <c r="BA90" i="5"/>
  <c r="BA60" i="5"/>
  <c r="BA70" i="5"/>
  <c r="BA71" i="5"/>
  <c r="BY3" i="5"/>
  <c r="BL90" i="5"/>
  <c r="BY90" i="5" s="1"/>
  <c r="BL70" i="5"/>
  <c r="BL71" i="5"/>
  <c r="BY71" i="5" s="1"/>
  <c r="BX70" i="5"/>
  <c r="D23" i="4"/>
  <c r="A22" i="4"/>
  <c r="O11" i="30"/>
  <c r="N16" i="30"/>
  <c r="N37" i="30"/>
  <c r="CO101" i="5"/>
  <c r="CO111" i="5" s="1"/>
  <c r="CN111" i="5"/>
  <c r="BJ90" i="5"/>
  <c r="BW90" i="5" s="1"/>
  <c r="BI90" i="5"/>
  <c r="BV90" i="5" s="1"/>
  <c r="BF90" i="5"/>
  <c r="BS90" i="5" s="1"/>
  <c r="BG90" i="5"/>
  <c r="BT90" i="5" s="1"/>
  <c r="BH90" i="5"/>
  <c r="BU90" i="5" s="1"/>
  <c r="AY90" i="5"/>
  <c r="AX90" i="5"/>
  <c r="AT90" i="5"/>
  <c r="AU90" i="5"/>
  <c r="AV90" i="5"/>
  <c r="AW90" i="5"/>
  <c r="AN90" i="5"/>
  <c r="AM90" i="5"/>
  <c r="AH90" i="5"/>
  <c r="AI90" i="5"/>
  <c r="AJ90" i="5"/>
  <c r="AK90" i="5"/>
  <c r="AL90" i="5"/>
  <c r="CF73" i="5"/>
  <c r="AF99" i="5"/>
  <c r="AF65" i="5"/>
  <c r="CC80" i="5"/>
  <c r="G97" i="14"/>
  <c r="K44" i="5" a="1"/>
  <c r="K44" i="5" s="1"/>
  <c r="D30" i="17"/>
  <c r="K75" i="7" s="1"/>
  <c r="E30" i="17"/>
  <c r="K75" i="8" s="1"/>
  <c r="F30" i="17"/>
  <c r="L75" i="7" s="1"/>
  <c r="M75" i="7" s="1"/>
  <c r="I75" i="7" s="1"/>
  <c r="G30" i="17"/>
  <c r="L75" i="8" s="1"/>
  <c r="M75" i="8" s="1"/>
  <c r="I75" i="8" s="1"/>
  <c r="L26" i="9"/>
  <c r="F26" i="10"/>
  <c r="K31" i="5" l="1"/>
  <c r="K33" i="5"/>
  <c r="K35" i="5" s="1"/>
  <c r="L38" i="5" a="1"/>
  <c r="L38" i="5" s="1"/>
  <c r="L40" i="5" s="1"/>
  <c r="S27" i="9"/>
  <c r="J27" i="9"/>
  <c r="B40" i="4"/>
  <c r="B52" i="4" s="1"/>
  <c r="B29" i="4"/>
  <c r="AN6" i="27"/>
  <c r="AM1" i="27"/>
  <c r="I23" i="7"/>
  <c r="I17" i="6"/>
  <c r="I72" i="6"/>
  <c r="CF75" i="5"/>
  <c r="D99" i="14"/>
  <c r="E99" i="14"/>
  <c r="A100" i="14"/>
  <c r="AE29" i="9"/>
  <c r="AC40" i="9"/>
  <c r="AC29" i="9"/>
  <c r="K43" i="5" a="1"/>
  <c r="K43" i="5" s="1"/>
  <c r="N26" i="9"/>
  <c r="F27" i="9"/>
  <c r="M27" i="9"/>
  <c r="D28" i="9"/>
  <c r="E28" i="9"/>
  <c r="H28" i="9"/>
  <c r="M29" i="5" s="1" a="1"/>
  <c r="M29" i="5" s="1"/>
  <c r="M31" i="5" s="1"/>
  <c r="I28" i="9"/>
  <c r="J28" i="9" s="1"/>
  <c r="P28" i="9"/>
  <c r="M38" i="5" s="1" a="1"/>
  <c r="M38" i="5" s="1"/>
  <c r="M40" i="5" s="1"/>
  <c r="Q28" i="9"/>
  <c r="W28" i="9"/>
  <c r="Y28" i="9" a="1"/>
  <c r="Y28" i="9" s="1"/>
  <c r="C29" i="9"/>
  <c r="AC29" i="10"/>
  <c r="AD29" i="10"/>
  <c r="Y28" i="10"/>
  <c r="AE28" i="10"/>
  <c r="W29" i="10"/>
  <c r="X29" i="10"/>
  <c r="S29" i="10"/>
  <c r="Q29" i="10"/>
  <c r="Q40" i="10"/>
  <c r="D28" i="10"/>
  <c r="E28" i="10"/>
  <c r="H28" i="10"/>
  <c r="K28" i="10"/>
  <c r="M28" i="10" a="1"/>
  <c r="M28" i="10" s="1"/>
  <c r="C29" i="10"/>
  <c r="N9" i="5"/>
  <c r="M25" i="5" a="1"/>
  <c r="M25" i="5" s="1"/>
  <c r="M1" i="5"/>
  <c r="M2" i="5"/>
  <c r="L27" i="5"/>
  <c r="L33" i="5"/>
  <c r="L35" i="5" s="1"/>
  <c r="AR3" i="5"/>
  <c r="BC3" i="5"/>
  <c r="AQ60" i="5"/>
  <c r="AQ70" i="5"/>
  <c r="AQ71" i="5"/>
  <c r="AQ90" i="5"/>
  <c r="BN3" i="5"/>
  <c r="BB71" i="5"/>
  <c r="BB90" i="5"/>
  <c r="BB70" i="5"/>
  <c r="BB60" i="5"/>
  <c r="BM70" i="5"/>
  <c r="BM90" i="5"/>
  <c r="BM71" i="5"/>
  <c r="BY70" i="5"/>
  <c r="D24" i="4"/>
  <c r="A23" i="4"/>
  <c r="P11" i="30"/>
  <c r="O16" i="30"/>
  <c r="O37" i="30"/>
  <c r="I85" i="7"/>
  <c r="I75" i="6"/>
  <c r="I87" i="7"/>
  <c r="I93" i="8"/>
  <c r="I85" i="8"/>
  <c r="I93" i="7"/>
  <c r="G98" i="14"/>
  <c r="L27" i="9"/>
  <c r="F27" i="10"/>
  <c r="R27" i="9"/>
  <c r="S28" i="9" l="1"/>
  <c r="R28" i="9"/>
  <c r="M44" i="5" a="1"/>
  <c r="M44" i="5" s="1"/>
  <c r="B41" i="4"/>
  <c r="B53" i="4" s="1"/>
  <c r="B30" i="4"/>
  <c r="B42" i="4" s="1"/>
  <c r="B54" i="4" s="1"/>
  <c r="AO6" i="27"/>
  <c r="AN1" i="27"/>
  <c r="I23" i="6"/>
  <c r="D100" i="14"/>
  <c r="E100" i="14"/>
  <c r="A101" i="14"/>
  <c r="AE30" i="9"/>
  <c r="AC30" i="9"/>
  <c r="AC42" i="9" s="1"/>
  <c r="AC41" i="9"/>
  <c r="L43" i="5" a="1"/>
  <c r="L43" i="5" s="1"/>
  <c r="N27" i="9"/>
  <c r="F28" i="9"/>
  <c r="M28" i="9"/>
  <c r="E29" i="9"/>
  <c r="I29" i="9"/>
  <c r="P29" i="9"/>
  <c r="N38" i="5" s="1" a="1"/>
  <c r="N38" i="5" s="1"/>
  <c r="N40" i="5" s="1"/>
  <c r="Q29" i="9"/>
  <c r="W29" i="9"/>
  <c r="Y29" i="9" a="1"/>
  <c r="Y29" i="9" s="1"/>
  <c r="C30" i="9"/>
  <c r="D29" i="9"/>
  <c r="N25" i="5" s="1" a="1"/>
  <c r="N25" i="5" s="1"/>
  <c r="H29" i="9"/>
  <c r="AC30" i="10"/>
  <c r="AD30" i="10"/>
  <c r="Y29" i="10"/>
  <c r="AE29" i="10"/>
  <c r="W30" i="10"/>
  <c r="X30" i="10"/>
  <c r="S30" i="10"/>
  <c r="Q30" i="10"/>
  <c r="Q42" i="10" s="1"/>
  <c r="Q41" i="10"/>
  <c r="D29" i="10"/>
  <c r="E29" i="10"/>
  <c r="H29" i="10"/>
  <c r="K29" i="10"/>
  <c r="M29" i="10" a="1"/>
  <c r="M29" i="10" s="1"/>
  <c r="C30" i="10"/>
  <c r="O9" i="5"/>
  <c r="N1" i="5"/>
  <c r="N2" i="5"/>
  <c r="M27" i="5"/>
  <c r="M33" i="5"/>
  <c r="M35" i="5" s="1"/>
  <c r="AS3" i="5"/>
  <c r="BD3" i="5"/>
  <c r="AR71" i="5"/>
  <c r="AR90" i="5"/>
  <c r="AR70" i="5"/>
  <c r="AR60" i="5"/>
  <c r="BO3" i="5"/>
  <c r="BC90" i="5"/>
  <c r="BC70" i="5"/>
  <c r="BC71" i="5"/>
  <c r="BN90" i="5"/>
  <c r="BN70" i="5"/>
  <c r="BN71" i="5"/>
  <c r="D25" i="4"/>
  <c r="A24" i="4"/>
  <c r="Q11" i="30"/>
  <c r="P16" i="30"/>
  <c r="P37" i="30"/>
  <c r="CF43" i="5"/>
  <c r="M75" i="6"/>
  <c r="I87" i="6"/>
  <c r="I90" i="7"/>
  <c r="I18" i="7"/>
  <c r="I88" i="7"/>
  <c r="L28" i="9"/>
  <c r="F28" i="10"/>
  <c r="I85" i="6"/>
  <c r="I87" i="8"/>
  <c r="I93" i="6"/>
  <c r="G99" i="14"/>
  <c r="S29" i="9" l="1"/>
  <c r="N29" i="5" a="1"/>
  <c r="N29" i="5" s="1"/>
  <c r="N31" i="5" s="1"/>
  <c r="R29" i="9"/>
  <c r="L29" i="9"/>
  <c r="AP6" i="27"/>
  <c r="AP1" i="27" s="1"/>
  <c r="AO1" i="27"/>
  <c r="D101" i="14"/>
  <c r="E101" i="14"/>
  <c r="M43" i="5" a="1"/>
  <c r="M43" i="5" s="1"/>
  <c r="N28" i="9"/>
  <c r="F29" i="9"/>
  <c r="M29" i="9"/>
  <c r="D30" i="9"/>
  <c r="E30" i="9"/>
  <c r="H30" i="9"/>
  <c r="I30" i="9"/>
  <c r="J30" i="9" s="1"/>
  <c r="P30" i="9"/>
  <c r="Q30" i="9"/>
  <c r="R30" i="9" s="1"/>
  <c r="W30" i="9"/>
  <c r="Y30" i="9" a="1"/>
  <c r="Y30" i="9" s="1"/>
  <c r="C31" i="9"/>
  <c r="AC31" i="10"/>
  <c r="AD31" i="10"/>
  <c r="Y30" i="10"/>
  <c r="AE30" i="10"/>
  <c r="W31" i="10"/>
  <c r="X31" i="10"/>
  <c r="D30" i="10"/>
  <c r="E30" i="10"/>
  <c r="H30" i="10"/>
  <c r="K30" i="10"/>
  <c r="M30" i="10" a="1"/>
  <c r="M30" i="10" s="1"/>
  <c r="C31" i="10"/>
  <c r="P9" i="5"/>
  <c r="O1" i="5"/>
  <c r="O2" i="5"/>
  <c r="N27" i="5"/>
  <c r="N33" i="5"/>
  <c r="N35" i="5" s="1"/>
  <c r="BE3" i="5"/>
  <c r="AS71" i="5"/>
  <c r="AS90" i="5"/>
  <c r="AS70" i="5"/>
  <c r="AS60" i="5"/>
  <c r="BP3" i="5"/>
  <c r="BD71" i="5"/>
  <c r="BD90" i="5"/>
  <c r="BD70" i="5"/>
  <c r="BO90" i="5"/>
  <c r="BO70" i="5"/>
  <c r="BO71" i="5"/>
  <c r="D26" i="4"/>
  <c r="A25" i="4"/>
  <c r="R11" i="30"/>
  <c r="Q16" i="30"/>
  <c r="Q37" i="30"/>
  <c r="I90" i="6"/>
  <c r="I88" i="6"/>
  <c r="I19" i="7"/>
  <c r="I24" i="7"/>
  <c r="I18" i="6"/>
  <c r="CF50" i="5"/>
  <c r="M85" i="6"/>
  <c r="I18" i="8"/>
  <c r="I88" i="8"/>
  <c r="I90" i="8"/>
  <c r="G100" i="14"/>
  <c r="J29" i="9"/>
  <c r="F29" i="10"/>
  <c r="N44" i="5" a="1"/>
  <c r="N44" i="5" s="1"/>
  <c r="S30" i="9" l="1"/>
  <c r="N43" i="5" a="1"/>
  <c r="N43" i="5" s="1"/>
  <c r="N29" i="9"/>
  <c r="F30" i="9"/>
  <c r="M30" i="9"/>
  <c r="D31" i="9"/>
  <c r="P25" i="5" s="1" a="1"/>
  <c r="P25" i="5" s="1"/>
  <c r="E31" i="9"/>
  <c r="H31" i="9"/>
  <c r="I31" i="9"/>
  <c r="J31" i="9" s="1"/>
  <c r="P31" i="9"/>
  <c r="Q31" i="9"/>
  <c r="W31" i="9"/>
  <c r="Y31" i="9" a="1"/>
  <c r="Y31" i="9" s="1"/>
  <c r="C32" i="9"/>
  <c r="AC32" i="10"/>
  <c r="AD32" i="10"/>
  <c r="Y31" i="10"/>
  <c r="AE31" i="10"/>
  <c r="W32" i="10"/>
  <c r="X32" i="10"/>
  <c r="D31" i="10"/>
  <c r="E31" i="10"/>
  <c r="H31" i="10"/>
  <c r="K31" i="10"/>
  <c r="M31" i="10" a="1"/>
  <c r="M31" i="10" s="1"/>
  <c r="C32" i="10"/>
  <c r="P45" i="5"/>
  <c r="Q9" i="5"/>
  <c r="P15" i="5"/>
  <c r="P105" i="5"/>
  <c r="P109" i="5" s="1"/>
  <c r="P1" i="5"/>
  <c r="P2" i="5"/>
  <c r="BQ3" i="5"/>
  <c r="BE71" i="5"/>
  <c r="BE90" i="5"/>
  <c r="BE70" i="5"/>
  <c r="BP90" i="5"/>
  <c r="BP70" i="5"/>
  <c r="BP71" i="5"/>
  <c r="D27" i="4"/>
  <c r="A26" i="4"/>
  <c r="S11" i="30"/>
  <c r="R16" i="30"/>
  <c r="R37" i="30"/>
  <c r="I97" i="7"/>
  <c r="I25" i="7"/>
  <c r="I19" i="6"/>
  <c r="I24" i="6"/>
  <c r="I19" i="8"/>
  <c r="I24" i="8"/>
  <c r="F30" i="10"/>
  <c r="O25" i="5" a="1"/>
  <c r="O25" i="5" s="1"/>
  <c r="O29" i="5" a="1"/>
  <c r="O29" i="5" s="1"/>
  <c r="O31" i="5" s="1"/>
  <c r="O38" i="5" a="1"/>
  <c r="O38" i="5" s="1"/>
  <c r="O40" i="5" s="1"/>
  <c r="O44" i="5" a="1"/>
  <c r="O44" i="5" s="1"/>
  <c r="E47" i="29"/>
  <c r="L30" i="9"/>
  <c r="G101" i="14"/>
  <c r="D47" i="29"/>
  <c r="P29" i="5" l="1" a="1"/>
  <c r="P29" i="5" s="1"/>
  <c r="P31" i="5" s="1"/>
  <c r="P38" i="5" a="1"/>
  <c r="P38" i="5" s="1"/>
  <c r="P40" i="5" s="1"/>
  <c r="S31" i="9"/>
  <c r="R31" i="9"/>
  <c r="P44" i="5" a="1"/>
  <c r="P44" i="5" s="1"/>
  <c r="O43" i="5" a="1"/>
  <c r="O43" i="5" s="1"/>
  <c r="N30" i="9"/>
  <c r="F31" i="9"/>
  <c r="M31" i="9"/>
  <c r="D32" i="9"/>
  <c r="Q25" i="5" s="1" a="1"/>
  <c r="Q25" i="5" s="1"/>
  <c r="E32" i="9"/>
  <c r="H32" i="9"/>
  <c r="I32" i="9"/>
  <c r="P32" i="9"/>
  <c r="Q32" i="9"/>
  <c r="W32" i="9"/>
  <c r="Y32" i="9" a="1"/>
  <c r="Y32" i="9" s="1"/>
  <c r="C33" i="9"/>
  <c r="AC33" i="10"/>
  <c r="AD33" i="10"/>
  <c r="Y32" i="10"/>
  <c r="AE32" i="10"/>
  <c r="W33" i="10"/>
  <c r="X33" i="10"/>
  <c r="D32" i="10"/>
  <c r="E32" i="10"/>
  <c r="H32" i="10"/>
  <c r="K32" i="10"/>
  <c r="M32" i="10" a="1"/>
  <c r="M32" i="10" s="1"/>
  <c r="C33" i="10"/>
  <c r="Q45" i="5"/>
  <c r="R9" i="5"/>
  <c r="Q15" i="5"/>
  <c r="Q105" i="5"/>
  <c r="Q109" i="5" s="1"/>
  <c r="Q1" i="5"/>
  <c r="Q2" i="5"/>
  <c r="P27" i="5"/>
  <c r="P33" i="5"/>
  <c r="P35" i="5" s="1"/>
  <c r="CD60" i="5"/>
  <c r="BQ70" i="5"/>
  <c r="BQ90" i="5"/>
  <c r="BQ71" i="5"/>
  <c r="D28" i="4"/>
  <c r="A27" i="4"/>
  <c r="T11" i="30"/>
  <c r="S16" i="30"/>
  <c r="S37" i="30"/>
  <c r="I25" i="6"/>
  <c r="I97" i="6"/>
  <c r="I97" i="8"/>
  <c r="I25" i="8"/>
  <c r="O33" i="5"/>
  <c r="O35" i="5" s="1"/>
  <c r="O27" i="5"/>
  <c r="F31" i="10"/>
  <c r="L31" i="9"/>
  <c r="Q29" i="5" l="1" a="1"/>
  <c r="Q29" i="5" s="1"/>
  <c r="Q31" i="5" s="1"/>
  <c r="Q38" i="5" a="1"/>
  <c r="Q38" i="5" s="1"/>
  <c r="Q40" i="5" s="1"/>
  <c r="S32" i="9"/>
  <c r="R32" i="9"/>
  <c r="Q44" i="5" a="1"/>
  <c r="Q44" i="5" s="1"/>
  <c r="P43" i="5" a="1"/>
  <c r="P43" i="5" s="1"/>
  <c r="N31" i="9"/>
  <c r="F32" i="9"/>
  <c r="M32" i="9"/>
  <c r="D33" i="9"/>
  <c r="E33" i="9"/>
  <c r="H33" i="9"/>
  <c r="I33" i="9"/>
  <c r="J33" i="9" s="1"/>
  <c r="P33" i="9"/>
  <c r="S33" i="9" s="1"/>
  <c r="Q33" i="9"/>
  <c r="R33" i="9" s="1"/>
  <c r="W33" i="9"/>
  <c r="Y33" i="9" a="1"/>
  <c r="Y33" i="9" s="1"/>
  <c r="C34" i="9"/>
  <c r="AC34" i="10"/>
  <c r="AD34" i="10"/>
  <c r="Y33" i="10"/>
  <c r="AE33" i="10"/>
  <c r="W34" i="10"/>
  <c r="X34" i="10"/>
  <c r="D33" i="10"/>
  <c r="F33" i="10" s="1"/>
  <c r="E33" i="10"/>
  <c r="H33" i="10"/>
  <c r="K33" i="10"/>
  <c r="M33" i="10" a="1"/>
  <c r="M33" i="10" s="1"/>
  <c r="C34" i="10"/>
  <c r="R45" i="5"/>
  <c r="S9" i="5"/>
  <c r="R15" i="5"/>
  <c r="R25" i="5" a="1"/>
  <c r="R25" i="5" s="1"/>
  <c r="R105" i="5"/>
  <c r="R109" i="5" s="1"/>
  <c r="R1" i="5"/>
  <c r="R2" i="5"/>
  <c r="Q27" i="5"/>
  <c r="Q33" i="5"/>
  <c r="Q35" i="5" s="1"/>
  <c r="D29" i="4"/>
  <c r="A28" i="4"/>
  <c r="U11" i="30"/>
  <c r="T16" i="30"/>
  <c r="T37" i="30"/>
  <c r="L45" i="5"/>
  <c r="L51" i="5"/>
  <c r="N51" i="5"/>
  <c r="N45" i="5"/>
  <c r="N55" i="5" s="1"/>
  <c r="N67" i="5" s="1"/>
  <c r="N101" i="5" s="1"/>
  <c r="N111" i="5" s="1"/>
  <c r="J45" i="5"/>
  <c r="J51" i="5"/>
  <c r="H45" i="5"/>
  <c r="H51" i="5"/>
  <c r="M51" i="5"/>
  <c r="M45" i="5"/>
  <c r="I51" i="5"/>
  <c r="I45" i="5"/>
  <c r="I55" i="5" s="1"/>
  <c r="I67" i="5" s="1"/>
  <c r="I101" i="5" s="1"/>
  <c r="I111" i="5" s="1"/>
  <c r="G45" i="5"/>
  <c r="G51" i="5"/>
  <c r="K45" i="5"/>
  <c r="K51" i="5"/>
  <c r="F45" i="5"/>
  <c r="F51" i="5"/>
  <c r="E51" i="5"/>
  <c r="E45" i="5"/>
  <c r="E55" i="5" s="1"/>
  <c r="E67" i="5" s="1"/>
  <c r="E101" i="5" s="1"/>
  <c r="E111" i="5" s="1"/>
  <c r="D51" i="5"/>
  <c r="D45" i="5"/>
  <c r="O45" i="5"/>
  <c r="O51" i="5"/>
  <c r="F32" i="10"/>
  <c r="L32" i="9"/>
  <c r="J32" i="9"/>
  <c r="M55" i="5" l="1"/>
  <c r="M67" i="5" s="1"/>
  <c r="M101" i="5" s="1"/>
  <c r="M111" i="5" s="1"/>
  <c r="R29" i="5" a="1"/>
  <c r="R29" i="5" s="1"/>
  <c r="R38" i="5" a="1"/>
  <c r="R38" i="5" s="1"/>
  <c r="R40" i="5" s="1"/>
  <c r="L55" i="5"/>
  <c r="L67" i="5" s="1"/>
  <c r="L101" i="5" s="1"/>
  <c r="L111" i="5" s="1"/>
  <c r="Q43" i="5" a="1"/>
  <c r="Q43" i="5" s="1"/>
  <c r="N32" i="9"/>
  <c r="F33" i="9"/>
  <c r="M33" i="9"/>
  <c r="D34" i="9"/>
  <c r="S25" i="5" s="1" a="1"/>
  <c r="S25" i="5" s="1"/>
  <c r="E34" i="9"/>
  <c r="H34" i="9"/>
  <c r="I34" i="9"/>
  <c r="P34" i="9"/>
  <c r="Q34" i="9"/>
  <c r="W34" i="9"/>
  <c r="Y34" i="9" a="1"/>
  <c r="Y34" i="9" s="1"/>
  <c r="C35" i="9"/>
  <c r="AC35" i="10"/>
  <c r="AD35" i="10"/>
  <c r="Y34" i="10"/>
  <c r="AE34" i="10"/>
  <c r="W35" i="10"/>
  <c r="X35" i="10"/>
  <c r="D34" i="10"/>
  <c r="E34" i="10"/>
  <c r="H34" i="10"/>
  <c r="K34" i="10"/>
  <c r="M34" i="10" a="1"/>
  <c r="M34" i="10" s="1"/>
  <c r="C35" i="10"/>
  <c r="S45" i="5"/>
  <c r="T9" i="5"/>
  <c r="S15" i="5"/>
  <c r="S105" i="5"/>
  <c r="S109" i="5" s="1"/>
  <c r="S1" i="5"/>
  <c r="S2" i="5"/>
  <c r="R27" i="5"/>
  <c r="D30" i="4"/>
  <c r="A29" i="4"/>
  <c r="V11" i="30"/>
  <c r="U16" i="30"/>
  <c r="U37" i="30"/>
  <c r="D55" i="5"/>
  <c r="R44" i="5" a="1"/>
  <c r="R44" i="5" s="1"/>
  <c r="J55" i="5"/>
  <c r="J67" i="5" s="1"/>
  <c r="J101" i="5" s="1"/>
  <c r="J111" i="5" s="1"/>
  <c r="H55" i="5"/>
  <c r="H67" i="5" s="1"/>
  <c r="H101" i="5" s="1"/>
  <c r="H111" i="5" s="1"/>
  <c r="G55" i="5"/>
  <c r="G67" i="5" s="1"/>
  <c r="G101" i="5" s="1"/>
  <c r="G111" i="5" s="1"/>
  <c r="K55" i="5"/>
  <c r="K67" i="5" s="1"/>
  <c r="K101" i="5" s="1"/>
  <c r="K111" i="5" s="1"/>
  <c r="F55" i="5"/>
  <c r="F67" i="5" s="1"/>
  <c r="F101" i="5" s="1"/>
  <c r="F111" i="5" s="1"/>
  <c r="O55" i="5"/>
  <c r="O67" i="5" s="1"/>
  <c r="O101" i="5" s="1"/>
  <c r="O111" i="5" s="1"/>
  <c r="L33" i="9"/>
  <c r="R31" i="5" l="1"/>
  <c r="R33" i="5"/>
  <c r="R35" i="5" s="1"/>
  <c r="S29" i="5" a="1"/>
  <c r="S29" i="5" s="1"/>
  <c r="S38" i="5" a="1"/>
  <c r="S38" i="5" s="1"/>
  <c r="S40" i="5" s="1"/>
  <c r="S34" i="9"/>
  <c r="R34" i="9"/>
  <c r="S44" i="5" a="1"/>
  <c r="S44" i="5" s="1"/>
  <c r="R43" i="5" a="1"/>
  <c r="R43" i="5" s="1"/>
  <c r="N33" i="9"/>
  <c r="F34" i="9"/>
  <c r="M34" i="9"/>
  <c r="D35" i="9"/>
  <c r="T25" i="5" s="1" a="1"/>
  <c r="T25" i="5" s="1"/>
  <c r="E35" i="9"/>
  <c r="H35" i="9"/>
  <c r="I35" i="9"/>
  <c r="P35" i="9"/>
  <c r="T38" i="5" s="1" a="1"/>
  <c r="T38" i="5" s="1"/>
  <c r="T40" i="5" s="1"/>
  <c r="Q35" i="9"/>
  <c r="W35" i="9"/>
  <c r="Y35" i="9" a="1"/>
  <c r="Y35" i="9" s="1"/>
  <c r="C36" i="9"/>
  <c r="AC36" i="10"/>
  <c r="AD36" i="10"/>
  <c r="Y35" i="10"/>
  <c r="AE35" i="10"/>
  <c r="W36" i="10"/>
  <c r="X36" i="10"/>
  <c r="D35" i="10"/>
  <c r="E35" i="10"/>
  <c r="H35" i="10"/>
  <c r="K35" i="10"/>
  <c r="M35" i="10" a="1"/>
  <c r="M35" i="10" s="1"/>
  <c r="C36" i="10"/>
  <c r="T45" i="5"/>
  <c r="U9" i="5"/>
  <c r="T15" i="5"/>
  <c r="T105" i="5"/>
  <c r="T1" i="5"/>
  <c r="T2" i="5"/>
  <c r="S27" i="5"/>
  <c r="D31" i="4"/>
  <c r="A30" i="4"/>
  <c r="W11" i="30"/>
  <c r="V16" i="30"/>
  <c r="V37" i="30"/>
  <c r="D67" i="5"/>
  <c r="D101" i="5" s="1"/>
  <c r="D111" i="5" s="1"/>
  <c r="J34" i="9"/>
  <c r="F34" i="10"/>
  <c r="L34" i="9"/>
  <c r="S31" i="5" l="1"/>
  <c r="S33" i="5"/>
  <c r="S35" i="5" s="1"/>
  <c r="S43" i="5" a="1"/>
  <c r="S43" i="5" s="1"/>
  <c r="N34" i="9"/>
  <c r="L35" i="9"/>
  <c r="F35" i="9"/>
  <c r="M35" i="9"/>
  <c r="J35" i="9"/>
  <c r="R35" i="9"/>
  <c r="D36" i="9"/>
  <c r="U25" i="5" s="1" a="1"/>
  <c r="U25" i="5" s="1"/>
  <c r="I36" i="9"/>
  <c r="P36" i="9"/>
  <c r="Q36" i="9"/>
  <c r="R36" i="9" s="1"/>
  <c r="W36" i="9"/>
  <c r="Y36" i="9" a="1"/>
  <c r="Y36" i="9" s="1"/>
  <c r="E36" i="9"/>
  <c r="H36" i="9"/>
  <c r="U29" i="5" s="1" a="1"/>
  <c r="U29" i="5" s="1"/>
  <c r="U31" i="5" s="1"/>
  <c r="C37" i="9"/>
  <c r="AC37" i="10"/>
  <c r="AD37" i="10"/>
  <c r="Y36" i="10"/>
  <c r="AE36" i="10"/>
  <c r="W37" i="10"/>
  <c r="X37" i="10"/>
  <c r="F35" i="10"/>
  <c r="D36" i="10"/>
  <c r="F36" i="10" s="1"/>
  <c r="E36" i="10"/>
  <c r="H36" i="10"/>
  <c r="K36" i="10"/>
  <c r="M36" i="10" a="1"/>
  <c r="M36" i="10" s="1"/>
  <c r="C37" i="10"/>
  <c r="U45" i="5"/>
  <c r="V9" i="5"/>
  <c r="U15" i="5"/>
  <c r="U105" i="5"/>
  <c r="U109" i="5" s="1"/>
  <c r="U1" i="5"/>
  <c r="U2" i="5"/>
  <c r="T27" i="5"/>
  <c r="T109" i="5"/>
  <c r="D32" i="4"/>
  <c r="A31" i="4"/>
  <c r="X11" i="30"/>
  <c r="W16" i="30"/>
  <c r="W37" i="30"/>
  <c r="T29" i="5" a="1"/>
  <c r="T29" i="5" s="1"/>
  <c r="T31" i="5" s="1"/>
  <c r="T44" i="5" a="1"/>
  <c r="T44" i="5" s="1"/>
  <c r="T43" i="5" l="1" a="1"/>
  <c r="T43" i="5" s="1"/>
  <c r="N35" i="9"/>
  <c r="F36" i="9"/>
  <c r="M36" i="9"/>
  <c r="D37" i="9"/>
  <c r="V25" i="5" s="1" a="1"/>
  <c r="V25" i="5" s="1"/>
  <c r="E37" i="9"/>
  <c r="H37" i="9"/>
  <c r="V29" i="5" s="1" a="1"/>
  <c r="V29" i="5" s="1"/>
  <c r="V31" i="5" s="1"/>
  <c r="I37" i="9"/>
  <c r="J37" i="9" s="1"/>
  <c r="P37" i="9"/>
  <c r="V38" i="5" s="1" a="1"/>
  <c r="V38" i="5" s="1"/>
  <c r="V40" i="5" s="1"/>
  <c r="Q37" i="9"/>
  <c r="W37" i="9"/>
  <c r="Y37" i="9" a="1"/>
  <c r="Y37" i="9" s="1"/>
  <c r="C38" i="9"/>
  <c r="AC38" i="10"/>
  <c r="AD38" i="10"/>
  <c r="Y37" i="10"/>
  <c r="AE37" i="10"/>
  <c r="W38" i="10"/>
  <c r="X38" i="10"/>
  <c r="D37" i="10"/>
  <c r="E37" i="10"/>
  <c r="H37" i="10"/>
  <c r="K37" i="10"/>
  <c r="M37" i="10" a="1"/>
  <c r="M37" i="10" s="1"/>
  <c r="C38" i="10"/>
  <c r="V45" i="5"/>
  <c r="W9" i="5"/>
  <c r="V15" i="5"/>
  <c r="V105" i="5"/>
  <c r="V109" i="5" s="1"/>
  <c r="V1" i="5"/>
  <c r="V2" i="5"/>
  <c r="U27" i="5"/>
  <c r="U33" i="5"/>
  <c r="U35" i="5" s="1"/>
  <c r="D33" i="4"/>
  <c r="A32" i="4"/>
  <c r="Y11" i="30"/>
  <c r="X16" i="30"/>
  <c r="X37" i="30"/>
  <c r="L36" i="9"/>
  <c r="U38" i="5" a="1"/>
  <c r="U38" i="5" s="1"/>
  <c r="U40" i="5" s="1"/>
  <c r="U44" i="5" a="1"/>
  <c r="U44" i="5" s="1"/>
  <c r="T33" i="5"/>
  <c r="T35" i="5" s="1"/>
  <c r="J36" i="9"/>
  <c r="R37" i="9" l="1"/>
  <c r="U43" i="5" a="1"/>
  <c r="U43" i="5" s="1"/>
  <c r="N36" i="9"/>
  <c r="F37" i="9"/>
  <c r="M37" i="9"/>
  <c r="D38" i="9"/>
  <c r="W25" i="5" s="1" a="1"/>
  <c r="W25" i="5" s="1"/>
  <c r="E38" i="9"/>
  <c r="H38" i="9"/>
  <c r="W29" i="5" s="1" a="1"/>
  <c r="W29" i="5" s="1"/>
  <c r="W31" i="5" s="1"/>
  <c r="I38" i="9"/>
  <c r="P38" i="9"/>
  <c r="W38" i="5" s="1" a="1"/>
  <c r="W38" i="5" s="1"/>
  <c r="W40" i="5" s="1"/>
  <c r="Q38" i="9"/>
  <c r="W38" i="9"/>
  <c r="Y38" i="9" a="1"/>
  <c r="Y38" i="9" s="1"/>
  <c r="C39" i="9"/>
  <c r="AC39" i="10"/>
  <c r="AD39" i="10"/>
  <c r="Y38" i="10"/>
  <c r="AE38" i="10"/>
  <c r="W39" i="10"/>
  <c r="X39" i="10"/>
  <c r="D38" i="10"/>
  <c r="E38" i="10"/>
  <c r="H38" i="10"/>
  <c r="K38" i="10"/>
  <c r="M38" i="10" a="1"/>
  <c r="M38" i="10" s="1"/>
  <c r="C39" i="10"/>
  <c r="W45" i="5"/>
  <c r="X9" i="5"/>
  <c r="W15" i="5"/>
  <c r="W105" i="5"/>
  <c r="W1" i="5"/>
  <c r="W2" i="5"/>
  <c r="V27" i="5"/>
  <c r="V33" i="5"/>
  <c r="V35" i="5" s="1"/>
  <c r="D34" i="4"/>
  <c r="A33" i="4"/>
  <c r="Z11" i="30"/>
  <c r="Y16" i="30"/>
  <c r="Y37" i="30"/>
  <c r="V44" i="5" a="1"/>
  <c r="V44" i="5" s="1"/>
  <c r="L37" i="9"/>
  <c r="F37" i="10"/>
  <c r="J38" i="9" l="1"/>
  <c r="V43" i="5" a="1"/>
  <c r="V43" i="5" s="1"/>
  <c r="N37" i="9"/>
  <c r="L38" i="9"/>
  <c r="F38" i="9"/>
  <c r="M38" i="9"/>
  <c r="R38" i="9"/>
  <c r="D39" i="9"/>
  <c r="X25" i="5" s="1" a="1"/>
  <c r="X25" i="5" s="1"/>
  <c r="E39" i="9"/>
  <c r="H39" i="9"/>
  <c r="X29" i="5" s="1" a="1"/>
  <c r="X29" i="5" s="1"/>
  <c r="X31" i="5" s="1"/>
  <c r="I39" i="9"/>
  <c r="P39" i="9"/>
  <c r="X38" i="5" s="1" a="1"/>
  <c r="X38" i="5" s="1"/>
  <c r="X40" i="5" s="1"/>
  <c r="Q39" i="9"/>
  <c r="X44" i="5" s="1" a="1"/>
  <c r="X44" i="5" s="1"/>
  <c r="W39" i="9"/>
  <c r="Y39" i="9" a="1"/>
  <c r="Y39" i="9" s="1"/>
  <c r="C40" i="9"/>
  <c r="AC40" i="10"/>
  <c r="AD40" i="10"/>
  <c r="Y39" i="10"/>
  <c r="AE39" i="10"/>
  <c r="W40" i="10"/>
  <c r="X40" i="10"/>
  <c r="D39" i="10"/>
  <c r="E39" i="10"/>
  <c r="H39" i="10"/>
  <c r="K39" i="10"/>
  <c r="M39" i="10" a="1"/>
  <c r="M39" i="10" s="1"/>
  <c r="C40" i="10"/>
  <c r="X45" i="5"/>
  <c r="Y9" i="5"/>
  <c r="X15" i="5"/>
  <c r="X105" i="5"/>
  <c r="X109" i="5" s="1"/>
  <c r="X1" i="5"/>
  <c r="X2" i="5"/>
  <c r="W27" i="5"/>
  <c r="W33" i="5"/>
  <c r="W35" i="5" s="1"/>
  <c r="W109" i="5"/>
  <c r="D35" i="4"/>
  <c r="A34" i="4"/>
  <c r="AA11" i="30"/>
  <c r="Z16" i="30"/>
  <c r="Z37" i="30"/>
  <c r="F38" i="10"/>
  <c r="W44" i="5" a="1"/>
  <c r="W44" i="5" s="1"/>
  <c r="W43" i="5" l="1" a="1"/>
  <c r="W43" i="5" s="1"/>
  <c r="N38" i="9"/>
  <c r="M39" i="9"/>
  <c r="F39" i="9"/>
  <c r="J39" i="9"/>
  <c r="D40" i="9"/>
  <c r="E40" i="9"/>
  <c r="H40" i="9"/>
  <c r="Y29" i="5" s="1" a="1"/>
  <c r="Y29" i="5" s="1"/>
  <c r="Y31" i="5" s="1"/>
  <c r="I40" i="9"/>
  <c r="J40" i="9" s="1"/>
  <c r="P40" i="9"/>
  <c r="Y38" i="5" s="1" a="1"/>
  <c r="Y38" i="5" s="1"/>
  <c r="Y40" i="5" s="1"/>
  <c r="Q40" i="9"/>
  <c r="W40" i="9"/>
  <c r="Y40" i="9" a="1"/>
  <c r="Y40" i="9" s="1"/>
  <c r="C41" i="9"/>
  <c r="AC41" i="10"/>
  <c r="AD41" i="10"/>
  <c r="Y40" i="10"/>
  <c r="AE40" i="10"/>
  <c r="W41" i="10"/>
  <c r="X41" i="10"/>
  <c r="F39" i="10"/>
  <c r="D40" i="10"/>
  <c r="F40" i="10" s="1"/>
  <c r="E40" i="10"/>
  <c r="H40" i="10"/>
  <c r="K40" i="10"/>
  <c r="M40" i="10" a="1"/>
  <c r="M40" i="10" s="1"/>
  <c r="C41" i="10"/>
  <c r="Y45" i="5"/>
  <c r="Z9" i="5"/>
  <c r="Y15" i="5"/>
  <c r="Y105" i="5"/>
  <c r="Y109" i="5" s="1"/>
  <c r="Y1" i="5"/>
  <c r="Y2" i="5"/>
  <c r="X27" i="5"/>
  <c r="X33" i="5"/>
  <c r="X35" i="5" s="1"/>
  <c r="D36" i="4"/>
  <c r="A35" i="4"/>
  <c r="AB11" i="30"/>
  <c r="AA16" i="30"/>
  <c r="AA37" i="30"/>
  <c r="L39" i="9"/>
  <c r="R39" i="9"/>
  <c r="R40" i="9" l="1"/>
  <c r="Y44" i="5" a="1"/>
  <c r="Y44" i="5" s="1"/>
  <c r="L40" i="9"/>
  <c r="X43" i="5" a="1"/>
  <c r="X43" i="5" s="1"/>
  <c r="N39" i="9"/>
  <c r="F40" i="9"/>
  <c r="M40" i="9"/>
  <c r="D41" i="9"/>
  <c r="E41" i="9"/>
  <c r="H41" i="9"/>
  <c r="I41" i="9"/>
  <c r="J41" i="9" s="1"/>
  <c r="P41" i="9"/>
  <c r="Q41" i="9"/>
  <c r="R41" i="9" s="1"/>
  <c r="W41" i="9"/>
  <c r="Y41" i="9" a="1"/>
  <c r="Y41" i="9" s="1"/>
  <c r="C42" i="9"/>
  <c r="AC42" i="10"/>
  <c r="AD42" i="10"/>
  <c r="Y41" i="10"/>
  <c r="AE41" i="10"/>
  <c r="W42" i="10"/>
  <c r="X42" i="10"/>
  <c r="D41" i="10"/>
  <c r="E41" i="10"/>
  <c r="H41" i="10"/>
  <c r="K41" i="10"/>
  <c r="M41" i="10" a="1"/>
  <c r="M41" i="10" s="1"/>
  <c r="C42" i="10"/>
  <c r="Z45" i="5"/>
  <c r="AA9" i="5"/>
  <c r="Z15" i="5"/>
  <c r="Z25" i="5" a="1"/>
  <c r="Z25" i="5" s="1"/>
  <c r="Z29" i="5" a="1"/>
  <c r="Z29" i="5" s="1"/>
  <c r="Z31" i="5" s="1"/>
  <c r="Z38" i="5" a="1"/>
  <c r="Z38" i="5" s="1"/>
  <c r="Z40" i="5" s="1"/>
  <c r="Z44" i="5" a="1"/>
  <c r="Z44" i="5" s="1"/>
  <c r="Z105" i="5"/>
  <c r="Z1" i="5"/>
  <c r="Z2" i="5"/>
  <c r="D37" i="4"/>
  <c r="A36" i="4"/>
  <c r="AC11" i="30"/>
  <c r="AB16" i="30"/>
  <c r="AB37" i="30"/>
  <c r="Y25" i="5" a="1"/>
  <c r="Y25" i="5" s="1"/>
  <c r="Y43" i="5" l="1" a="1"/>
  <c r="Y43" i="5" s="1"/>
  <c r="N40" i="9"/>
  <c r="F41" i="9"/>
  <c r="M41" i="9"/>
  <c r="D42" i="9"/>
  <c r="AA25" i="5" s="1" a="1"/>
  <c r="AA25" i="5" s="1"/>
  <c r="E42" i="9"/>
  <c r="H42" i="9"/>
  <c r="I42" i="9"/>
  <c r="P42" i="9"/>
  <c r="Q42" i="9"/>
  <c r="R42" i="9" s="1"/>
  <c r="W42" i="9"/>
  <c r="Y42" i="9" a="1"/>
  <c r="Y42" i="9" s="1"/>
  <c r="C44" i="9"/>
  <c r="AC43" i="10"/>
  <c r="AD43" i="10"/>
  <c r="Y42" i="10"/>
  <c r="AE42" i="10"/>
  <c r="W43" i="10"/>
  <c r="X43" i="10"/>
  <c r="D42" i="10"/>
  <c r="E42" i="10"/>
  <c r="H42" i="10"/>
  <c r="K42" i="10"/>
  <c r="M42" i="10" a="1"/>
  <c r="M42" i="10" s="1"/>
  <c r="C43" i="10"/>
  <c r="AA45" i="5"/>
  <c r="AB9" i="5"/>
  <c r="AA15" i="5"/>
  <c r="AA29" i="5" a="1"/>
  <c r="AA29" i="5" s="1"/>
  <c r="AA31" i="5" s="1"/>
  <c r="AA38" i="5" a="1"/>
  <c r="AA38" i="5" s="1"/>
  <c r="AA40" i="5" s="1"/>
  <c r="AA105" i="5"/>
  <c r="AA109" i="5" s="1"/>
  <c r="AA1" i="5"/>
  <c r="AA2" i="5"/>
  <c r="Z27" i="5"/>
  <c r="Z33" i="5"/>
  <c r="Z35" i="5" s="1"/>
  <c r="Z109" i="5"/>
  <c r="D38" i="4"/>
  <c r="A37" i="4"/>
  <c r="AD11" i="30"/>
  <c r="AC16" i="30"/>
  <c r="AC37" i="30"/>
  <c r="Y33" i="5"/>
  <c r="Y35" i="5" s="1"/>
  <c r="Y27" i="5"/>
  <c r="F41" i="10"/>
  <c r="L41" i="9"/>
  <c r="J42" i="9" l="1"/>
  <c r="Z43" i="5" a="1"/>
  <c r="Z43" i="5" s="1"/>
  <c r="N41" i="9"/>
  <c r="F42" i="9"/>
  <c r="M42" i="9"/>
  <c r="D44" i="9"/>
  <c r="AB25" i="5" s="1" a="1"/>
  <c r="AB25" i="5" s="1"/>
  <c r="E44" i="9"/>
  <c r="H44" i="9"/>
  <c r="AB29" i="5" s="1" a="1"/>
  <c r="AB29" i="5" s="1"/>
  <c r="AB31" i="5" s="1"/>
  <c r="I44" i="9"/>
  <c r="J44" i="9" s="1"/>
  <c r="P44" i="9"/>
  <c r="AB38" i="5" s="1" a="1"/>
  <c r="AB38" i="5" s="1"/>
  <c r="AB40" i="5" s="1"/>
  <c r="Q44" i="9"/>
  <c r="AB44" i="5" s="1" a="1"/>
  <c r="AB44" i="5" s="1"/>
  <c r="W44" i="9"/>
  <c r="Y44" i="9" a="1"/>
  <c r="Y44" i="9" s="1"/>
  <c r="C45" i="9"/>
  <c r="AC44" i="10"/>
  <c r="AD44" i="10"/>
  <c r="Y43" i="10"/>
  <c r="AE43" i="10"/>
  <c r="W44" i="10"/>
  <c r="X44" i="10"/>
  <c r="D43" i="10"/>
  <c r="E43" i="10"/>
  <c r="H43" i="10"/>
  <c r="K43" i="10"/>
  <c r="M43" i="10" a="1"/>
  <c r="M43" i="10" s="1"/>
  <c r="C44" i="10"/>
  <c r="AB45" i="5"/>
  <c r="AC9" i="5"/>
  <c r="AB15" i="5"/>
  <c r="AB105" i="5"/>
  <c r="AB1" i="5"/>
  <c r="AB2" i="5"/>
  <c r="AA27" i="5"/>
  <c r="AA33" i="5"/>
  <c r="AA35" i="5" s="1"/>
  <c r="D39" i="4"/>
  <c r="A38" i="4"/>
  <c r="AE11" i="30"/>
  <c r="AD16" i="30"/>
  <c r="AD37" i="30"/>
  <c r="L42" i="9"/>
  <c r="F42" i="10"/>
  <c r="AA44" i="5" a="1"/>
  <c r="AA44" i="5" s="1"/>
  <c r="Y51" i="5" l="1"/>
  <c r="Y55" i="5" s="1"/>
  <c r="Y67" i="5" s="1"/>
  <c r="Y101" i="5" s="1"/>
  <c r="Y111" i="5" s="1"/>
  <c r="W51" i="5"/>
  <c r="W55" i="5" s="1"/>
  <c r="W67" i="5" s="1"/>
  <c r="W101" i="5" s="1"/>
  <c r="W111" i="5" s="1"/>
  <c r="V51" i="5"/>
  <c r="V55" i="5" s="1"/>
  <c r="V67" i="5" s="1"/>
  <c r="V101" i="5" s="1"/>
  <c r="V111" i="5" s="1"/>
  <c r="T51" i="5"/>
  <c r="S51" i="5"/>
  <c r="U51" i="5"/>
  <c r="U55" i="5" s="1"/>
  <c r="U67" i="5" s="1"/>
  <c r="U101" i="5" s="1"/>
  <c r="U111" i="5" s="1"/>
  <c r="X51" i="5"/>
  <c r="X55" i="5" s="1"/>
  <c r="X67" i="5" s="1"/>
  <c r="X101" i="5" s="1"/>
  <c r="X111" i="5" s="1"/>
  <c r="AA43" i="5" a="1"/>
  <c r="AA43" i="5" s="1"/>
  <c r="N42" i="9"/>
  <c r="F44" i="9"/>
  <c r="M44" i="9"/>
  <c r="D45" i="9"/>
  <c r="AC25" i="5" s="1" a="1"/>
  <c r="AC25" i="5" s="1"/>
  <c r="E45" i="9"/>
  <c r="H45" i="9"/>
  <c r="AC29" i="5" s="1" a="1"/>
  <c r="AC29" i="5" s="1"/>
  <c r="AC31" i="5" s="1"/>
  <c r="I45" i="9"/>
  <c r="J45" i="9" s="1"/>
  <c r="P45" i="9"/>
  <c r="AC38" i="5" s="1" a="1"/>
  <c r="AC38" i="5" s="1"/>
  <c r="AC40" i="5" s="1"/>
  <c r="Q45" i="9"/>
  <c r="W45" i="9"/>
  <c r="Y45" i="9" a="1"/>
  <c r="Y45" i="9" s="1"/>
  <c r="C46" i="9"/>
  <c r="AC46" i="10"/>
  <c r="AD46" i="10"/>
  <c r="Y44" i="10"/>
  <c r="AE44" i="10"/>
  <c r="W46" i="10"/>
  <c r="X46" i="10"/>
  <c r="D44" i="10"/>
  <c r="E44" i="10"/>
  <c r="H44" i="10"/>
  <c r="K44" i="10"/>
  <c r="M44" i="10" a="1"/>
  <c r="M44" i="10" s="1"/>
  <c r="C46" i="10"/>
  <c r="AC45" i="5"/>
  <c r="AD9" i="5"/>
  <c r="AC15" i="5"/>
  <c r="AC105" i="5"/>
  <c r="AC109" i="5" s="1"/>
  <c r="AC1" i="5"/>
  <c r="AC2" i="5"/>
  <c r="AB27" i="5"/>
  <c r="AB33" i="5"/>
  <c r="AB35" i="5" s="1"/>
  <c r="AB109" i="5"/>
  <c r="Q51" i="5"/>
  <c r="R51" i="5"/>
  <c r="P51" i="5"/>
  <c r="AA51" i="5"/>
  <c r="D40" i="4"/>
  <c r="A39" i="4"/>
  <c r="D43" i="30"/>
  <c r="D20" i="30"/>
  <c r="D21" i="30"/>
  <c r="D22" i="30"/>
  <c r="D42" i="30"/>
  <c r="D41" i="30"/>
  <c r="AE16" i="30"/>
  <c r="AE37" i="30"/>
  <c r="R44" i="9"/>
  <c r="Z51" i="5"/>
  <c r="Z55" i="5" s="1"/>
  <c r="Z67" i="5" s="1"/>
  <c r="Z101" i="5" s="1"/>
  <c r="Z111" i="5" s="1"/>
  <c r="L44" i="9"/>
  <c r="F43" i="10"/>
  <c r="T55" i="5" l="1"/>
  <c r="AF51" i="5"/>
  <c r="S55" i="5"/>
  <c r="S67" i="5" s="1"/>
  <c r="S101" i="5" s="1"/>
  <c r="S111" i="5" s="1"/>
  <c r="AE51" i="5"/>
  <c r="AB43" i="5" a="1"/>
  <c r="AB43" i="5" s="1"/>
  <c r="N44" i="9"/>
  <c r="F45" i="9"/>
  <c r="M45" i="9"/>
  <c r="D46" i="9"/>
  <c r="E46" i="9"/>
  <c r="H46" i="9"/>
  <c r="I46" i="9"/>
  <c r="J46" i="9" s="1"/>
  <c r="P46" i="9"/>
  <c r="Q46" i="9"/>
  <c r="W46" i="9"/>
  <c r="Y46" i="9" a="1"/>
  <c r="Y46" i="9" s="1"/>
  <c r="C47" i="9"/>
  <c r="D1" i="9" a="1"/>
  <c r="D1" i="9" s="1"/>
  <c r="AC47" i="10"/>
  <c r="AD47" i="10"/>
  <c r="Y46" i="10"/>
  <c r="AE46" i="10"/>
  <c r="W47" i="10"/>
  <c r="X47" i="10"/>
  <c r="D46" i="10"/>
  <c r="E46" i="10"/>
  <c r="H46" i="10"/>
  <c r="K46" i="10"/>
  <c r="M46" i="10" a="1"/>
  <c r="M46" i="10" s="1"/>
  <c r="C47" i="10"/>
  <c r="D1" i="10" a="1"/>
  <c r="D1" i="10" s="1"/>
  <c r="AD45" i="5"/>
  <c r="AE9" i="5"/>
  <c r="AD15" i="5"/>
  <c r="AD25" i="5" a="1"/>
  <c r="AD25" i="5" s="1"/>
  <c r="AD29" i="5" a="1"/>
  <c r="AD29" i="5" s="1"/>
  <c r="AD31" i="5" s="1"/>
  <c r="AD105" i="5"/>
  <c r="AD1" i="5"/>
  <c r="AD2" i="5"/>
  <c r="AC27" i="5"/>
  <c r="AC33" i="5"/>
  <c r="AC35" i="5" s="1"/>
  <c r="AC51" i="5"/>
  <c r="F43" i="29" s="1"/>
  <c r="Q55" i="5"/>
  <c r="Q67" i="5" s="1"/>
  <c r="Q101" i="5" s="1"/>
  <c r="Q111" i="5" s="1"/>
  <c r="AD51" i="5"/>
  <c r="R55" i="5"/>
  <c r="R67" i="5" s="1"/>
  <c r="R101" i="5" s="1"/>
  <c r="R111" i="5" s="1"/>
  <c r="AB51" i="5"/>
  <c r="P55" i="5"/>
  <c r="P67" i="5" s="1"/>
  <c r="P101" i="5" s="1"/>
  <c r="P111" i="5" s="1"/>
  <c r="D41" i="4"/>
  <c r="A40" i="4"/>
  <c r="T67" i="5"/>
  <c r="T101" i="5" s="1"/>
  <c r="T111" i="5" s="1"/>
  <c r="AA55" i="5"/>
  <c r="AA67" i="5" s="1"/>
  <c r="AA101" i="5" s="1"/>
  <c r="AA111" i="5" s="1"/>
  <c r="L45" i="9"/>
  <c r="AC44" i="5" a="1"/>
  <c r="AC44" i="5" s="1"/>
  <c r="R45" i="9"/>
  <c r="F44" i="10"/>
  <c r="R46" i="9" l="1"/>
  <c r="AB55" i="5"/>
  <c r="AB67" i="5" s="1"/>
  <c r="AB101" i="5" s="1"/>
  <c r="AB111" i="5" s="1"/>
  <c r="AC43" i="5" a="1"/>
  <c r="AC43" i="5" s="1"/>
  <c r="AC55" i="5" s="1"/>
  <c r="N45" i="9"/>
  <c r="F46" i="9"/>
  <c r="M46" i="9"/>
  <c r="D47" i="9"/>
  <c r="AE25" i="5" s="1" a="1"/>
  <c r="AE25" i="5" s="1"/>
  <c r="E47" i="9"/>
  <c r="H47" i="9"/>
  <c r="AE29" i="5" s="1" a="1"/>
  <c r="AE29" i="5" s="1"/>
  <c r="AE31" i="5" s="1"/>
  <c r="I47" i="9"/>
  <c r="P47" i="9"/>
  <c r="AE38" i="5" s="1" a="1"/>
  <c r="AE38" i="5" s="1"/>
  <c r="AE40" i="5" s="1"/>
  <c r="Q47" i="9"/>
  <c r="W47" i="9"/>
  <c r="Y47" i="9" a="1"/>
  <c r="Y47" i="9" s="1"/>
  <c r="C48" i="9"/>
  <c r="AC48" i="10"/>
  <c r="AD48" i="10"/>
  <c r="Y47" i="10"/>
  <c r="AE47" i="10"/>
  <c r="W48" i="10"/>
  <c r="X48" i="10"/>
  <c r="D47" i="10"/>
  <c r="E47" i="10"/>
  <c r="E12" i="10" s="1"/>
  <c r="H47" i="10"/>
  <c r="K47" i="10"/>
  <c r="M47" i="10" a="1"/>
  <c r="M47" i="10" s="1"/>
  <c r="C48" i="10"/>
  <c r="AE45" i="5"/>
  <c r="CC45" i="5" s="1"/>
  <c r="AF9" i="5"/>
  <c r="AE15" i="5"/>
  <c r="CC15" i="5" s="1"/>
  <c r="AE105" i="5"/>
  <c r="AE109" i="5" s="1"/>
  <c r="AE1" i="5"/>
  <c r="AE2" i="5"/>
  <c r="AD27" i="5"/>
  <c r="AD33" i="5"/>
  <c r="AD35" i="5" s="1"/>
  <c r="CC105" i="5"/>
  <c r="CC109" i="5" s="1"/>
  <c r="AD109" i="5"/>
  <c r="D42" i="4"/>
  <c r="A41" i="4"/>
  <c r="F46" i="10"/>
  <c r="AD38" i="5" a="1"/>
  <c r="AD38" i="5" s="1"/>
  <c r="AD40" i="5" s="1"/>
  <c r="AD44" i="5" a="1"/>
  <c r="AD44" i="5" s="1"/>
  <c r="CH58" i="5"/>
  <c r="CH59" i="5"/>
  <c r="L46" i="9"/>
  <c r="R47" i="9" l="1"/>
  <c r="AC67" i="5"/>
  <c r="AC101" i="5" s="1"/>
  <c r="AC111" i="5" s="1"/>
  <c r="AD43" i="5" a="1"/>
  <c r="AD43" i="5" s="1"/>
  <c r="AD55" i="5" s="1"/>
  <c r="AD67" i="5" s="1"/>
  <c r="AD101" i="5" s="1"/>
  <c r="AD111" i="5" s="1"/>
  <c r="N46" i="9"/>
  <c r="F47" i="9"/>
  <c r="M47" i="9"/>
  <c r="D48" i="9"/>
  <c r="AF25" i="5" s="1" a="1"/>
  <c r="AF25" i="5" s="1"/>
  <c r="E48" i="9"/>
  <c r="H48" i="9"/>
  <c r="AF29" i="5" s="1" a="1"/>
  <c r="AF29" i="5" s="1"/>
  <c r="AF31" i="5" s="1"/>
  <c r="I48" i="9"/>
  <c r="P48" i="9"/>
  <c r="AF38" i="5" s="1" a="1"/>
  <c r="AF38" i="5" s="1"/>
  <c r="AF40" i="5" s="1"/>
  <c r="Q48" i="9"/>
  <c r="W48" i="9"/>
  <c r="Y48" i="9" a="1"/>
  <c r="Y48" i="9" s="1"/>
  <c r="C49" i="9"/>
  <c r="AC49" i="10"/>
  <c r="AD49" i="10"/>
  <c r="Y48" i="10"/>
  <c r="AE48" i="10"/>
  <c r="W49" i="10"/>
  <c r="X49" i="10"/>
  <c r="D12" i="10"/>
  <c r="F47" i="10"/>
  <c r="H48" i="10"/>
  <c r="K48" i="10"/>
  <c r="M48" i="10" a="1"/>
  <c r="M48" i="10" s="1"/>
  <c r="C49" i="10"/>
  <c r="AF45" i="5"/>
  <c r="AH9" i="5"/>
  <c r="AF15" i="5"/>
  <c r="AF105" i="5"/>
  <c r="AF109" i="5" s="1"/>
  <c r="AF1" i="5"/>
  <c r="AF2" i="5"/>
  <c r="AE27" i="5"/>
  <c r="AE33" i="5"/>
  <c r="AE35" i="5" s="1"/>
  <c r="D43" i="4"/>
  <c r="A42" i="4"/>
  <c r="CI58" i="5"/>
  <c r="CI59" i="5"/>
  <c r="L47" i="9"/>
  <c r="J47" i="9"/>
  <c r="AE44" i="5" a="1"/>
  <c r="AE44" i="5" s="1"/>
  <c r="CC44" i="5" s="1"/>
  <c r="J48" i="9" l="1"/>
  <c r="R48" i="9"/>
  <c r="AF44" i="5" a="1"/>
  <c r="AF44" i="5" s="1"/>
  <c r="AE43" i="5" a="1"/>
  <c r="AE43" i="5" s="1"/>
  <c r="AE55" i="5" s="1"/>
  <c r="N47" i="9"/>
  <c r="F48" i="9"/>
  <c r="M48" i="9"/>
  <c r="D49" i="9"/>
  <c r="E49" i="9"/>
  <c r="H49" i="9"/>
  <c r="I49" i="9"/>
  <c r="P49" i="9"/>
  <c r="Q49" i="9"/>
  <c r="W49" i="9"/>
  <c r="Y49" i="9" a="1"/>
  <c r="Y49" i="9" s="1"/>
  <c r="C50" i="9"/>
  <c r="Z43" i="10"/>
  <c r="Z47" i="10"/>
  <c r="Z48" i="10"/>
  <c r="Y49" i="10"/>
  <c r="AE49" i="10"/>
  <c r="F12" i="10"/>
  <c r="H49" i="10"/>
  <c r="K49" i="10"/>
  <c r="M49" i="10" a="1"/>
  <c r="M49" i="10" s="1"/>
  <c r="C50" i="10"/>
  <c r="AI9" i="5"/>
  <c r="AH45" i="5"/>
  <c r="AH61" i="5"/>
  <c r="AH117" i="5"/>
  <c r="AH1" i="5"/>
  <c r="AH2" i="5"/>
  <c r="AF27" i="5"/>
  <c r="AF33" i="5"/>
  <c r="AF35" i="5" s="1"/>
  <c r="CB84" i="5"/>
  <c r="CB85" i="5"/>
  <c r="CB83" i="5"/>
  <c r="CB76" i="5"/>
  <c r="CB78" i="5"/>
  <c r="CB77" i="5"/>
  <c r="CB71" i="5"/>
  <c r="CB87" i="5"/>
  <c r="CB94" i="5"/>
  <c r="CB91" i="5"/>
  <c r="CB75" i="5"/>
  <c r="CB86" i="5"/>
  <c r="CB92" i="5"/>
  <c r="CB107" i="5"/>
  <c r="CB106" i="5"/>
  <c r="CB93" i="5"/>
  <c r="CB72" i="5"/>
  <c r="CB70" i="5"/>
  <c r="CB89" i="5"/>
  <c r="CB105" i="5"/>
  <c r="CB96" i="5"/>
  <c r="CB104" i="5"/>
  <c r="CB109" i="5" s="1"/>
  <c r="CB74" i="5"/>
  <c r="CB88" i="5"/>
  <c r="CB73" i="5"/>
  <c r="CB90" i="5"/>
  <c r="CB97" i="5"/>
  <c r="CB95" i="5"/>
  <c r="CB45" i="5"/>
  <c r="D44" i="4"/>
  <c r="A43" i="4"/>
  <c r="CJ58" i="5"/>
  <c r="CJ59" i="5"/>
  <c r="L48" i="9"/>
  <c r="AE67" i="5" l="1"/>
  <c r="AE101" i="5" s="1"/>
  <c r="AE111" i="5" s="1"/>
  <c r="F47" i="29" s="1"/>
  <c r="F37" i="29"/>
  <c r="AF43" i="5" a="1"/>
  <c r="AF43" i="5" s="1"/>
  <c r="AF55" i="5" s="1"/>
  <c r="AF67" i="5" s="1"/>
  <c r="AF101" i="5" s="1"/>
  <c r="AF111" i="5" s="1"/>
  <c r="N48" i="9"/>
  <c r="L49" i="9"/>
  <c r="F49" i="9"/>
  <c r="M49" i="9"/>
  <c r="J49" i="9"/>
  <c r="R49" i="9"/>
  <c r="D50" i="9"/>
  <c r="E50" i="9"/>
  <c r="H50" i="9"/>
  <c r="I50" i="9"/>
  <c r="J50" i="9" s="1"/>
  <c r="P50" i="9"/>
  <c r="Q50" i="9"/>
  <c r="R50" i="9" s="1"/>
  <c r="W50" i="9"/>
  <c r="Y50" i="9" a="1"/>
  <c r="Y50" i="9" s="1"/>
  <c r="C51" i="9"/>
  <c r="Z42" i="10"/>
  <c r="Z41" i="10"/>
  <c r="Z40" i="10"/>
  <c r="Z38" i="10"/>
  <c r="Z39" i="10"/>
  <c r="Z37" i="10"/>
  <c r="Z35" i="10"/>
  <c r="Z36" i="10"/>
  <c r="Z34" i="10"/>
  <c r="Z33" i="10"/>
  <c r="Z32" i="10"/>
  <c r="Z31" i="10"/>
  <c r="Z30" i="10"/>
  <c r="Z29" i="10"/>
  <c r="Z28" i="10"/>
  <c r="Z26" i="10"/>
  <c r="Z27" i="10"/>
  <c r="Z25" i="10"/>
  <c r="Z23" i="10"/>
  <c r="Z24" i="10"/>
  <c r="Z22" i="10"/>
  <c r="Z21" i="10"/>
  <c r="Z19" i="10"/>
  <c r="Z20" i="10"/>
  <c r="Z49" i="10"/>
  <c r="AF44" i="10"/>
  <c r="AF46" i="10"/>
  <c r="AF42" i="10"/>
  <c r="AF41" i="10"/>
  <c r="AF40" i="10"/>
  <c r="AF39" i="10"/>
  <c r="AF38" i="10"/>
  <c r="AF35" i="10"/>
  <c r="AF37" i="10"/>
  <c r="AF36" i="10"/>
  <c r="AF34" i="10"/>
  <c r="AF33" i="10"/>
  <c r="AF32" i="10"/>
  <c r="AF31" i="10"/>
  <c r="AF30" i="10"/>
  <c r="AF28" i="10"/>
  <c r="AF29" i="10"/>
  <c r="AF27" i="10"/>
  <c r="AF26" i="10"/>
  <c r="AF25" i="10"/>
  <c r="AF23" i="10"/>
  <c r="AF24" i="10"/>
  <c r="AF21" i="10"/>
  <c r="AF22" i="10"/>
  <c r="AF19" i="10"/>
  <c r="AF20" i="10"/>
  <c r="AF49" i="10"/>
  <c r="H50" i="10"/>
  <c r="K50" i="10"/>
  <c r="M50" i="10" a="1"/>
  <c r="M50" i="10" s="1"/>
  <c r="C51" i="10"/>
  <c r="AJ9" i="5"/>
  <c r="AI45" i="5"/>
  <c r="AI116" i="5" s="1"/>
  <c r="AI118" i="5" s="1"/>
  <c r="AI117" i="5"/>
  <c r="AI61" i="5"/>
  <c r="AI1" i="5"/>
  <c r="AI2" i="5"/>
  <c r="AH116" i="5"/>
  <c r="D45" i="4"/>
  <c r="A44" i="4"/>
  <c r="AF43" i="10"/>
  <c r="AH25" i="5" a="1"/>
  <c r="AH25" i="5" s="1"/>
  <c r="AH29" i="5" a="1"/>
  <c r="AH29" i="5" s="1"/>
  <c r="AH31" i="5" s="1"/>
  <c r="AH38" i="5" a="1"/>
  <c r="AH38" i="5" s="1"/>
  <c r="AH40" i="5" s="1"/>
  <c r="AH44" i="5" s="1"/>
  <c r="CB99" i="5"/>
  <c r="CB80" i="5"/>
  <c r="Z44" i="10"/>
  <c r="AF47" i="10"/>
  <c r="AF48" i="10"/>
  <c r="Z46" i="10"/>
  <c r="N49" i="9" l="1"/>
  <c r="F50" i="9"/>
  <c r="M50" i="9"/>
  <c r="D51" i="9"/>
  <c r="E51" i="9"/>
  <c r="H51" i="9"/>
  <c r="AJ29" i="5" s="1" a="1"/>
  <c r="AJ29" i="5" s="1"/>
  <c r="AJ31" i="5" s="1"/>
  <c r="I51" i="9"/>
  <c r="P51" i="9"/>
  <c r="AJ38" i="5" s="1" a="1"/>
  <c r="AJ38" i="5" s="1"/>
  <c r="AJ40" i="5" s="1"/>
  <c r="AJ44" i="5" s="1"/>
  <c r="Q51" i="9"/>
  <c r="R51" i="9" s="1"/>
  <c r="W51" i="9"/>
  <c r="Y51" i="9" a="1"/>
  <c r="Y51" i="9" s="1"/>
  <c r="C52" i="9"/>
  <c r="H51" i="10"/>
  <c r="K51" i="10"/>
  <c r="M51" i="10" a="1"/>
  <c r="M51" i="10" s="1"/>
  <c r="C52" i="10"/>
  <c r="AK9" i="5"/>
  <c r="AJ25" i="5" a="1"/>
  <c r="AJ25" i="5" s="1"/>
  <c r="AJ45" i="5"/>
  <c r="AJ116" i="5" s="1"/>
  <c r="AJ118" i="5" s="1"/>
  <c r="AJ117" i="5"/>
  <c r="AJ61" i="5"/>
  <c r="AJ1" i="5"/>
  <c r="AJ2" i="5"/>
  <c r="AH118" i="5"/>
  <c r="D46" i="4"/>
  <c r="A45" i="4"/>
  <c r="AH33" i="5"/>
  <c r="AH35" i="5" s="1"/>
  <c r="AH27" i="5"/>
  <c r="AI25" i="5" a="1"/>
  <c r="AI25" i="5" s="1"/>
  <c r="AI29" i="5" a="1"/>
  <c r="AI29" i="5" s="1"/>
  <c r="AI31" i="5" s="1"/>
  <c r="AI38" i="5" a="1"/>
  <c r="AI38" i="5" s="1"/>
  <c r="AI40" i="5" s="1"/>
  <c r="AI44" i="5" s="1"/>
  <c r="L50" i="9"/>
  <c r="F51" i="9" l="1"/>
  <c r="M51" i="9"/>
  <c r="J51" i="9"/>
  <c r="D52" i="9"/>
  <c r="AK25" i="5" s="1" a="1"/>
  <c r="AK25" i="5" s="1"/>
  <c r="E52" i="9"/>
  <c r="H52" i="9"/>
  <c r="I52" i="9"/>
  <c r="P52" i="9"/>
  <c r="Q52" i="9"/>
  <c r="R52" i="9" s="1"/>
  <c r="W52" i="9"/>
  <c r="Y52" i="9" a="1"/>
  <c r="Y52" i="9" s="1"/>
  <c r="C53" i="9"/>
  <c r="H52" i="10"/>
  <c r="K52" i="10"/>
  <c r="M52" i="10" a="1"/>
  <c r="M52" i="10" s="1"/>
  <c r="C53" i="10"/>
  <c r="AL9" i="5"/>
  <c r="AK45" i="5"/>
  <c r="AK116" i="5" s="1"/>
  <c r="AK117" i="5"/>
  <c r="AK61" i="5"/>
  <c r="AK1" i="5"/>
  <c r="AK2" i="5"/>
  <c r="AJ27" i="5"/>
  <c r="AJ33" i="5"/>
  <c r="AJ35" i="5" s="1"/>
  <c r="D47" i="4"/>
  <c r="A46" i="4"/>
  <c r="AI33" i="5"/>
  <c r="AI35" i="5" s="1"/>
  <c r="AI27" i="5"/>
  <c r="N50" i="9"/>
  <c r="L51" i="9"/>
  <c r="J52" i="9" l="1"/>
  <c r="L52" i="9"/>
  <c r="F52" i="9"/>
  <c r="M52" i="9"/>
  <c r="D53" i="9"/>
  <c r="E53" i="9"/>
  <c r="H53" i="9"/>
  <c r="I53" i="9"/>
  <c r="P53" i="9"/>
  <c r="AL38" i="5" s="1" a="1"/>
  <c r="AL38" i="5" s="1"/>
  <c r="AL40" i="5" s="1"/>
  <c r="AL44" i="5" s="1"/>
  <c r="Q53" i="9"/>
  <c r="W53" i="9"/>
  <c r="Y53" i="9" a="1"/>
  <c r="Y53" i="9" s="1"/>
  <c r="C54" i="9"/>
  <c r="H53" i="10"/>
  <c r="K53" i="10"/>
  <c r="M53" i="10" a="1"/>
  <c r="M53" i="10" s="1"/>
  <c r="C54" i="10"/>
  <c r="AM9" i="5"/>
  <c r="AL25" i="5" a="1"/>
  <c r="AL25" i="5" s="1"/>
  <c r="AL29" i="5" a="1"/>
  <c r="AL29" i="5" s="1"/>
  <c r="AL31" i="5" s="1"/>
  <c r="AL45" i="5"/>
  <c r="AL117" i="5"/>
  <c r="AL61" i="5"/>
  <c r="AL1" i="5"/>
  <c r="AL2" i="5"/>
  <c r="AK27" i="5"/>
  <c r="AK118" i="5"/>
  <c r="D48" i="4"/>
  <c r="A47" i="4"/>
  <c r="AK29" i="5" a="1"/>
  <c r="AK29" i="5" s="1"/>
  <c r="AK31" i="5" s="1"/>
  <c r="AK38" i="5" a="1"/>
  <c r="AK38" i="5" s="1"/>
  <c r="AK40" i="5" s="1"/>
  <c r="AK44" i="5" s="1"/>
  <c r="N51" i="9"/>
  <c r="J53" i="9" l="1"/>
  <c r="R53" i="9"/>
  <c r="N52" i="9"/>
  <c r="F53" i="9"/>
  <c r="M53" i="9"/>
  <c r="D54" i="9"/>
  <c r="AM25" i="5" s="1" a="1"/>
  <c r="AM25" i="5" s="1"/>
  <c r="E54" i="9"/>
  <c r="H54" i="9"/>
  <c r="AM29" i="5" s="1" a="1"/>
  <c r="AM29" i="5" s="1"/>
  <c r="AM31" i="5" s="1"/>
  <c r="I54" i="9"/>
  <c r="P54" i="9"/>
  <c r="AM38" i="5" s="1" a="1"/>
  <c r="AM38" i="5" s="1"/>
  <c r="AM40" i="5" s="1"/>
  <c r="AM44" i="5" s="1"/>
  <c r="Q54" i="9"/>
  <c r="R54" i="9" s="1"/>
  <c r="W54" i="9"/>
  <c r="Y54" i="9" a="1"/>
  <c r="Y54" i="9" s="1"/>
  <c r="C55" i="9"/>
  <c r="H54" i="10"/>
  <c r="K54" i="10"/>
  <c r="M54" i="10" a="1"/>
  <c r="M54" i="10" s="1"/>
  <c r="C55" i="10"/>
  <c r="AN9" i="5"/>
  <c r="AM45" i="5"/>
  <c r="AM116" i="5" s="1"/>
  <c r="AM118" i="5" s="1"/>
  <c r="AM61" i="5"/>
  <c r="AM117" i="5"/>
  <c r="AM1" i="5"/>
  <c r="AM2" i="5"/>
  <c r="AL27" i="5"/>
  <c r="AL33" i="5"/>
  <c r="AL35" i="5" s="1"/>
  <c r="AL116" i="5"/>
  <c r="D49" i="4"/>
  <c r="A48" i="4"/>
  <c r="AK33" i="5"/>
  <c r="AK35" i="5" s="1"/>
  <c r="L53" i="9"/>
  <c r="L54" i="9" l="1"/>
  <c r="F54" i="9"/>
  <c r="M54" i="9"/>
  <c r="J54" i="9"/>
  <c r="D55" i="9"/>
  <c r="AN25" i="5" s="1" a="1"/>
  <c r="AN25" i="5" s="1"/>
  <c r="E55" i="9"/>
  <c r="H55" i="9"/>
  <c r="AN29" i="5" s="1" a="1"/>
  <c r="AN29" i="5" s="1"/>
  <c r="I55" i="9"/>
  <c r="P55" i="9"/>
  <c r="AN38" i="5" s="1" a="1"/>
  <c r="AN38" i="5" s="1"/>
  <c r="Q55" i="9"/>
  <c r="W55" i="9"/>
  <c r="Y55" i="9" a="1"/>
  <c r="Y55" i="9" s="1"/>
  <c r="C56" i="9"/>
  <c r="H55" i="10"/>
  <c r="K55" i="10"/>
  <c r="M55" i="10" a="1"/>
  <c r="M55" i="10" s="1"/>
  <c r="C56" i="10"/>
  <c r="AO9" i="5"/>
  <c r="AN45" i="5"/>
  <c r="AN116" i="5" s="1"/>
  <c r="AN117" i="5"/>
  <c r="AN61" i="5"/>
  <c r="AN1" i="5"/>
  <c r="AN2" i="5"/>
  <c r="AM27" i="5"/>
  <c r="AM33" i="5"/>
  <c r="AM35" i="5" s="1"/>
  <c r="AL118" i="5"/>
  <c r="D50" i="4"/>
  <c r="A49" i="4"/>
  <c r="N53" i="9"/>
  <c r="R55" i="9" l="1"/>
  <c r="J55" i="9"/>
  <c r="N54" i="9"/>
  <c r="L55" i="9"/>
  <c r="F55" i="9"/>
  <c r="M55" i="9"/>
  <c r="D56" i="9"/>
  <c r="AO25" i="5" s="1" a="1"/>
  <c r="AO25" i="5" s="1"/>
  <c r="E56" i="9"/>
  <c r="H56" i="9"/>
  <c r="I56" i="9"/>
  <c r="P56" i="9"/>
  <c r="AO38" i="5" s="1" a="1"/>
  <c r="AO38" i="5" s="1"/>
  <c r="Q56" i="9"/>
  <c r="W56" i="9"/>
  <c r="Y56" i="9" a="1"/>
  <c r="Y56" i="9" s="1"/>
  <c r="C57" i="9"/>
  <c r="H56" i="10"/>
  <c r="K56" i="10"/>
  <c r="M56" i="10" a="1"/>
  <c r="M56" i="10" s="1"/>
  <c r="C57" i="10"/>
  <c r="AP9" i="5"/>
  <c r="AO45" i="5"/>
  <c r="AO117" i="5"/>
  <c r="AO61" i="5"/>
  <c r="AO1" i="5"/>
  <c r="AO2" i="5"/>
  <c r="AN26" i="5"/>
  <c r="AN33" i="5"/>
  <c r="D51" i="4"/>
  <c r="A50" i="4"/>
  <c r="AN118" i="5"/>
  <c r="R56" i="9" l="1"/>
  <c r="J56" i="9"/>
  <c r="N55" i="9"/>
  <c r="F56" i="9"/>
  <c r="M56" i="9"/>
  <c r="D57" i="9"/>
  <c r="AP25" i="5" s="1" a="1"/>
  <c r="AP25" i="5" s="1"/>
  <c r="E57" i="9"/>
  <c r="H57" i="9"/>
  <c r="I57" i="9"/>
  <c r="P57" i="9"/>
  <c r="Q57" i="9"/>
  <c r="R57" i="9" s="1"/>
  <c r="W57" i="9"/>
  <c r="Y57" i="9" a="1"/>
  <c r="Y57" i="9" s="1"/>
  <c r="C58" i="9"/>
  <c r="H57" i="10"/>
  <c r="K57" i="10"/>
  <c r="M57" i="10" a="1"/>
  <c r="M57" i="10" s="1"/>
  <c r="C58" i="10"/>
  <c r="AQ9" i="5"/>
  <c r="AP45" i="5"/>
  <c r="AP116" i="5" s="1"/>
  <c r="AP117" i="5"/>
  <c r="AP61" i="5"/>
  <c r="AP1" i="5"/>
  <c r="AP2" i="5"/>
  <c r="AO116" i="5"/>
  <c r="D52" i="4"/>
  <c r="A51" i="4"/>
  <c r="L56" i="9"/>
  <c r="AO29" i="5" a="1"/>
  <c r="AO29" i="5" s="1"/>
  <c r="AO33" i="5" s="1"/>
  <c r="J57" i="9" l="1"/>
  <c r="F57" i="9"/>
  <c r="M57" i="9"/>
  <c r="D58" i="9"/>
  <c r="AQ25" i="5" s="1" a="1"/>
  <c r="AQ25" i="5" s="1"/>
  <c r="E58" i="9"/>
  <c r="H58" i="9"/>
  <c r="AQ29" i="5" s="1" a="1"/>
  <c r="AQ29" i="5" s="1"/>
  <c r="I58" i="9"/>
  <c r="P58" i="9"/>
  <c r="AQ38" i="5" s="1" a="1"/>
  <c r="AQ38" i="5" s="1"/>
  <c r="Q58" i="9"/>
  <c r="R58" i="9" s="1"/>
  <c r="W58" i="9"/>
  <c r="Y58" i="9" a="1"/>
  <c r="Y58" i="9" s="1"/>
  <c r="C59" i="9"/>
  <c r="H58" i="10"/>
  <c r="K58" i="10"/>
  <c r="M58" i="10" a="1"/>
  <c r="M58" i="10" s="1"/>
  <c r="C59" i="10"/>
  <c r="AR9" i="5"/>
  <c r="AQ45" i="5"/>
  <c r="AQ61" i="5"/>
  <c r="AQ117" i="5"/>
  <c r="AQ1" i="5"/>
  <c r="AQ2" i="5"/>
  <c r="AO118" i="5"/>
  <c r="D53" i="4"/>
  <c r="A52" i="4"/>
  <c r="N56" i="9"/>
  <c r="L57" i="9"/>
  <c r="AP29" i="5" a="1"/>
  <c r="AP29" i="5" s="1"/>
  <c r="AP33" i="5" s="1"/>
  <c r="AP38" i="5" a="1"/>
  <c r="AP38" i="5" s="1"/>
  <c r="AP118" i="5"/>
  <c r="J58" i="9" l="1"/>
  <c r="F58" i="9"/>
  <c r="M58" i="9"/>
  <c r="D59" i="9"/>
  <c r="AR25" i="5" s="1" a="1"/>
  <c r="AR25" i="5" s="1"/>
  <c r="E59" i="9"/>
  <c r="H59" i="9"/>
  <c r="I59" i="9"/>
  <c r="J59" i="9" s="1"/>
  <c r="P59" i="9"/>
  <c r="Q59" i="9"/>
  <c r="R59" i="9" s="1"/>
  <c r="W59" i="9"/>
  <c r="Y59" i="9" a="1"/>
  <c r="Y59" i="9" s="1"/>
  <c r="C60" i="9"/>
  <c r="H59" i="10"/>
  <c r="K59" i="10"/>
  <c r="M59" i="10" a="1"/>
  <c r="M59" i="10" s="1"/>
  <c r="C60" i="10"/>
  <c r="AS9" i="5"/>
  <c r="AR45" i="5"/>
  <c r="AR116" i="5" s="1"/>
  <c r="AR117" i="5"/>
  <c r="AR61" i="5"/>
  <c r="AR1" i="5"/>
  <c r="AR2" i="5"/>
  <c r="AQ116" i="5"/>
  <c r="D54" i="4"/>
  <c r="A53" i="4"/>
  <c r="N57" i="9"/>
  <c r="L58" i="9"/>
  <c r="AQ33" i="5"/>
  <c r="F59" i="9" l="1"/>
  <c r="M59" i="9"/>
  <c r="D60" i="9"/>
  <c r="AS25" i="5" s="1" a="1"/>
  <c r="AS25" i="5" s="1"/>
  <c r="E60" i="9"/>
  <c r="H60" i="9"/>
  <c r="AS29" i="5" s="1" a="1"/>
  <c r="AS29" i="5" s="1"/>
  <c r="I60" i="9"/>
  <c r="J60" i="9" s="1"/>
  <c r="P60" i="9"/>
  <c r="Q60" i="9"/>
  <c r="W60" i="9"/>
  <c r="Y60" i="9" a="1"/>
  <c r="Y60" i="9" s="1"/>
  <c r="C61" i="9"/>
  <c r="H60" i="10"/>
  <c r="K60" i="10"/>
  <c r="M60" i="10" a="1"/>
  <c r="M60" i="10" s="1"/>
  <c r="C61" i="10"/>
  <c r="AT9" i="5"/>
  <c r="AS45" i="5"/>
  <c r="AS117" i="5"/>
  <c r="CD117" i="5" s="1"/>
  <c r="AS61" i="5"/>
  <c r="CD61" i="5" s="1"/>
  <c r="AS1" i="5"/>
  <c r="AS2" i="5"/>
  <c r="AQ118" i="5"/>
  <c r="D55" i="4"/>
  <c r="A54" i="4"/>
  <c r="AR29" i="5" a="1"/>
  <c r="AR29" i="5" s="1"/>
  <c r="AR33" i="5" s="1"/>
  <c r="AR38" i="5" a="1"/>
  <c r="AR38" i="5" s="1"/>
  <c r="AR118" i="5"/>
  <c r="N58" i="9"/>
  <c r="L59" i="9"/>
  <c r="F60" i="9" l="1"/>
  <c r="M60" i="9"/>
  <c r="D61" i="9"/>
  <c r="AT25" i="5" s="1" a="1"/>
  <c r="AT25" i="5" s="1"/>
  <c r="E61" i="9"/>
  <c r="H61" i="9"/>
  <c r="AT29" i="5" s="1" a="1"/>
  <c r="AT29" i="5" s="1"/>
  <c r="I61" i="9"/>
  <c r="P61" i="9"/>
  <c r="AT38" i="5" s="1" a="1"/>
  <c r="AT38" i="5" s="1"/>
  <c r="Q61" i="9"/>
  <c r="W61" i="9"/>
  <c r="Y61" i="9" a="1"/>
  <c r="Y61" i="9" s="1"/>
  <c r="C62" i="9"/>
  <c r="H61" i="10"/>
  <c r="K61" i="10"/>
  <c r="M61" i="10" a="1"/>
  <c r="M61" i="10" s="1"/>
  <c r="C62" i="10"/>
  <c r="AU9" i="5"/>
  <c r="AT45" i="5"/>
  <c r="AT117" i="5"/>
  <c r="AT61" i="5"/>
  <c r="AT1" i="5"/>
  <c r="AT2" i="5"/>
  <c r="CD45" i="5"/>
  <c r="AS116" i="5"/>
  <c r="D56" i="4"/>
  <c r="A55" i="4"/>
  <c r="AS33" i="5"/>
  <c r="AS38" i="5" a="1"/>
  <c r="AS38" i="5" s="1"/>
  <c r="N59" i="9"/>
  <c r="L60" i="9"/>
  <c r="R60" i="9"/>
  <c r="L61" i="9" l="1"/>
  <c r="F61" i="9"/>
  <c r="M61" i="9"/>
  <c r="J61" i="9"/>
  <c r="R61" i="9"/>
  <c r="D62" i="9"/>
  <c r="AU25" i="5" s="1" a="1"/>
  <c r="AU25" i="5" s="1"/>
  <c r="E62" i="9"/>
  <c r="H62" i="9"/>
  <c r="AU29" i="5" s="1" a="1"/>
  <c r="AU29" i="5" s="1"/>
  <c r="I62" i="9"/>
  <c r="J62" i="9" s="1"/>
  <c r="P62" i="9"/>
  <c r="AU38" i="5" s="1" a="1"/>
  <c r="AU38" i="5" s="1"/>
  <c r="Q62" i="9"/>
  <c r="W62" i="9"/>
  <c r="Y62" i="9" a="1"/>
  <c r="Y62" i="9" s="1"/>
  <c r="C63" i="9"/>
  <c r="H62" i="10"/>
  <c r="K62" i="10"/>
  <c r="M62" i="10" a="1"/>
  <c r="M62" i="10" s="1"/>
  <c r="C63" i="10"/>
  <c r="AV9" i="5"/>
  <c r="AU45" i="5"/>
  <c r="AU116" i="5" s="1"/>
  <c r="AU117" i="5"/>
  <c r="AU61" i="5"/>
  <c r="AU1" i="5"/>
  <c r="AU2" i="5"/>
  <c r="AT116" i="5"/>
  <c r="CD116" i="5"/>
  <c r="AS118" i="5"/>
  <c r="CD118" i="5" s="1"/>
  <c r="D57" i="4"/>
  <c r="A56" i="4"/>
  <c r="AT33" i="5"/>
  <c r="N60" i="9"/>
  <c r="R62" i="9" l="1"/>
  <c r="N61" i="9"/>
  <c r="F62" i="9"/>
  <c r="M62" i="9"/>
  <c r="D63" i="9"/>
  <c r="AV25" i="5" s="1" a="1"/>
  <c r="AV25" i="5" s="1"/>
  <c r="E63" i="9"/>
  <c r="H63" i="9"/>
  <c r="I63" i="9"/>
  <c r="J63" i="9" s="1"/>
  <c r="P63" i="9"/>
  <c r="Q63" i="9"/>
  <c r="W63" i="9"/>
  <c r="Y63" i="9" a="1"/>
  <c r="Y63" i="9" s="1"/>
  <c r="C64" i="9"/>
  <c r="H63" i="10"/>
  <c r="K63" i="10"/>
  <c r="M63" i="10" a="1"/>
  <c r="M63" i="10" s="1"/>
  <c r="C64" i="10"/>
  <c r="AW9" i="5"/>
  <c r="AV45" i="5"/>
  <c r="AV61" i="5"/>
  <c r="AV117" i="5"/>
  <c r="AV1" i="5"/>
  <c r="AV2" i="5"/>
  <c r="AT118" i="5"/>
  <c r="D58" i="4"/>
  <c r="A57" i="4"/>
  <c r="L62" i="9"/>
  <c r="AU33" i="5"/>
  <c r="AU118" i="5"/>
  <c r="F63" i="9" l="1"/>
  <c r="M63" i="9"/>
  <c r="D64" i="9"/>
  <c r="AW25" i="5" s="1" a="1"/>
  <c r="AW25" i="5" s="1"/>
  <c r="E64" i="9"/>
  <c r="H64" i="9"/>
  <c r="AW29" i="5" s="1" a="1"/>
  <c r="AW29" i="5" s="1"/>
  <c r="I64" i="9"/>
  <c r="J64" i="9" s="1"/>
  <c r="P64" i="9"/>
  <c r="AW38" i="5" s="1" a="1"/>
  <c r="AW38" i="5" s="1"/>
  <c r="Q64" i="9"/>
  <c r="W64" i="9"/>
  <c r="Y64" i="9" a="1"/>
  <c r="Y64" i="9" s="1"/>
  <c r="C65" i="9"/>
  <c r="H64" i="10"/>
  <c r="K64" i="10"/>
  <c r="M64" i="10" a="1"/>
  <c r="M64" i="10" s="1"/>
  <c r="C65" i="10"/>
  <c r="AX9" i="5"/>
  <c r="AW45" i="5"/>
  <c r="AW116" i="5" s="1"/>
  <c r="AW117" i="5"/>
  <c r="AW61" i="5"/>
  <c r="AW1" i="5"/>
  <c r="AW2" i="5"/>
  <c r="AV116" i="5"/>
  <c r="D59" i="4"/>
  <c r="A58" i="4"/>
  <c r="N62" i="9"/>
  <c r="L63" i="9"/>
  <c r="R63" i="9"/>
  <c r="AV29" i="5" a="1"/>
  <c r="AV29" i="5" s="1"/>
  <c r="AV33" i="5" s="1"/>
  <c r="AV38" i="5" a="1"/>
  <c r="AV38" i="5" s="1"/>
  <c r="L64" i="9" l="1"/>
  <c r="F64" i="9"/>
  <c r="M64" i="9"/>
  <c r="R64" i="9"/>
  <c r="D65" i="9"/>
  <c r="E65" i="9"/>
  <c r="H65" i="9"/>
  <c r="I65" i="9"/>
  <c r="P65" i="9"/>
  <c r="Q65" i="9"/>
  <c r="W65" i="9"/>
  <c r="Y65" i="9" a="1"/>
  <c r="Y65" i="9" s="1"/>
  <c r="C66" i="9"/>
  <c r="H65" i="10"/>
  <c r="K65" i="10"/>
  <c r="M65" i="10" a="1"/>
  <c r="M65" i="10" s="1"/>
  <c r="C66" i="10"/>
  <c r="AY9" i="5"/>
  <c r="AX45" i="5"/>
  <c r="AX116" i="5" s="1"/>
  <c r="AX117" i="5"/>
  <c r="AX61" i="5"/>
  <c r="AX1" i="5"/>
  <c r="AX2" i="5"/>
  <c r="AV118" i="5"/>
  <c r="D60" i="4"/>
  <c r="A59" i="4"/>
  <c r="N63" i="9"/>
  <c r="AW33" i="5"/>
  <c r="AW118" i="5"/>
  <c r="N64" i="9" l="1"/>
  <c r="F65" i="9"/>
  <c r="M65" i="9"/>
  <c r="J65" i="9"/>
  <c r="D66" i="9"/>
  <c r="AY25" i="5" s="1" a="1"/>
  <c r="AY25" i="5" s="1"/>
  <c r="E66" i="9"/>
  <c r="H66" i="9"/>
  <c r="I66" i="9"/>
  <c r="J66" i="9" s="1"/>
  <c r="P66" i="9"/>
  <c r="Q66" i="9"/>
  <c r="W66" i="9"/>
  <c r="Y66" i="9" a="1"/>
  <c r="Y66" i="9" s="1"/>
  <c r="C67" i="9"/>
  <c r="H66" i="10"/>
  <c r="K66" i="10"/>
  <c r="M66" i="10" a="1"/>
  <c r="M66" i="10" s="1"/>
  <c r="C67" i="10"/>
  <c r="AZ9" i="5"/>
  <c r="AY45" i="5"/>
  <c r="AY117" i="5"/>
  <c r="AY61" i="5"/>
  <c r="AY1" i="5"/>
  <c r="AY2" i="5"/>
  <c r="D61" i="4"/>
  <c r="A60" i="4"/>
  <c r="R65" i="9"/>
  <c r="AX29" i="5" a="1"/>
  <c r="AX29" i="5" s="1"/>
  <c r="AX118" i="5"/>
  <c r="AX38" i="5" a="1"/>
  <c r="AX38" i="5" s="1"/>
  <c r="AX25" i="5" a="1"/>
  <c r="AX25" i="5" s="1"/>
  <c r="L65" i="9"/>
  <c r="F66" i="9" l="1"/>
  <c r="M66" i="9"/>
  <c r="R66" i="9"/>
  <c r="D67" i="9"/>
  <c r="AZ25" i="5" s="1" a="1"/>
  <c r="AZ25" i="5" s="1"/>
  <c r="E67" i="9"/>
  <c r="H67" i="9"/>
  <c r="AZ29" i="5" s="1" a="1"/>
  <c r="AZ29" i="5" s="1"/>
  <c r="I67" i="9"/>
  <c r="P67" i="9"/>
  <c r="AZ38" i="5" s="1" a="1"/>
  <c r="AZ38" i="5" s="1"/>
  <c r="Q67" i="9"/>
  <c r="W67" i="9"/>
  <c r="Y67" i="9" a="1"/>
  <c r="Y67" i="9" s="1"/>
  <c r="C68" i="9"/>
  <c r="H67" i="10"/>
  <c r="K67" i="10"/>
  <c r="M67" i="10" a="1"/>
  <c r="M67" i="10" s="1"/>
  <c r="C68" i="10"/>
  <c r="BA9" i="5"/>
  <c r="AZ45" i="5"/>
  <c r="AZ116" i="5" s="1"/>
  <c r="AZ118" i="5" s="1"/>
  <c r="AZ117" i="5"/>
  <c r="AZ61" i="5"/>
  <c r="AZ1" i="5"/>
  <c r="AZ2" i="5"/>
  <c r="AY116" i="5"/>
  <c r="A61" i="4"/>
  <c r="L66" i="9"/>
  <c r="AY29" i="5" a="1"/>
  <c r="AY29" i="5" s="1"/>
  <c r="AY33" i="5" s="1"/>
  <c r="AY38" i="5" a="1"/>
  <c r="AY38" i="5" s="1"/>
  <c r="AX33" i="5"/>
  <c r="N65" i="9"/>
  <c r="N66" i="9" l="1"/>
  <c r="D15" i="9"/>
  <c r="H11" i="7" s="1"/>
  <c r="D14" i="9"/>
  <c r="G11" i="7" s="1"/>
  <c r="D12" i="9"/>
  <c r="F11" i="7" s="1"/>
  <c r="L67" i="9"/>
  <c r="E14" i="9"/>
  <c r="E12" i="9"/>
  <c r="F67" i="9"/>
  <c r="M67" i="9"/>
  <c r="H15" i="9"/>
  <c r="H14" i="9"/>
  <c r="H12" i="9"/>
  <c r="F11" i="8" s="1"/>
  <c r="I15" i="9"/>
  <c r="I14" i="9"/>
  <c r="I12" i="9"/>
  <c r="J67" i="9"/>
  <c r="P15" i="9"/>
  <c r="P14" i="9"/>
  <c r="P12" i="9"/>
  <c r="CC38" i="5" s="1"/>
  <c r="CC40" i="5" s="1"/>
  <c r="Q14" i="9"/>
  <c r="R14" i="9" s="1"/>
  <c r="Q12" i="9"/>
  <c r="R12" i="9" s="1"/>
  <c r="R67" i="9"/>
  <c r="M11" i="9"/>
  <c r="L11" i="9"/>
  <c r="E29" i="29" s="1"/>
  <c r="I11" i="9"/>
  <c r="D11" i="9"/>
  <c r="E11" i="7" s="1"/>
  <c r="I10" i="9"/>
  <c r="D10" i="9"/>
  <c r="D11" i="7" s="1"/>
  <c r="U11" i="9"/>
  <c r="U10" i="9"/>
  <c r="P11" i="9"/>
  <c r="CB38" i="5" s="1"/>
  <c r="CB40" i="5" s="1"/>
  <c r="P10" i="9"/>
  <c r="CA38" i="5" s="1"/>
  <c r="CA40" i="5" s="1"/>
  <c r="H11" i="9"/>
  <c r="E11" i="8" s="1"/>
  <c r="H10" i="9"/>
  <c r="D11" i="8" s="1"/>
  <c r="Q11" i="9"/>
  <c r="E10" i="9"/>
  <c r="Q10" i="9"/>
  <c r="E11" i="9"/>
  <c r="D68" i="9"/>
  <c r="E68" i="9"/>
  <c r="H68" i="9"/>
  <c r="I68" i="9"/>
  <c r="J68" i="9" s="1"/>
  <c r="P68" i="9"/>
  <c r="Q68" i="9"/>
  <c r="R68" i="9" s="1"/>
  <c r="W68" i="9"/>
  <c r="Y68" i="9" a="1"/>
  <c r="Y68" i="9" s="1"/>
  <c r="C69" i="9"/>
  <c r="H15" i="10"/>
  <c r="H14" i="10"/>
  <c r="H12" i="10"/>
  <c r="F10" i="10"/>
  <c r="D11" i="10"/>
  <c r="H11" i="10"/>
  <c r="H10" i="10"/>
  <c r="E10" i="10"/>
  <c r="D10" i="10"/>
  <c r="F11" i="10"/>
  <c r="E11" i="10"/>
  <c r="H68" i="10"/>
  <c r="K68" i="10"/>
  <c r="M68" i="10" a="1"/>
  <c r="M68" i="10" s="1"/>
  <c r="C69" i="10"/>
  <c r="BB9" i="5"/>
  <c r="BA45" i="5"/>
  <c r="BA116" i="5" s="1"/>
  <c r="BA117" i="5"/>
  <c r="BA61" i="5"/>
  <c r="BA1" i="5"/>
  <c r="BA2" i="5"/>
  <c r="AY118" i="5"/>
  <c r="AZ33" i="5"/>
  <c r="E15" i="9"/>
  <c r="Q15" i="9"/>
  <c r="H11" i="8" l="1"/>
  <c r="G11" i="8"/>
  <c r="CE38" i="5"/>
  <c r="CE40" i="5" s="1"/>
  <c r="S26" i="9"/>
  <c r="CD38" i="5"/>
  <c r="CD40" i="5" s="1"/>
  <c r="S25" i="9"/>
  <c r="N11" i="9"/>
  <c r="R15" i="9"/>
  <c r="H12" i="7"/>
  <c r="H29" i="7"/>
  <c r="H32" i="7"/>
  <c r="H30" i="7"/>
  <c r="CE25" i="5"/>
  <c r="H11" i="6"/>
  <c r="H31" i="7"/>
  <c r="H35" i="7"/>
  <c r="H37" i="7"/>
  <c r="H38" i="7"/>
  <c r="H40" i="7"/>
  <c r="H33" i="7"/>
  <c r="H34" i="7"/>
  <c r="H36" i="7"/>
  <c r="G12" i="7"/>
  <c r="G29" i="7"/>
  <c r="G32" i="7"/>
  <c r="G33" i="7"/>
  <c r="G35" i="7"/>
  <c r="G30" i="7"/>
  <c r="G40" i="7"/>
  <c r="CD25" i="5"/>
  <c r="G11" i="6"/>
  <c r="G31" i="7"/>
  <c r="G37" i="7"/>
  <c r="G34" i="7"/>
  <c r="G36" i="7"/>
  <c r="G38" i="7"/>
  <c r="F13" i="7"/>
  <c r="F29" i="7"/>
  <c r="CC25" i="5"/>
  <c r="F11" i="6"/>
  <c r="F40" i="7"/>
  <c r="F56" i="7" s="1"/>
  <c r="L15" i="9"/>
  <c r="L14" i="9"/>
  <c r="L12" i="9"/>
  <c r="F29" i="29" s="1"/>
  <c r="L10" i="9"/>
  <c r="D29" i="29" s="1"/>
  <c r="F14" i="9"/>
  <c r="G16" i="7"/>
  <c r="F12" i="9"/>
  <c r="F16" i="7"/>
  <c r="M15" i="9"/>
  <c r="N15" i="9" s="1"/>
  <c r="M14" i="9"/>
  <c r="N14" i="9" s="1"/>
  <c r="M12" i="9"/>
  <c r="N12" i="9" s="1"/>
  <c r="M10" i="9"/>
  <c r="N10" i="9" s="1"/>
  <c r="N67" i="9"/>
  <c r="H29" i="8"/>
  <c r="H31" i="8"/>
  <c r="H62" i="8" s="1"/>
  <c r="H30" i="8"/>
  <c r="H61" i="8" s="1"/>
  <c r="H12" i="8"/>
  <c r="CE29" i="5"/>
  <c r="H32" i="8"/>
  <c r="H63" i="8" s="1"/>
  <c r="H40" i="8"/>
  <c r="H33" i="8"/>
  <c r="H64" i="8" s="1"/>
  <c r="H34" i="8"/>
  <c r="H65" i="8" s="1"/>
  <c r="H35" i="8"/>
  <c r="H66" i="8" s="1"/>
  <c r="H36" i="8"/>
  <c r="H67" i="8" s="1"/>
  <c r="H37" i="8"/>
  <c r="H68" i="8" s="1"/>
  <c r="H38" i="8"/>
  <c r="H69" i="8" s="1"/>
  <c r="G12" i="8"/>
  <c r="CD29" i="5"/>
  <c r="G32" i="8"/>
  <c r="G63" i="8" s="1"/>
  <c r="G33" i="8"/>
  <c r="G64" i="8" s="1"/>
  <c r="G34" i="8"/>
  <c r="G65" i="8" s="1"/>
  <c r="G35" i="8"/>
  <c r="G66" i="8" s="1"/>
  <c r="G36" i="8"/>
  <c r="G67" i="8" s="1"/>
  <c r="G37" i="8"/>
  <c r="G68" i="8" s="1"/>
  <c r="G29" i="8"/>
  <c r="G30" i="8"/>
  <c r="G61" i="8" s="1"/>
  <c r="G31" i="8"/>
  <c r="G62" i="8" s="1"/>
  <c r="F29" i="8"/>
  <c r="F13" i="8"/>
  <c r="CC29" i="5"/>
  <c r="CC31" i="5" s="1"/>
  <c r="F40" i="8"/>
  <c r="F56" i="8" s="1"/>
  <c r="J15" i="9"/>
  <c r="H16" i="8"/>
  <c r="J14" i="9"/>
  <c r="G16" i="8"/>
  <c r="J12" i="9"/>
  <c r="F16" i="8"/>
  <c r="AN40" i="5"/>
  <c r="AO40" i="5"/>
  <c r="AP40" i="5"/>
  <c r="AQ40" i="5"/>
  <c r="AR40" i="5"/>
  <c r="AS40" i="5"/>
  <c r="J11" i="9"/>
  <c r="E16" i="8"/>
  <c r="E11" i="6"/>
  <c r="E29" i="7"/>
  <c r="E13" i="7"/>
  <c r="CB25" i="5"/>
  <c r="E40" i="7"/>
  <c r="E56" i="7" s="1"/>
  <c r="J10" i="9"/>
  <c r="D16" i="8"/>
  <c r="D40" i="7"/>
  <c r="D56" i="7" s="1"/>
  <c r="D29" i="7"/>
  <c r="D13" i="7"/>
  <c r="D11" i="6"/>
  <c r="CA25" i="5"/>
  <c r="E13" i="8"/>
  <c r="E29" i="8"/>
  <c r="CB29" i="5"/>
  <c r="CB31" i="5" s="1"/>
  <c r="E40" i="8"/>
  <c r="E56" i="8" s="1"/>
  <c r="D29" i="8"/>
  <c r="D13" i="8"/>
  <c r="CA29" i="5"/>
  <c r="CA31" i="5" s="1"/>
  <c r="D40" i="8"/>
  <c r="D56" i="8" s="1"/>
  <c r="F10" i="9"/>
  <c r="D16" i="7"/>
  <c r="E16" i="7"/>
  <c r="F11" i="9"/>
  <c r="F68" i="9"/>
  <c r="M68" i="9"/>
  <c r="D69" i="9"/>
  <c r="E69" i="9"/>
  <c r="H69" i="9"/>
  <c r="I69" i="9"/>
  <c r="P69" i="9"/>
  <c r="Q69" i="9"/>
  <c r="W69" i="9"/>
  <c r="Y69" i="9" a="1"/>
  <c r="Y69" i="9" s="1"/>
  <c r="C70" i="9"/>
  <c r="H69" i="10"/>
  <c r="K69" i="10"/>
  <c r="M69" i="10" a="1"/>
  <c r="M69" i="10" s="1"/>
  <c r="C70" i="10"/>
  <c r="BC9" i="5"/>
  <c r="BB45" i="5"/>
  <c r="BB117" i="5"/>
  <c r="BB61" i="5"/>
  <c r="BB1" i="5"/>
  <c r="BB2" i="5"/>
  <c r="F15" i="9"/>
  <c r="H16" i="7"/>
  <c r="R11" i="9"/>
  <c r="R10" i="9"/>
  <c r="L68" i="9"/>
  <c r="BA25" i="5" a="1"/>
  <c r="BA25" i="5" s="1"/>
  <c r="BA29" i="5" a="1"/>
  <c r="BA29" i="5" s="1"/>
  <c r="BA38" i="5" a="1"/>
  <c r="BA38" i="5" s="1"/>
  <c r="BA118" i="5"/>
  <c r="G38" i="8" l="1"/>
  <c r="G69" i="8" s="1"/>
  <c r="G40" i="8"/>
  <c r="F29" i="6"/>
  <c r="R69" i="9"/>
  <c r="H49" i="7"/>
  <c r="H50" i="7"/>
  <c r="H52" i="7"/>
  <c r="H54" i="7"/>
  <c r="H56" i="7" s="1"/>
  <c r="H98" i="7" s="1"/>
  <c r="CE26" i="5"/>
  <c r="H12" i="6"/>
  <c r="H54" i="6" s="1"/>
  <c r="H51" i="7"/>
  <c r="H43" i="7"/>
  <c r="H44" i="7"/>
  <c r="H45" i="7"/>
  <c r="H46" i="7"/>
  <c r="H47" i="7"/>
  <c r="H48" i="7"/>
  <c r="H29" i="6"/>
  <c r="L29" i="6" s="1"/>
  <c r="H32" i="6"/>
  <c r="L32" i="6" s="1"/>
  <c r="H63" i="7"/>
  <c r="H63" i="6" s="1"/>
  <c r="H61" i="7"/>
  <c r="H61" i="6" s="1"/>
  <c r="H30" i="6"/>
  <c r="L30" i="6" s="1"/>
  <c r="CE27" i="5"/>
  <c r="CE33" i="5"/>
  <c r="H13" i="6"/>
  <c r="H40" i="6"/>
  <c r="H56" i="6" s="1"/>
  <c r="H62" i="7"/>
  <c r="H62" i="6" s="1"/>
  <c r="H31" i="6"/>
  <c r="H66" i="7"/>
  <c r="H66" i="6" s="1"/>
  <c r="H35" i="6"/>
  <c r="L35" i="6" s="1"/>
  <c r="H68" i="7"/>
  <c r="H68" i="6" s="1"/>
  <c r="H37" i="6"/>
  <c r="L37" i="6" s="1"/>
  <c r="H69" i="7"/>
  <c r="H69" i="6" s="1"/>
  <c r="H38" i="6"/>
  <c r="L38" i="6" s="1"/>
  <c r="H64" i="7"/>
  <c r="H64" i="6" s="1"/>
  <c r="H33" i="6"/>
  <c r="L33" i="6" s="1"/>
  <c r="H65" i="7"/>
  <c r="H65" i="6" s="1"/>
  <c r="H34" i="6"/>
  <c r="L34" i="6" s="1"/>
  <c r="H67" i="7"/>
  <c r="H67" i="6" s="1"/>
  <c r="H36" i="6"/>
  <c r="L36" i="6" s="1"/>
  <c r="G44" i="7"/>
  <c r="G45" i="7"/>
  <c r="G48" i="7"/>
  <c r="CD26" i="5"/>
  <c r="G12" i="6"/>
  <c r="G54" i="6" s="1"/>
  <c r="G46" i="7"/>
  <c r="G47" i="7"/>
  <c r="G49" i="7"/>
  <c r="G50" i="7"/>
  <c r="G51" i="7"/>
  <c r="G54" i="7"/>
  <c r="G56" i="7" s="1"/>
  <c r="G98" i="7" s="1"/>
  <c r="G43" i="7"/>
  <c r="G52" i="7"/>
  <c r="G29" i="6"/>
  <c r="K29" i="6" s="1"/>
  <c r="G63" i="7"/>
  <c r="G63" i="6" s="1"/>
  <c r="G32" i="6"/>
  <c r="K32" i="6" s="1"/>
  <c r="G64" i="7"/>
  <c r="G64" i="6" s="1"/>
  <c r="G33" i="6"/>
  <c r="K33" i="6" s="1"/>
  <c r="G35" i="6"/>
  <c r="K35" i="6" s="1"/>
  <c r="G66" i="7"/>
  <c r="G66" i="6" s="1"/>
  <c r="K66" i="6" s="1"/>
  <c r="G61" i="7"/>
  <c r="G61" i="6" s="1"/>
  <c r="G30" i="6"/>
  <c r="K30" i="6" s="1"/>
  <c r="CD27" i="5"/>
  <c r="CD33" i="5"/>
  <c r="G13" i="6"/>
  <c r="G40" i="6"/>
  <c r="G56" i="6" s="1"/>
  <c r="G62" i="7"/>
  <c r="G62" i="6" s="1"/>
  <c r="G31" i="6"/>
  <c r="G68" i="7"/>
  <c r="G68" i="6" s="1"/>
  <c r="K68" i="6" s="1"/>
  <c r="G37" i="6"/>
  <c r="K37" i="6" s="1"/>
  <c r="G65" i="7"/>
  <c r="G65" i="6" s="1"/>
  <c r="G34" i="6"/>
  <c r="K34" i="6" s="1"/>
  <c r="G67" i="7"/>
  <c r="G67" i="6" s="1"/>
  <c r="G36" i="6"/>
  <c r="K36" i="6" s="1"/>
  <c r="G38" i="6"/>
  <c r="K38" i="6" s="1"/>
  <c r="G69" i="7"/>
  <c r="G69" i="6" s="1"/>
  <c r="K69" i="6" s="1"/>
  <c r="CC27" i="5"/>
  <c r="CC33" i="5"/>
  <c r="CC35" i="5" s="1"/>
  <c r="F13" i="6"/>
  <c r="F40" i="6"/>
  <c r="F56" i="6" s="1"/>
  <c r="G22" i="7"/>
  <c r="K60" i="7" s="1"/>
  <c r="G60" i="7" s="1"/>
  <c r="G16" i="6"/>
  <c r="G92" i="7"/>
  <c r="F19" i="7"/>
  <c r="F22" i="7"/>
  <c r="F16" i="6"/>
  <c r="F60" i="7"/>
  <c r="CE30" i="5"/>
  <c r="CE31" i="5" s="1"/>
  <c r="H44" i="8"/>
  <c r="H76" i="8" s="1"/>
  <c r="H45" i="8"/>
  <c r="H77" i="8" s="1"/>
  <c r="H50" i="8"/>
  <c r="H82" i="8" s="1"/>
  <c r="H43" i="8"/>
  <c r="H75" i="8" s="1"/>
  <c r="H46" i="8"/>
  <c r="H78" i="8" s="1"/>
  <c r="H47" i="8"/>
  <c r="H79" i="8" s="1"/>
  <c r="H48" i="8"/>
  <c r="H80" i="8" s="1"/>
  <c r="H49" i="8"/>
  <c r="H81" i="8" s="1"/>
  <c r="H51" i="8"/>
  <c r="H83" i="8" s="1"/>
  <c r="H52" i="8"/>
  <c r="H84" i="8" s="1"/>
  <c r="H54" i="8"/>
  <c r="H56" i="8" s="1"/>
  <c r="H98" i="8" s="1"/>
  <c r="CD30" i="5"/>
  <c r="CD31" i="5" s="1"/>
  <c r="G43" i="8"/>
  <c r="G75" i="8" s="1"/>
  <c r="G46" i="8"/>
  <c r="G78" i="8" s="1"/>
  <c r="G48" i="8"/>
  <c r="G80" i="8" s="1"/>
  <c r="G49" i="8"/>
  <c r="G81" i="8" s="1"/>
  <c r="G44" i="8"/>
  <c r="G76" i="8" s="1"/>
  <c r="G45" i="8"/>
  <c r="G77" i="8" s="1"/>
  <c r="G47" i="8"/>
  <c r="G79" i="8" s="1"/>
  <c r="G50" i="8"/>
  <c r="G82" i="8" s="1"/>
  <c r="G51" i="8"/>
  <c r="G83" i="8" s="1"/>
  <c r="G52" i="8"/>
  <c r="G84" i="8" s="1"/>
  <c r="G54" i="8"/>
  <c r="G56" i="8" s="1"/>
  <c r="G98" i="8" s="1"/>
  <c r="AN31" i="5"/>
  <c r="AN30" i="5" s="1"/>
  <c r="AN34" i="5" s="1"/>
  <c r="AN35" i="5" s="1"/>
  <c r="AO31" i="5"/>
  <c r="AO30" i="5" s="1"/>
  <c r="AP31" i="5"/>
  <c r="AP30" i="5" s="1"/>
  <c r="AQ31" i="5"/>
  <c r="AQ30" i="5" s="1"/>
  <c r="AR31" i="5"/>
  <c r="AR30" i="5" s="1"/>
  <c r="AS31" i="5"/>
  <c r="AS30" i="5" s="1"/>
  <c r="H22" i="8"/>
  <c r="H92" i="8"/>
  <c r="H60" i="8"/>
  <c r="G22" i="8"/>
  <c r="G92" i="8"/>
  <c r="G60" i="8"/>
  <c r="F22" i="8"/>
  <c r="F60" i="8"/>
  <c r="F71" i="8" s="1"/>
  <c r="F19" i="8"/>
  <c r="AN44" i="5"/>
  <c r="AN39" i="5"/>
  <c r="AO44" i="5"/>
  <c r="AO39" i="5"/>
  <c r="AP44" i="5"/>
  <c r="AP39" i="5"/>
  <c r="AQ44" i="5"/>
  <c r="AQ39" i="5"/>
  <c r="AR44" i="5"/>
  <c r="AR39" i="5"/>
  <c r="AS44" i="5"/>
  <c r="AS39" i="5"/>
  <c r="E19" i="8"/>
  <c r="E22" i="8"/>
  <c r="E60" i="8"/>
  <c r="E71" i="8" s="1"/>
  <c r="E40" i="6"/>
  <c r="E56" i="6" s="1"/>
  <c r="E13" i="6"/>
  <c r="CB33" i="5"/>
  <c r="CB35" i="5" s="1"/>
  <c r="E28" i="29" s="1"/>
  <c r="CB27" i="5"/>
  <c r="D22" i="8"/>
  <c r="D60" i="8"/>
  <c r="D71" i="8" s="1"/>
  <c r="D19" i="8"/>
  <c r="D40" i="6"/>
  <c r="D56" i="6" s="1"/>
  <c r="D13" i="6"/>
  <c r="CA33" i="5"/>
  <c r="CA35" i="5" s="1"/>
  <c r="D28" i="29" s="1"/>
  <c r="CA27" i="5"/>
  <c r="D19" i="7"/>
  <c r="D22" i="7"/>
  <c r="D16" i="6"/>
  <c r="D60" i="7"/>
  <c r="E19" i="7"/>
  <c r="E22" i="7"/>
  <c r="E16" i="6"/>
  <c r="E60" i="7"/>
  <c r="F69" i="9"/>
  <c r="M69" i="9"/>
  <c r="D70" i="9"/>
  <c r="E70" i="9"/>
  <c r="H70" i="9"/>
  <c r="I70" i="9"/>
  <c r="P70" i="9"/>
  <c r="Q70" i="9"/>
  <c r="W70" i="9"/>
  <c r="Y70" i="9" a="1"/>
  <c r="Y70" i="9" s="1"/>
  <c r="C71" i="9"/>
  <c r="H70" i="10"/>
  <c r="K70" i="10"/>
  <c r="M70" i="10" a="1"/>
  <c r="M70" i="10" s="1"/>
  <c r="C71" i="10"/>
  <c r="BD9" i="5"/>
  <c r="BC25" i="5" a="1"/>
  <c r="BC25" i="5" s="1"/>
  <c r="BC29" i="5" a="1"/>
  <c r="BC29" i="5" s="1"/>
  <c r="BC38" i="5" a="1"/>
  <c r="BC38" i="5" s="1"/>
  <c r="BC45" i="5"/>
  <c r="BC116" i="5" s="1"/>
  <c r="BC117" i="5"/>
  <c r="BC61" i="5"/>
  <c r="BC1" i="5"/>
  <c r="BC2" i="5"/>
  <c r="BB116" i="5"/>
  <c r="H22" i="7"/>
  <c r="L60" i="7" s="1"/>
  <c r="H16" i="6"/>
  <c r="H92" i="7"/>
  <c r="F98" i="7"/>
  <c r="F98" i="8"/>
  <c r="E98" i="7"/>
  <c r="D98" i="8"/>
  <c r="N68" i="9"/>
  <c r="E29" i="6"/>
  <c r="L69" i="9"/>
  <c r="J69" i="9"/>
  <c r="D29" i="6"/>
  <c r="D98" i="7"/>
  <c r="E98" i="8"/>
  <c r="BB25" i="5" a="1"/>
  <c r="BB25" i="5" s="1"/>
  <c r="BB29" i="5" a="1"/>
  <c r="BB29" i="5" s="1"/>
  <c r="BB38" i="5" a="1"/>
  <c r="BB38" i="5" s="1"/>
  <c r="BA33" i="5"/>
  <c r="J70" i="9" l="1"/>
  <c r="K67" i="6"/>
  <c r="R70" i="9"/>
  <c r="K65" i="6"/>
  <c r="CD34" i="5"/>
  <c r="CD35" i="5" s="1"/>
  <c r="CE34" i="5"/>
  <c r="CE35" i="5" s="1"/>
  <c r="BC33" i="5"/>
  <c r="BB33" i="5"/>
  <c r="H49" i="6"/>
  <c r="L49" i="6" s="1"/>
  <c r="H81" i="7"/>
  <c r="H81" i="6" s="1"/>
  <c r="H50" i="6"/>
  <c r="L50" i="6" s="1"/>
  <c r="H82" i="7"/>
  <c r="H82" i="6" s="1"/>
  <c r="L82" i="6" s="1"/>
  <c r="H84" i="7"/>
  <c r="H84" i="6" s="1"/>
  <c r="H52" i="6"/>
  <c r="L52" i="6" s="1"/>
  <c r="H83" i="7"/>
  <c r="H83" i="6" s="1"/>
  <c r="H51" i="6"/>
  <c r="L51" i="6" s="1"/>
  <c r="H43" i="6"/>
  <c r="L43" i="6" s="1"/>
  <c r="H75" i="7"/>
  <c r="H76" i="7"/>
  <c r="H76" i="6" s="1"/>
  <c r="CE46" i="5" s="1"/>
  <c r="H44" i="6"/>
  <c r="H77" i="7"/>
  <c r="H77" i="6" s="1"/>
  <c r="CE47" i="5" s="1"/>
  <c r="H45" i="6"/>
  <c r="H78" i="7"/>
  <c r="H78" i="6" s="1"/>
  <c r="CE48" i="5" s="1"/>
  <c r="H46" i="6"/>
  <c r="L46" i="6" s="1"/>
  <c r="H47" i="6"/>
  <c r="L47" i="6" s="1"/>
  <c r="H79" i="7"/>
  <c r="H79" i="6" s="1"/>
  <c r="H48" i="6"/>
  <c r="L48" i="6" s="1"/>
  <c r="H80" i="7"/>
  <c r="H80" i="6" s="1"/>
  <c r="L63" i="6"/>
  <c r="L61" i="6"/>
  <c r="H98" i="6"/>
  <c r="H26" i="29"/>
  <c r="L62" i="6"/>
  <c r="L31" i="6"/>
  <c r="L64" i="6"/>
  <c r="G44" i="6"/>
  <c r="G76" i="7"/>
  <c r="G76" i="6" s="1"/>
  <c r="K76" i="6" s="1"/>
  <c r="G45" i="6"/>
  <c r="K45" i="6" s="1"/>
  <c r="G77" i="7"/>
  <c r="G77" i="6" s="1"/>
  <c r="K77" i="6" s="1"/>
  <c r="G48" i="6"/>
  <c r="K48" i="6" s="1"/>
  <c r="G80" i="7"/>
  <c r="G80" i="6" s="1"/>
  <c r="K80" i="6" s="1"/>
  <c r="G78" i="7"/>
  <c r="G78" i="6" s="1"/>
  <c r="G46" i="6"/>
  <c r="K46" i="6" s="1"/>
  <c r="G79" i="7"/>
  <c r="G79" i="6" s="1"/>
  <c r="G47" i="6"/>
  <c r="K47" i="6" s="1"/>
  <c r="G81" i="7"/>
  <c r="G81" i="6" s="1"/>
  <c r="G49" i="6"/>
  <c r="K49" i="6" s="1"/>
  <c r="G82" i="7"/>
  <c r="G82" i="6" s="1"/>
  <c r="G50" i="6"/>
  <c r="K50" i="6" s="1"/>
  <c r="G83" i="7"/>
  <c r="G83" i="6" s="1"/>
  <c r="G51" i="6"/>
  <c r="K51" i="6" s="1"/>
  <c r="G75" i="7"/>
  <c r="G43" i="6"/>
  <c r="K43" i="6" s="1"/>
  <c r="G52" i="6"/>
  <c r="K52" i="6" s="1"/>
  <c r="G84" i="7"/>
  <c r="G84" i="6" s="1"/>
  <c r="K84" i="6" s="1"/>
  <c r="G71" i="7"/>
  <c r="G60" i="6"/>
  <c r="K63" i="6"/>
  <c r="K64" i="6"/>
  <c r="K61" i="6"/>
  <c r="AO27" i="5"/>
  <c r="AO26" i="5" s="1"/>
  <c r="AO34" i="5" s="1"/>
  <c r="AO35" i="5" s="1"/>
  <c r="AP27" i="5"/>
  <c r="AP26" i="5" s="1"/>
  <c r="AP34" i="5" s="1"/>
  <c r="AP35" i="5" s="1"/>
  <c r="AQ27" i="5"/>
  <c r="AQ26" i="5" s="1"/>
  <c r="AQ34" i="5" s="1"/>
  <c r="AQ35" i="5" s="1"/>
  <c r="AR27" i="5"/>
  <c r="AR26" i="5" s="1"/>
  <c r="AR34" i="5" s="1"/>
  <c r="AR35" i="5" s="1"/>
  <c r="AS27" i="5"/>
  <c r="AS26" i="5" s="1"/>
  <c r="AS34" i="5" s="1"/>
  <c r="AS35" i="5" s="1"/>
  <c r="G98" i="6"/>
  <c r="G26" i="29"/>
  <c r="K62" i="6"/>
  <c r="K31" i="6"/>
  <c r="CL35" i="5"/>
  <c r="F28" i="29"/>
  <c r="F98" i="6"/>
  <c r="F26" i="29"/>
  <c r="G22" i="6"/>
  <c r="G92" i="6"/>
  <c r="F25" i="7"/>
  <c r="F19" i="6"/>
  <c r="F22" i="6"/>
  <c r="F71" i="7"/>
  <c r="F60" i="6"/>
  <c r="H85" i="8"/>
  <c r="H87" i="8"/>
  <c r="G85" i="8"/>
  <c r="G87" i="8"/>
  <c r="G27" i="29"/>
  <c r="L60" i="8"/>
  <c r="H71" i="8"/>
  <c r="K60" i="8"/>
  <c r="G71" i="8"/>
  <c r="F72" i="8"/>
  <c r="F90" i="8"/>
  <c r="F25" i="8"/>
  <c r="F97" i="8"/>
  <c r="G42" i="29"/>
  <c r="CD44" i="5"/>
  <c r="E25" i="8"/>
  <c r="E72" i="8"/>
  <c r="E90" i="8"/>
  <c r="E98" i="6"/>
  <c r="E26" i="29"/>
  <c r="D90" i="8"/>
  <c r="D72" i="8"/>
  <c r="D25" i="8"/>
  <c r="D97" i="8"/>
  <c r="D98" i="6"/>
  <c r="D26" i="29"/>
  <c r="D25" i="7"/>
  <c r="D19" i="6"/>
  <c r="D22" i="6"/>
  <c r="D71" i="7"/>
  <c r="D60" i="6"/>
  <c r="E25" i="7"/>
  <c r="E19" i="6"/>
  <c r="E22" i="6"/>
  <c r="E71" i="7"/>
  <c r="E60" i="6"/>
  <c r="F70" i="9"/>
  <c r="M70" i="9"/>
  <c r="D71" i="9"/>
  <c r="BD25" i="5" s="1" a="1"/>
  <c r="BD25" i="5" s="1"/>
  <c r="E71" i="9"/>
  <c r="H71" i="9"/>
  <c r="BD29" i="5" s="1" a="1"/>
  <c r="BD29" i="5" s="1"/>
  <c r="I71" i="9"/>
  <c r="P71" i="9"/>
  <c r="BD38" i="5" s="1" a="1"/>
  <c r="BD38" i="5" s="1"/>
  <c r="Q71" i="9"/>
  <c r="R71" i="9" s="1"/>
  <c r="W71" i="9"/>
  <c r="Y71" i="9" a="1"/>
  <c r="Y71" i="9" s="1"/>
  <c r="C72" i="9"/>
  <c r="H71" i="10"/>
  <c r="K71" i="10"/>
  <c r="M71" i="10" a="1"/>
  <c r="M71" i="10" s="1"/>
  <c r="C72" i="10"/>
  <c r="BE9" i="5"/>
  <c r="BD45" i="5"/>
  <c r="BD116" i="5" s="1"/>
  <c r="BD117" i="5"/>
  <c r="BD61" i="5"/>
  <c r="BD1" i="5"/>
  <c r="BD2" i="5"/>
  <c r="BB118" i="5"/>
  <c r="H22" i="6"/>
  <c r="H92" i="6"/>
  <c r="L66" i="6"/>
  <c r="L68" i="6"/>
  <c r="L69" i="6"/>
  <c r="L65" i="6"/>
  <c r="L67" i="6"/>
  <c r="BC118" i="5"/>
  <c r="N69" i="9"/>
  <c r="L70" i="9"/>
  <c r="H60" i="7"/>
  <c r="L79" i="6" l="1"/>
  <c r="L80" i="6"/>
  <c r="L45" i="6"/>
  <c r="F4" i="1"/>
  <c r="L81" i="6"/>
  <c r="CE49" i="5"/>
  <c r="CE73" i="5" s="1"/>
  <c r="K83" i="6"/>
  <c r="J71" i="9"/>
  <c r="AO36" i="5"/>
  <c r="AO72" i="5" s="1"/>
  <c r="AQ36" i="5"/>
  <c r="AQ72" i="5" s="1"/>
  <c r="AR36" i="5"/>
  <c r="AR72" i="5" s="1"/>
  <c r="AS36" i="5"/>
  <c r="AS72" i="5" s="1"/>
  <c r="N70" i="9"/>
  <c r="AP36" i="5"/>
  <c r="AP72" i="5" s="1"/>
  <c r="L71" i="9"/>
  <c r="AM36" i="5"/>
  <c r="AM72" i="5" s="1"/>
  <c r="AI36" i="5"/>
  <c r="AI72" i="5" s="1"/>
  <c r="AJ36" i="5"/>
  <c r="AJ72" i="5" s="1"/>
  <c r="G28" i="29"/>
  <c r="G31" i="29" s="1"/>
  <c r="C3" i="1"/>
  <c r="AK36" i="5"/>
  <c r="AK72" i="5" s="1"/>
  <c r="AL36" i="5"/>
  <c r="AL72" i="5" s="1"/>
  <c r="AH36" i="5"/>
  <c r="CH72" i="5"/>
  <c r="CI72" i="5" s="1"/>
  <c r="AN36" i="5"/>
  <c r="AN72" i="5" s="1"/>
  <c r="H28" i="29"/>
  <c r="C4" i="1"/>
  <c r="BD33" i="5"/>
  <c r="H75" i="6"/>
  <c r="H85" i="7"/>
  <c r="H85" i="6" s="1"/>
  <c r="H87" i="7"/>
  <c r="L44" i="6"/>
  <c r="E4" i="1"/>
  <c r="CE75" i="5"/>
  <c r="K44" i="6"/>
  <c r="E3" i="1"/>
  <c r="G85" i="7"/>
  <c r="G85" i="6" s="1"/>
  <c r="G87" i="7"/>
  <c r="G75" i="6"/>
  <c r="CD43" i="5" s="1"/>
  <c r="G72" i="7"/>
  <c r="G90" i="7"/>
  <c r="G93" i="7"/>
  <c r="G17" i="7"/>
  <c r="K60" i="6"/>
  <c r="G71" i="6"/>
  <c r="CL84" i="5"/>
  <c r="CL85" i="5"/>
  <c r="F25" i="6"/>
  <c r="F72" i="7"/>
  <c r="F90" i="7"/>
  <c r="F97" i="7" s="1"/>
  <c r="F71" i="6"/>
  <c r="CC43" i="5"/>
  <c r="H88" i="8"/>
  <c r="H18" i="8"/>
  <c r="H24" i="8" s="1"/>
  <c r="G88" i="8"/>
  <c r="G18" i="8"/>
  <c r="G24" i="8" s="1"/>
  <c r="H72" i="8"/>
  <c r="H90" i="8"/>
  <c r="H93" i="8"/>
  <c r="H17" i="8"/>
  <c r="G93" i="8"/>
  <c r="G72" i="8"/>
  <c r="G90" i="8"/>
  <c r="G17" i="8"/>
  <c r="D25" i="6"/>
  <c r="D90" i="7"/>
  <c r="D97" i="7" s="1"/>
  <c r="D72" i="7"/>
  <c r="D71" i="6"/>
  <c r="CA43" i="5"/>
  <c r="E25" i="6"/>
  <c r="E90" i="7"/>
  <c r="E97" i="7" s="1"/>
  <c r="E72" i="7"/>
  <c r="E71" i="6"/>
  <c r="CB43" i="5"/>
  <c r="F71" i="9"/>
  <c r="M71" i="9"/>
  <c r="D72" i="9"/>
  <c r="BE25" i="5" s="1" a="1"/>
  <c r="BE25" i="5" s="1"/>
  <c r="E72" i="9"/>
  <c r="H72" i="9"/>
  <c r="BE29" i="5" s="1" a="1"/>
  <c r="BE29" i="5" s="1"/>
  <c r="I72" i="9"/>
  <c r="P72" i="9"/>
  <c r="BE38" i="5" s="1" a="1"/>
  <c r="BE38" i="5" s="1"/>
  <c r="Q72" i="9"/>
  <c r="W72" i="9"/>
  <c r="Y72" i="9" a="1"/>
  <c r="Y72" i="9" s="1"/>
  <c r="C73" i="9"/>
  <c r="H72" i="10"/>
  <c r="K72" i="10"/>
  <c r="M72" i="10" a="1"/>
  <c r="M72" i="10" s="1"/>
  <c r="C73" i="10"/>
  <c r="BF9" i="5"/>
  <c r="BE45" i="5"/>
  <c r="BE116" i="5" s="1"/>
  <c r="BE61" i="5"/>
  <c r="CE61" i="5" s="1"/>
  <c r="BE117" i="5"/>
  <c r="CE117" i="5" s="1"/>
  <c r="BE1" i="5"/>
  <c r="BE2" i="5"/>
  <c r="H60" i="6"/>
  <c r="H71" i="7"/>
  <c r="L84" i="6"/>
  <c r="L83" i="6"/>
  <c r="L76" i="6"/>
  <c r="L77" i="6"/>
  <c r="L78" i="6"/>
  <c r="K78" i="6"/>
  <c r="K79" i="6"/>
  <c r="K81" i="6"/>
  <c r="K82" i="6"/>
  <c r="CD48" i="5"/>
  <c r="CD49" i="5"/>
  <c r="CD46" i="5"/>
  <c r="E97" i="8"/>
  <c r="CD47" i="5"/>
  <c r="I3" i="1" s="1"/>
  <c r="F3" i="1"/>
  <c r="BD118" i="5"/>
  <c r="CE45" i="5"/>
  <c r="R72" i="9" l="1"/>
  <c r="N71" i="9"/>
  <c r="J72" i="9"/>
  <c r="AH72" i="5"/>
  <c r="AH49" i="5"/>
  <c r="AH59" i="5" s="1"/>
  <c r="AH48" i="5"/>
  <c r="AH46" i="5"/>
  <c r="AH58" i="5" s="1"/>
  <c r="AH43" i="5"/>
  <c r="CJ72" i="5"/>
  <c r="CF72" i="5" s="1"/>
  <c r="CE72" i="5"/>
  <c r="H87" i="6"/>
  <c r="H88" i="6" s="1"/>
  <c r="L75" i="6"/>
  <c r="CE50" i="5"/>
  <c r="L85" i="6"/>
  <c r="H88" i="7"/>
  <c r="H18" i="7"/>
  <c r="K85" i="6"/>
  <c r="CD50" i="5"/>
  <c r="G88" i="7"/>
  <c r="G18" i="7"/>
  <c r="K75" i="6"/>
  <c r="G87" i="6"/>
  <c r="G88" i="6" s="1"/>
  <c r="G19" i="7"/>
  <c r="G23" i="7"/>
  <c r="G17" i="6"/>
  <c r="G72" i="6"/>
  <c r="G90" i="6"/>
  <c r="G93" i="6"/>
  <c r="AS43" i="5"/>
  <c r="AR43" i="5"/>
  <c r="AQ43" i="5"/>
  <c r="AP43" i="5"/>
  <c r="AO43" i="5"/>
  <c r="AN43" i="5"/>
  <c r="AM43" i="5"/>
  <c r="AL43" i="5"/>
  <c r="AK43" i="5"/>
  <c r="AJ43" i="5"/>
  <c r="AI43" i="5"/>
  <c r="CH84" i="5"/>
  <c r="CD84" i="5" s="1"/>
  <c r="CI84" i="5"/>
  <c r="CE84" i="5" s="1"/>
  <c r="CJ84" i="5"/>
  <c r="CF84" i="5" s="1"/>
  <c r="CH85" i="5"/>
  <c r="CD85" i="5" s="1"/>
  <c r="CI85" i="5"/>
  <c r="CE85" i="5" s="1"/>
  <c r="CJ85" i="5"/>
  <c r="CF85" i="5" s="1"/>
  <c r="F90" i="6"/>
  <c r="F97" i="6" s="1"/>
  <c r="F72" i="6"/>
  <c r="CC55" i="5"/>
  <c r="CL63" i="5"/>
  <c r="H19" i="8"/>
  <c r="H23" i="8"/>
  <c r="G19" i="8"/>
  <c r="G23" i="8"/>
  <c r="D72" i="6"/>
  <c r="D90" i="6"/>
  <c r="D97" i="6" s="1"/>
  <c r="E72" i="6"/>
  <c r="E90" i="6"/>
  <c r="E97" i="6" s="1"/>
  <c r="F72" i="9"/>
  <c r="M72" i="9"/>
  <c r="D73" i="9"/>
  <c r="E73" i="9"/>
  <c r="H73" i="9"/>
  <c r="I73" i="9"/>
  <c r="P73" i="9"/>
  <c r="Q73" i="9"/>
  <c r="R73" i="9" s="1"/>
  <c r="W73" i="9"/>
  <c r="Y73" i="9" a="1"/>
  <c r="Y73" i="9" s="1"/>
  <c r="C74" i="9"/>
  <c r="H73" i="10"/>
  <c r="K73" i="10"/>
  <c r="M73" i="10" a="1"/>
  <c r="M73" i="10" s="1"/>
  <c r="C74" i="10"/>
  <c r="BG9" i="5"/>
  <c r="BF25" i="5" a="1"/>
  <c r="BF25" i="5" s="1"/>
  <c r="BF29" i="5" a="1"/>
  <c r="BF29" i="5" s="1"/>
  <c r="BF38" i="5" a="1"/>
  <c r="BF38" i="5" s="1"/>
  <c r="BF45" i="5"/>
  <c r="BF117" i="5"/>
  <c r="BF61" i="5"/>
  <c r="BF1" i="5"/>
  <c r="BF2" i="5"/>
  <c r="CE116" i="5"/>
  <c r="BE118" i="5"/>
  <c r="CE118" i="5" s="1"/>
  <c r="I4" i="1" s="1"/>
  <c r="L60" i="6"/>
  <c r="H71" i="6"/>
  <c r="CE43" i="5"/>
  <c r="H17" i="7"/>
  <c r="H72" i="7"/>
  <c r="H93" i="7"/>
  <c r="H90" i="7"/>
  <c r="AI48" i="5"/>
  <c r="AJ48" i="5"/>
  <c r="AK48" i="5"/>
  <c r="AL48" i="5"/>
  <c r="AM48" i="5"/>
  <c r="AN48" i="5"/>
  <c r="AO48" i="5"/>
  <c r="AP48" i="5"/>
  <c r="AQ48" i="5"/>
  <c r="AR48" i="5"/>
  <c r="AS48" i="5"/>
  <c r="CD73" i="5"/>
  <c r="AI49" i="5"/>
  <c r="AI59" i="5" s="1"/>
  <c r="AJ49" i="5"/>
  <c r="AJ59" i="5" s="1"/>
  <c r="AK49" i="5"/>
  <c r="AK59" i="5" s="1"/>
  <c r="AL49" i="5"/>
  <c r="AL59" i="5" s="1"/>
  <c r="AM49" i="5"/>
  <c r="AM59" i="5" s="1"/>
  <c r="AN49" i="5"/>
  <c r="AN59" i="5" s="1"/>
  <c r="AO49" i="5"/>
  <c r="AO59" i="5" s="1"/>
  <c r="AP49" i="5"/>
  <c r="AP59" i="5" s="1"/>
  <c r="AQ49" i="5"/>
  <c r="AQ59" i="5" s="1"/>
  <c r="AR49" i="5"/>
  <c r="AR59" i="5" s="1"/>
  <c r="AS49" i="5"/>
  <c r="AS59" i="5" s="1"/>
  <c r="H3" i="1"/>
  <c r="CD75" i="5"/>
  <c r="AI46" i="5"/>
  <c r="AI58" i="5" s="1"/>
  <c r="AJ46" i="5"/>
  <c r="AJ58" i="5" s="1"/>
  <c r="AK46" i="5"/>
  <c r="AK58" i="5" s="1"/>
  <c r="AL46" i="5"/>
  <c r="AL58" i="5" s="1"/>
  <c r="AM46" i="5"/>
  <c r="AM58" i="5" s="1"/>
  <c r="AN46" i="5"/>
  <c r="AN58" i="5" s="1"/>
  <c r="AO46" i="5"/>
  <c r="AO58" i="5" s="1"/>
  <c r="AP46" i="5"/>
  <c r="AP58" i="5" s="1"/>
  <c r="AQ46" i="5"/>
  <c r="AQ58" i="5" s="1"/>
  <c r="AR46" i="5"/>
  <c r="AR58" i="5" s="1"/>
  <c r="AS46" i="5"/>
  <c r="AS58" i="5" s="1"/>
  <c r="H4" i="1"/>
  <c r="L72" i="9"/>
  <c r="BE33" i="5"/>
  <c r="L73" i="9" l="1"/>
  <c r="BF33" i="5"/>
  <c r="N72" i="9"/>
  <c r="H24" i="7"/>
  <c r="H18" i="6"/>
  <c r="H24" i="6" s="1"/>
  <c r="AH50" i="5"/>
  <c r="AS50" i="5"/>
  <c r="AR50" i="5"/>
  <c r="AQ50" i="5"/>
  <c r="AP50" i="5"/>
  <c r="AO50" i="5"/>
  <c r="AN50" i="5"/>
  <c r="AM50" i="5"/>
  <c r="AL50" i="5"/>
  <c r="AK50" i="5"/>
  <c r="AJ50" i="5"/>
  <c r="AI50" i="5"/>
  <c r="G24" i="7"/>
  <c r="G18" i="6"/>
  <c r="G24" i="6" s="1"/>
  <c r="G97" i="7"/>
  <c r="G25" i="7"/>
  <c r="G19" i="6"/>
  <c r="G23" i="6"/>
  <c r="AS84" i="5"/>
  <c r="AR84" i="5"/>
  <c r="AQ84" i="5"/>
  <c r="AP84" i="5"/>
  <c r="AO84" i="5"/>
  <c r="AN84" i="5"/>
  <c r="AM84" i="5"/>
  <c r="AI84" i="5"/>
  <c r="AH84" i="5"/>
  <c r="AJ84" i="5"/>
  <c r="AK84" i="5"/>
  <c r="AL84" i="5"/>
  <c r="BE84" i="5"/>
  <c r="BD84" i="5"/>
  <c r="BC84" i="5"/>
  <c r="BB84" i="5"/>
  <c r="BA84" i="5"/>
  <c r="AZ84" i="5"/>
  <c r="AY84" i="5"/>
  <c r="AX84" i="5"/>
  <c r="AT84" i="5"/>
  <c r="AU84" i="5"/>
  <c r="AV84" i="5"/>
  <c r="AW84" i="5"/>
  <c r="BQ84" i="5"/>
  <c r="BP84" i="5"/>
  <c r="BO84" i="5"/>
  <c r="BN84" i="5"/>
  <c r="BM84" i="5"/>
  <c r="BL84" i="5"/>
  <c r="BY84" i="5" s="1"/>
  <c r="BK84" i="5"/>
  <c r="BX84" i="5" s="1"/>
  <c r="BJ84" i="5"/>
  <c r="BW84" i="5" s="1"/>
  <c r="BF84" i="5"/>
  <c r="BS84" i="5" s="1"/>
  <c r="BG84" i="5"/>
  <c r="BT84" i="5" s="1"/>
  <c r="BH84" i="5"/>
  <c r="BU84" i="5" s="1"/>
  <c r="BI84" i="5"/>
  <c r="BV84" i="5" s="1"/>
  <c r="AH85" i="5"/>
  <c r="AI85" i="5"/>
  <c r="AS85" i="5"/>
  <c r="AR85" i="5"/>
  <c r="AQ85" i="5"/>
  <c r="AP85" i="5"/>
  <c r="AO85" i="5"/>
  <c r="AN85" i="5"/>
  <c r="AJ85" i="5"/>
  <c r="AK85" i="5"/>
  <c r="AL85" i="5"/>
  <c r="AM85" i="5"/>
  <c r="CL80" i="5"/>
  <c r="CL72" i="5"/>
  <c r="CL65" i="5"/>
  <c r="CL83" i="5"/>
  <c r="CL94" i="5"/>
  <c r="CL95" i="5"/>
  <c r="CL87" i="5"/>
  <c r="CL86" i="5"/>
  <c r="CL88" i="5"/>
  <c r="CL97" i="5"/>
  <c r="CL93" i="5"/>
  <c r="CL92" i="5"/>
  <c r="CL78" i="5"/>
  <c r="CL91" i="5"/>
  <c r="CL70" i="5"/>
  <c r="CL76" i="5"/>
  <c r="CL89" i="5"/>
  <c r="CL75" i="5"/>
  <c r="CL71" i="5"/>
  <c r="CL74" i="5"/>
  <c r="CL96" i="5"/>
  <c r="F38" i="29"/>
  <c r="CC67" i="5"/>
  <c r="H97" i="8"/>
  <c r="H25" i="8"/>
  <c r="G25" i="8"/>
  <c r="G97" i="8"/>
  <c r="F73" i="9"/>
  <c r="M73" i="9"/>
  <c r="D74" i="9"/>
  <c r="E74" i="9"/>
  <c r="H74" i="9"/>
  <c r="I74" i="9"/>
  <c r="P74" i="9"/>
  <c r="Q74" i="9"/>
  <c r="R74" i="9" s="1"/>
  <c r="W74" i="9"/>
  <c r="Y74" i="9" a="1"/>
  <c r="Y74" i="9" s="1"/>
  <c r="C75" i="9"/>
  <c r="H74" i="10"/>
  <c r="K74" i="10"/>
  <c r="M74" i="10" a="1"/>
  <c r="M74" i="10" s="1"/>
  <c r="C75" i="10"/>
  <c r="BH9" i="5"/>
  <c r="BG25" i="5" a="1"/>
  <c r="BG25" i="5" s="1"/>
  <c r="BG45" i="5"/>
  <c r="BG116" i="5" s="1"/>
  <c r="BG117" i="5"/>
  <c r="BG61" i="5"/>
  <c r="BG1" i="5"/>
  <c r="BG2" i="5"/>
  <c r="BF116" i="5"/>
  <c r="H72" i="6"/>
  <c r="H90" i="6"/>
  <c r="H93" i="6"/>
  <c r="H19" i="7"/>
  <c r="H23" i="7"/>
  <c r="H17" i="6"/>
  <c r="AH73" i="5"/>
  <c r="AI73" i="5"/>
  <c r="AS73" i="5"/>
  <c r="AR73" i="5"/>
  <c r="AQ73" i="5"/>
  <c r="AP73" i="5"/>
  <c r="AO73" i="5"/>
  <c r="AN73" i="5"/>
  <c r="AM73" i="5"/>
  <c r="AL73" i="5"/>
  <c r="AK73" i="5"/>
  <c r="AJ73" i="5"/>
  <c r="AI75" i="5"/>
  <c r="AH75" i="5"/>
  <c r="AS75" i="5"/>
  <c r="AR75" i="5"/>
  <c r="AQ75" i="5"/>
  <c r="AP75" i="5"/>
  <c r="AO75" i="5"/>
  <c r="AN75" i="5"/>
  <c r="AM75" i="5"/>
  <c r="AL75" i="5"/>
  <c r="AK75" i="5"/>
  <c r="AJ75" i="5"/>
  <c r="CD51" i="5"/>
  <c r="CD52" i="5"/>
  <c r="CD53" i="5"/>
  <c r="CD58" i="5"/>
  <c r="CD59" i="5"/>
  <c r="J73" i="9"/>
  <c r="CD55" i="5" l="1"/>
  <c r="G3" i="1"/>
  <c r="J3" i="1" s="1"/>
  <c r="N73" i="9"/>
  <c r="G97" i="6"/>
  <c r="G25" i="6"/>
  <c r="CL67" i="5"/>
  <c r="CC101" i="5"/>
  <c r="F74" i="9"/>
  <c r="M74" i="9"/>
  <c r="D75" i="9"/>
  <c r="BH25" i="5" s="1" a="1"/>
  <c r="BH25" i="5" s="1"/>
  <c r="E75" i="9"/>
  <c r="H75" i="9"/>
  <c r="BH29" i="5" s="1" a="1"/>
  <c r="BH29" i="5" s="1"/>
  <c r="I75" i="9"/>
  <c r="J75" i="9" s="1"/>
  <c r="P75" i="9"/>
  <c r="BH38" i="5" s="1" a="1"/>
  <c r="BH38" i="5" s="1"/>
  <c r="Q75" i="9"/>
  <c r="R75" i="9" s="1"/>
  <c r="W75" i="9"/>
  <c r="Y75" i="9" a="1"/>
  <c r="Y75" i="9" s="1"/>
  <c r="C76" i="9"/>
  <c r="H75" i="10"/>
  <c r="K75" i="10"/>
  <c r="M75" i="10" a="1"/>
  <c r="M75" i="10" s="1"/>
  <c r="C76" i="10"/>
  <c r="BI9" i="5"/>
  <c r="BH45" i="5"/>
  <c r="BH117" i="5"/>
  <c r="BH61" i="5"/>
  <c r="BH1" i="5"/>
  <c r="BH2" i="5"/>
  <c r="BF118" i="5"/>
  <c r="H97" i="7"/>
  <c r="H25" i="7"/>
  <c r="H19" i="6"/>
  <c r="H23" i="6"/>
  <c r="AI51" i="5"/>
  <c r="AJ51" i="5"/>
  <c r="AK51" i="5"/>
  <c r="AL51" i="5"/>
  <c r="AM51" i="5"/>
  <c r="AN51" i="5"/>
  <c r="AO51" i="5"/>
  <c r="AP51" i="5"/>
  <c r="AQ51" i="5"/>
  <c r="AR51" i="5"/>
  <c r="AS51" i="5"/>
  <c r="AH51" i="5"/>
  <c r="AI52" i="5"/>
  <c r="AJ52" i="5"/>
  <c r="AK52" i="5"/>
  <c r="AL52" i="5"/>
  <c r="AM52" i="5"/>
  <c r="AN52" i="5"/>
  <c r="AO52" i="5"/>
  <c r="AP52" i="5"/>
  <c r="AQ52" i="5"/>
  <c r="AR52" i="5"/>
  <c r="AS52" i="5"/>
  <c r="AH52" i="5"/>
  <c r="AI53" i="5"/>
  <c r="AJ53" i="5"/>
  <c r="AK53" i="5"/>
  <c r="AL53" i="5"/>
  <c r="AM53" i="5"/>
  <c r="AN53" i="5"/>
  <c r="AO53" i="5"/>
  <c r="AP53" i="5"/>
  <c r="AQ53" i="5"/>
  <c r="AR53" i="5"/>
  <c r="AS53" i="5"/>
  <c r="AH53" i="5"/>
  <c r="G38" i="29"/>
  <c r="CD97" i="5"/>
  <c r="CD96" i="5"/>
  <c r="CD95" i="5"/>
  <c r="CD94" i="5"/>
  <c r="CD93" i="5"/>
  <c r="CD92" i="5"/>
  <c r="CD91" i="5"/>
  <c r="CD89" i="5"/>
  <c r="CD88" i="5"/>
  <c r="CD87" i="5"/>
  <c r="CD86" i="5"/>
  <c r="CD83" i="5"/>
  <c r="CD78" i="5"/>
  <c r="CD76" i="5"/>
  <c r="CD74" i="5"/>
  <c r="K3" i="1"/>
  <c r="CL99" i="5"/>
  <c r="J74" i="9"/>
  <c r="L74" i="9"/>
  <c r="BG29" i="5" a="1"/>
  <c r="BG29" i="5" s="1"/>
  <c r="BG33" i="5" s="1"/>
  <c r="BG38" i="5" a="1"/>
  <c r="BG38" i="5" s="1"/>
  <c r="BG118" i="5"/>
  <c r="Q3" i="1" l="1"/>
  <c r="D3" i="1"/>
  <c r="AJ55" i="5"/>
  <c r="AJ62" i="5" s="1"/>
  <c r="AJ65" i="5" s="1"/>
  <c r="AJ67" i="5" s="1"/>
  <c r="AK55" i="5"/>
  <c r="AK62" i="5" s="1"/>
  <c r="AK65" i="5" s="1"/>
  <c r="AK67" i="5" s="1"/>
  <c r="AL55" i="5"/>
  <c r="AL62" i="5" s="1"/>
  <c r="AL65" i="5" s="1"/>
  <c r="AL67" i="5" s="1"/>
  <c r="AN55" i="5"/>
  <c r="AN62" i="5" s="1"/>
  <c r="AN65" i="5" s="1"/>
  <c r="AN67" i="5" s="1"/>
  <c r="AS55" i="5"/>
  <c r="AS62" i="5" s="1"/>
  <c r="AS65" i="5" s="1"/>
  <c r="AH55" i="5"/>
  <c r="AH62" i="5" s="1"/>
  <c r="N74" i="9"/>
  <c r="CL101" i="5"/>
  <c r="CL111" i="5" s="1"/>
  <c r="CC111" i="5"/>
  <c r="F75" i="9"/>
  <c r="M75" i="9"/>
  <c r="D76" i="9"/>
  <c r="E76" i="9"/>
  <c r="H76" i="9"/>
  <c r="I76" i="9"/>
  <c r="J76" i="9" s="1"/>
  <c r="P76" i="9"/>
  <c r="Q76" i="9"/>
  <c r="R76" i="9" s="1"/>
  <c r="W76" i="9"/>
  <c r="Y76" i="9" a="1"/>
  <c r="Y76" i="9" s="1"/>
  <c r="C77" i="9"/>
  <c r="H76" i="10"/>
  <c r="K76" i="10"/>
  <c r="M76" i="10" a="1"/>
  <c r="M76" i="10" s="1"/>
  <c r="C77" i="10"/>
  <c r="BJ9" i="5"/>
  <c r="BI25" i="5" a="1"/>
  <c r="BI25" i="5" s="1"/>
  <c r="BI45" i="5"/>
  <c r="BI116" i="5" s="1"/>
  <c r="BI117" i="5"/>
  <c r="BI61" i="5"/>
  <c r="BI1" i="5"/>
  <c r="BI2" i="5"/>
  <c r="BH116" i="5"/>
  <c r="H97" i="6"/>
  <c r="H25" i="6"/>
  <c r="AS97" i="5"/>
  <c r="AR97" i="5"/>
  <c r="AQ97" i="5"/>
  <c r="AP97" i="5"/>
  <c r="AO97" i="5"/>
  <c r="AN97" i="5"/>
  <c r="AM97" i="5"/>
  <c r="AL97" i="5"/>
  <c r="AK97" i="5"/>
  <c r="AJ97" i="5"/>
  <c r="AI97" i="5"/>
  <c r="AH97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S88" i="5"/>
  <c r="AR88" i="5"/>
  <c r="AQ88" i="5"/>
  <c r="AP88" i="5"/>
  <c r="AO88" i="5"/>
  <c r="AN88" i="5"/>
  <c r="AM88" i="5"/>
  <c r="AL88" i="5"/>
  <c r="AK88" i="5"/>
  <c r="AJ88" i="5"/>
  <c r="AH88" i="5"/>
  <c r="AI88" i="5"/>
  <c r="AS87" i="5"/>
  <c r="AR87" i="5"/>
  <c r="AQ87" i="5"/>
  <c r="AP87" i="5"/>
  <c r="AO87" i="5"/>
  <c r="AN87" i="5"/>
  <c r="AM87" i="5"/>
  <c r="AL87" i="5"/>
  <c r="AK87" i="5"/>
  <c r="AJ87" i="5"/>
  <c r="AH87" i="5"/>
  <c r="AI87" i="5"/>
  <c r="AS86" i="5"/>
  <c r="AR86" i="5"/>
  <c r="AQ86" i="5"/>
  <c r="AP86" i="5"/>
  <c r="AO86" i="5"/>
  <c r="AN86" i="5"/>
  <c r="AM86" i="5"/>
  <c r="AL86" i="5"/>
  <c r="AK86" i="5"/>
  <c r="AJ86" i="5"/>
  <c r="AH86" i="5"/>
  <c r="AI86" i="5"/>
  <c r="AS83" i="5"/>
  <c r="AR83" i="5"/>
  <c r="AQ83" i="5"/>
  <c r="AP83" i="5"/>
  <c r="AO83" i="5"/>
  <c r="AN83" i="5"/>
  <c r="AM83" i="5"/>
  <c r="AL83" i="5"/>
  <c r="AK83" i="5"/>
  <c r="AJ83" i="5"/>
  <c r="CD99" i="5"/>
  <c r="AH83" i="5"/>
  <c r="AI83" i="5"/>
  <c r="AI78" i="5"/>
  <c r="AH78" i="5"/>
  <c r="AS78" i="5"/>
  <c r="AR78" i="5"/>
  <c r="AQ78" i="5"/>
  <c r="AP78" i="5"/>
  <c r="AO78" i="5"/>
  <c r="AN78" i="5"/>
  <c r="AM78" i="5"/>
  <c r="AL78" i="5"/>
  <c r="AK78" i="5"/>
  <c r="AJ78" i="5"/>
  <c r="AI76" i="5"/>
  <c r="AH76" i="5"/>
  <c r="AS76" i="5"/>
  <c r="AR76" i="5"/>
  <c r="AQ76" i="5"/>
  <c r="AP76" i="5"/>
  <c r="AO76" i="5"/>
  <c r="AN76" i="5"/>
  <c r="AM76" i="5"/>
  <c r="AL76" i="5"/>
  <c r="AK76" i="5"/>
  <c r="AJ76" i="5"/>
  <c r="AI74" i="5"/>
  <c r="AH74" i="5"/>
  <c r="AS74" i="5"/>
  <c r="AR74" i="5"/>
  <c r="AQ74" i="5"/>
  <c r="AP74" i="5"/>
  <c r="AO74" i="5"/>
  <c r="AN74" i="5"/>
  <c r="AM74" i="5"/>
  <c r="AL74" i="5"/>
  <c r="AK74" i="5"/>
  <c r="AJ74" i="5"/>
  <c r="BH33" i="5"/>
  <c r="AP55" i="5"/>
  <c r="AR55" i="5"/>
  <c r="AM55" i="5"/>
  <c r="L75" i="9"/>
  <c r="AI55" i="5"/>
  <c r="AO55" i="5"/>
  <c r="AQ55" i="5"/>
  <c r="AN77" i="5" l="1"/>
  <c r="AN80" i="5" s="1"/>
  <c r="AL77" i="5"/>
  <c r="AL80" i="5" s="1"/>
  <c r="AQ77" i="5"/>
  <c r="AQ80" i="5" s="1"/>
  <c r="AP77" i="5"/>
  <c r="AP80" i="5" s="1"/>
  <c r="N75" i="9"/>
  <c r="F48" i="29"/>
  <c r="F49" i="29" s="1"/>
  <c r="D8" i="3"/>
  <c r="F76" i="9"/>
  <c r="M76" i="9"/>
  <c r="D77" i="9"/>
  <c r="E77" i="9"/>
  <c r="H77" i="9"/>
  <c r="I77" i="9"/>
  <c r="P77" i="9"/>
  <c r="Q77" i="9"/>
  <c r="R77" i="9" s="1"/>
  <c r="W77" i="9"/>
  <c r="Y77" i="9" a="1"/>
  <c r="Y77" i="9" s="1"/>
  <c r="C78" i="9"/>
  <c r="H77" i="10"/>
  <c r="K77" i="10"/>
  <c r="M77" i="10" a="1"/>
  <c r="M77" i="10" s="1"/>
  <c r="C78" i="10"/>
  <c r="BK9" i="5"/>
  <c r="BJ25" i="5" a="1"/>
  <c r="BJ25" i="5" s="1"/>
  <c r="BJ45" i="5"/>
  <c r="BJ117" i="5"/>
  <c r="BJ61" i="5"/>
  <c r="BJ1" i="5"/>
  <c r="BJ2" i="5"/>
  <c r="BH118" i="5"/>
  <c r="CH99" i="5"/>
  <c r="N3" i="1"/>
  <c r="AI77" i="5"/>
  <c r="AH77" i="5"/>
  <c r="AP62" i="5"/>
  <c r="AP65" i="5" s="1"/>
  <c r="AR62" i="5"/>
  <c r="AR65" i="5" s="1"/>
  <c r="AR67" i="5" s="1"/>
  <c r="AM62" i="5"/>
  <c r="AM65" i="5" s="1"/>
  <c r="AH65" i="5"/>
  <c r="AH67" i="5" s="1"/>
  <c r="AI62" i="5"/>
  <c r="AI65" i="5" s="1"/>
  <c r="AO62" i="5"/>
  <c r="AO65" i="5" s="1"/>
  <c r="AQ62" i="5"/>
  <c r="AQ65" i="5" s="1"/>
  <c r="BI29" i="5" a="1"/>
  <c r="BI29" i="5" s="1"/>
  <c r="BI33" i="5" s="1"/>
  <c r="BI38" i="5" a="1"/>
  <c r="BI38" i="5" s="1"/>
  <c r="BI118" i="5"/>
  <c r="AS67" i="5"/>
  <c r="AS99" i="5"/>
  <c r="AR99" i="5"/>
  <c r="AQ99" i="5"/>
  <c r="AP99" i="5"/>
  <c r="AO99" i="5"/>
  <c r="AN99" i="5"/>
  <c r="AJ99" i="5"/>
  <c r="AH99" i="5"/>
  <c r="AI99" i="5"/>
  <c r="AR77" i="5"/>
  <c r="AR80" i="5" s="1"/>
  <c r="AO77" i="5"/>
  <c r="AO80" i="5" s="1"/>
  <c r="AK77" i="5"/>
  <c r="AK80" i="5" s="1"/>
  <c r="AM99" i="5"/>
  <c r="AL99" i="5"/>
  <c r="AK99" i="5"/>
  <c r="AS77" i="5"/>
  <c r="AS80" i="5" s="1"/>
  <c r="AM77" i="5"/>
  <c r="AM80" i="5" s="1"/>
  <c r="AJ77" i="5"/>
  <c r="AJ80" i="5" s="1"/>
  <c r="G37" i="29"/>
  <c r="L76" i="9"/>
  <c r="AK101" i="5" l="1"/>
  <c r="AK111" i="5" s="1"/>
  <c r="AN101" i="5"/>
  <c r="AN111" i="5" s="1"/>
  <c r="AJ101" i="5"/>
  <c r="AJ111" i="5" s="1"/>
  <c r="AR101" i="5"/>
  <c r="AR111" i="5" s="1"/>
  <c r="D33" i="3"/>
  <c r="E33" i="3"/>
  <c r="F77" i="9"/>
  <c r="M77" i="9"/>
  <c r="D78" i="9"/>
  <c r="BK25" i="5" s="1" a="1"/>
  <c r="BK25" i="5" s="1"/>
  <c r="E78" i="9"/>
  <c r="H78" i="9"/>
  <c r="BK29" i="5" s="1" a="1"/>
  <c r="BK29" i="5" s="1"/>
  <c r="I78" i="9"/>
  <c r="P78" i="9"/>
  <c r="BK38" i="5" s="1" a="1"/>
  <c r="BK38" i="5" s="1"/>
  <c r="Q78" i="9"/>
  <c r="W78" i="9"/>
  <c r="Y78" i="9" a="1"/>
  <c r="Y78" i="9" s="1"/>
  <c r="C79" i="9"/>
  <c r="H78" i="10"/>
  <c r="K78" i="10"/>
  <c r="M78" i="10" a="1"/>
  <c r="M78" i="10" s="1"/>
  <c r="C79" i="10"/>
  <c r="BL9" i="5"/>
  <c r="BK45" i="5"/>
  <c r="BK116" i="5" s="1"/>
  <c r="BK61" i="5"/>
  <c r="BK117" i="5"/>
  <c r="BK1" i="5"/>
  <c r="BK2" i="5"/>
  <c r="BJ116" i="5"/>
  <c r="N76" i="9"/>
  <c r="L77" i="9"/>
  <c r="BJ29" i="5" a="1"/>
  <c r="BJ29" i="5" s="1"/>
  <c r="BJ33" i="5" s="1"/>
  <c r="BJ38" i="5" a="1"/>
  <c r="BJ38" i="5" s="1"/>
  <c r="AO67" i="5"/>
  <c r="AO101" i="5" s="1"/>
  <c r="AO111" i="5" s="1"/>
  <c r="AI80" i="5"/>
  <c r="AH80" i="5"/>
  <c r="AH101" i="5" s="1"/>
  <c r="AH111" i="5" s="1"/>
  <c r="CD77" i="5"/>
  <c r="CD80" i="5" s="1"/>
  <c r="AP67" i="5"/>
  <c r="AP101" i="5" s="1"/>
  <c r="AP111" i="5" s="1"/>
  <c r="AM67" i="5"/>
  <c r="AM101" i="5" s="1"/>
  <c r="AM111" i="5" s="1"/>
  <c r="CD62" i="5"/>
  <c r="CD65" i="5" s="1"/>
  <c r="AI67" i="5"/>
  <c r="AQ67" i="5"/>
  <c r="AQ101" i="5" s="1"/>
  <c r="AQ111" i="5" s="1"/>
  <c r="AS101" i="5"/>
  <c r="AS111" i="5" s="1"/>
  <c r="AL101" i="5"/>
  <c r="AL111" i="5" s="1"/>
  <c r="J77" i="9"/>
  <c r="L78" i="9" l="1"/>
  <c r="AI101" i="5"/>
  <c r="AI111" i="5" s="1"/>
  <c r="D52" i="3"/>
  <c r="D37" i="3"/>
  <c r="D51" i="3" s="1"/>
  <c r="D44" i="3"/>
  <c r="E52" i="3"/>
  <c r="E37" i="3"/>
  <c r="E51" i="3" s="1"/>
  <c r="E44" i="3"/>
  <c r="F78" i="9"/>
  <c r="M78" i="9"/>
  <c r="N19" i="5"/>
  <c r="O19" i="5"/>
  <c r="M19" i="5"/>
  <c r="L19" i="5"/>
  <c r="K19" i="5"/>
  <c r="J19" i="5"/>
  <c r="I19" i="5"/>
  <c r="H19" i="5"/>
  <c r="G19" i="5"/>
  <c r="F19" i="5"/>
  <c r="E19" i="5"/>
  <c r="D19" i="5"/>
  <c r="D79" i="9"/>
  <c r="BL25" i="5" s="1" a="1"/>
  <c r="BL25" i="5" s="1"/>
  <c r="E79" i="9"/>
  <c r="H79" i="9"/>
  <c r="BL29" i="5" s="1" a="1"/>
  <c r="BL29" i="5" s="1"/>
  <c r="I79" i="9"/>
  <c r="J79" i="9" s="1"/>
  <c r="P79" i="9"/>
  <c r="BL38" i="5" s="1" a="1"/>
  <c r="BL38" i="5" s="1"/>
  <c r="Q79" i="9"/>
  <c r="W79" i="9"/>
  <c r="Y79" i="9" a="1"/>
  <c r="Y79" i="9" s="1"/>
  <c r="AF21" i="5"/>
  <c r="AF20" i="5"/>
  <c r="AF19" i="5"/>
  <c r="AF22" i="5" s="1"/>
  <c r="AE20" i="5"/>
  <c r="AE21" i="5"/>
  <c r="AE19" i="5"/>
  <c r="AD21" i="5"/>
  <c r="AD19" i="5"/>
  <c r="AD20" i="5"/>
  <c r="AC21" i="5"/>
  <c r="AC19" i="5"/>
  <c r="AC20" i="5"/>
  <c r="AB19" i="5"/>
  <c r="AA19" i="5"/>
  <c r="AB21" i="5"/>
  <c r="AA21" i="5"/>
  <c r="AA20" i="5"/>
  <c r="AB20" i="5"/>
  <c r="Y20" i="5"/>
  <c r="Z20" i="5"/>
  <c r="Z19" i="5"/>
  <c r="Y21" i="5"/>
  <c r="Z21" i="5"/>
  <c r="Y19" i="5"/>
  <c r="X19" i="5"/>
  <c r="X21" i="5"/>
  <c r="X20" i="5"/>
  <c r="V20" i="5"/>
  <c r="W21" i="5"/>
  <c r="W19" i="5"/>
  <c r="W22" i="5" s="1"/>
  <c r="V21" i="5"/>
  <c r="V19" i="5"/>
  <c r="U19" i="5"/>
  <c r="U21" i="5"/>
  <c r="W20" i="5"/>
  <c r="U20" i="5"/>
  <c r="T20" i="5"/>
  <c r="T21" i="5"/>
  <c r="CC21" i="5" s="1"/>
  <c r="T19" i="5"/>
  <c r="S19" i="5"/>
  <c r="S22" i="5" s="1"/>
  <c r="S20" i="5"/>
  <c r="S21" i="5"/>
  <c r="R19" i="5"/>
  <c r="Q21" i="5"/>
  <c r="P20" i="5"/>
  <c r="P19" i="5"/>
  <c r="R20" i="5"/>
  <c r="P21" i="5"/>
  <c r="Q19" i="5"/>
  <c r="R21" i="5"/>
  <c r="Q20" i="5"/>
  <c r="H79" i="10"/>
  <c r="K79" i="10"/>
  <c r="M79" i="10" a="1"/>
  <c r="M79" i="10" s="1"/>
  <c r="BM9" i="5"/>
  <c r="BL45" i="5"/>
  <c r="BL117" i="5"/>
  <c r="BL61" i="5"/>
  <c r="BL1" i="5"/>
  <c r="BL2" i="5"/>
  <c r="BJ118" i="5"/>
  <c r="CH80" i="5"/>
  <c r="M3" i="1"/>
  <c r="L3" i="1"/>
  <c r="O3" i="1" s="1"/>
  <c r="CH65" i="5"/>
  <c r="CD67" i="5"/>
  <c r="N77" i="9"/>
  <c r="J78" i="9"/>
  <c r="BK33" i="5"/>
  <c r="R78" i="9"/>
  <c r="BK118" i="5"/>
  <c r="N78" i="9" l="1"/>
  <c r="CU112" i="5"/>
  <c r="G47" i="29"/>
  <c r="F79" i="9"/>
  <c r="M79" i="9"/>
  <c r="AB42" i="9"/>
  <c r="AB41" i="9"/>
  <c r="AB39" i="9"/>
  <c r="AB40" i="9"/>
  <c r="AB38" i="9"/>
  <c r="AB36" i="9"/>
  <c r="AB30" i="9"/>
  <c r="AF30" i="9" s="1"/>
  <c r="AB29" i="9"/>
  <c r="AF29" i="9" s="1"/>
  <c r="AB28" i="9"/>
  <c r="AB27" i="9"/>
  <c r="AB26" i="9"/>
  <c r="AB22" i="9"/>
  <c r="AB19" i="9"/>
  <c r="CC19" i="5"/>
  <c r="T22" i="5"/>
  <c r="CC22" i="5" s="1"/>
  <c r="CC17" i="5" s="1"/>
  <c r="P35" i="10"/>
  <c r="P21" i="10"/>
  <c r="P33" i="10"/>
  <c r="P20" i="10"/>
  <c r="P31" i="10"/>
  <c r="P22" i="10"/>
  <c r="P19" i="10"/>
  <c r="T19" i="10" s="1"/>
  <c r="P38" i="10"/>
  <c r="P23" i="10"/>
  <c r="T23" i="10" s="1"/>
  <c r="P37" i="10"/>
  <c r="P41" i="10"/>
  <c r="P42" i="10"/>
  <c r="P39" i="10"/>
  <c r="P40" i="10"/>
  <c r="P36" i="10"/>
  <c r="P34" i="10"/>
  <c r="P32" i="10"/>
  <c r="P30" i="10"/>
  <c r="T30" i="10" s="1"/>
  <c r="P27" i="10"/>
  <c r="T27" i="10" s="1"/>
  <c r="P29" i="10"/>
  <c r="T29" i="10" s="1"/>
  <c r="P28" i="10"/>
  <c r="T28" i="10" s="1"/>
  <c r="P26" i="10"/>
  <c r="T26" i="10" s="1"/>
  <c r="P25" i="10"/>
  <c r="T25" i="10" s="1"/>
  <c r="P24" i="10"/>
  <c r="T24" i="10" s="1"/>
  <c r="BN9" i="5"/>
  <c r="BM25" i="5" a="1"/>
  <c r="BM25" i="5" s="1"/>
  <c r="BM29" i="5" a="1"/>
  <c r="BM29" i="5" s="1"/>
  <c r="BM38" i="5" a="1"/>
  <c r="BM38" i="5" s="1"/>
  <c r="BM45" i="5"/>
  <c r="BM116" i="5" s="1"/>
  <c r="BM61" i="5"/>
  <c r="BM117" i="5"/>
  <c r="BM1" i="5"/>
  <c r="BM2" i="5"/>
  <c r="BL26" i="5"/>
  <c r="BL33" i="5"/>
  <c r="BL116" i="5"/>
  <c r="BL23" i="5" a="1"/>
  <c r="BL23" i="5" s="1"/>
  <c r="CD101" i="5"/>
  <c r="CH67" i="5"/>
  <c r="L79" i="9"/>
  <c r="R79" i="9"/>
  <c r="AB22" i="5"/>
  <c r="R22" i="5"/>
  <c r="AC22" i="5"/>
  <c r="X22" i="5"/>
  <c r="V22" i="5"/>
  <c r="CC20" i="5"/>
  <c r="Q22" i="5"/>
  <c r="AD22" i="5"/>
  <c r="Y22" i="5"/>
  <c r="P22" i="5"/>
  <c r="AE22" i="5"/>
  <c r="AA22" i="5"/>
  <c r="Z22" i="5"/>
  <c r="U22" i="5"/>
  <c r="AF28" i="9" l="1"/>
  <c r="AF27" i="9"/>
  <c r="AF26" i="9"/>
  <c r="BM33" i="5"/>
  <c r="BL31" i="5" a="1"/>
  <c r="BL31" i="5" s="1"/>
  <c r="BL40" i="5" a="1"/>
  <c r="BL40" i="5" s="1"/>
  <c r="AZ31" i="5" a="1"/>
  <c r="AZ31" i="5" s="1"/>
  <c r="AZ30" i="5" s="1"/>
  <c r="AZ40" i="5" a="1"/>
  <c r="AZ40" i="5" s="1"/>
  <c r="AZ27" i="5" a="1"/>
  <c r="AZ27" i="5" s="1"/>
  <c r="AZ26" i="5" s="1"/>
  <c r="AZ34" i="5" s="1"/>
  <c r="AZ35" i="5" s="1"/>
  <c r="AZ36" i="5" s="1"/>
  <c r="BK40" i="5" a="1"/>
  <c r="BK40" i="5" s="1"/>
  <c r="BK31" i="5" a="1"/>
  <c r="BK31" i="5" s="1"/>
  <c r="BK27" i="5" a="1"/>
  <c r="BK27" i="5" s="1"/>
  <c r="AY40" i="5" a="1"/>
  <c r="AY40" i="5" s="1"/>
  <c r="AY31" i="5" a="1"/>
  <c r="AY31" i="5" s="1"/>
  <c r="AY30" i="5" s="1"/>
  <c r="AY27" i="5" a="1"/>
  <c r="AY27" i="5" s="1"/>
  <c r="AY26" i="5" s="1"/>
  <c r="AY34" i="5" s="1"/>
  <c r="AY35" i="5" s="1"/>
  <c r="AY36" i="5" s="1"/>
  <c r="BJ27" i="5" a="1"/>
  <c r="BJ27" i="5" s="1"/>
  <c r="AX27" i="5" a="1"/>
  <c r="AX27" i="5" s="1"/>
  <c r="AX26" i="5" s="1"/>
  <c r="BA23" i="5" a="1"/>
  <c r="BA23" i="5" s="1"/>
  <c r="AO23" i="5" a="1"/>
  <c r="AO23" i="5" s="1"/>
  <c r="BE23" i="5" a="1"/>
  <c r="BE23" i="5" s="1"/>
  <c r="AS23" i="5" a="1"/>
  <c r="AS23" i="5" s="1"/>
  <c r="AZ23" i="5" a="1"/>
  <c r="AZ23" i="5" s="1"/>
  <c r="AN23" i="5" a="1"/>
  <c r="AN23" i="5" s="1"/>
  <c r="BI23" i="5" a="1"/>
  <c r="BI23" i="5" s="1"/>
  <c r="AW23" i="5" a="1"/>
  <c r="AW23" i="5" s="1"/>
  <c r="AK23" i="5" a="1"/>
  <c r="AK23" i="5" s="1"/>
  <c r="BK23" i="5" a="1"/>
  <c r="BK23" i="5" s="1"/>
  <c r="AY23" i="5" a="1"/>
  <c r="AY23" i="5" s="1"/>
  <c r="AM23" i="5" a="1"/>
  <c r="AM23" i="5" s="1"/>
  <c r="BJ23" i="5" a="1"/>
  <c r="BJ23" i="5" s="1"/>
  <c r="AX23" i="5" a="1"/>
  <c r="AX23" i="5" s="1"/>
  <c r="AL23" i="5" a="1"/>
  <c r="AL23" i="5" s="1"/>
  <c r="BH23" i="5" a="1"/>
  <c r="BH23" i="5" s="1"/>
  <c r="AV23" i="5" a="1"/>
  <c r="AV23" i="5" s="1"/>
  <c r="AJ23" i="5" a="1"/>
  <c r="AJ23" i="5" s="1"/>
  <c r="BG23" i="5" a="1"/>
  <c r="BG23" i="5" s="1"/>
  <c r="AU23" i="5" a="1"/>
  <c r="AU23" i="5" s="1"/>
  <c r="AI23" i="5" a="1"/>
  <c r="AI23" i="5" s="1"/>
  <c r="BF23" i="5" a="1"/>
  <c r="BF23" i="5" s="1"/>
  <c r="AT23" i="5" a="1"/>
  <c r="AT23" i="5" s="1"/>
  <c r="AH23" i="5" a="1"/>
  <c r="AH23" i="5" s="1"/>
  <c r="BO9" i="5"/>
  <c r="BN25" i="5" a="1"/>
  <c r="BN25" i="5" s="1"/>
  <c r="BN29" i="5" a="1"/>
  <c r="BN29" i="5" s="1"/>
  <c r="BN38" i="5" a="1"/>
  <c r="BN38" i="5" s="1"/>
  <c r="BN45" i="5"/>
  <c r="BN117" i="5"/>
  <c r="BN61" i="5"/>
  <c r="BN1" i="5"/>
  <c r="BN2" i="5"/>
  <c r="BM23" i="5" a="1"/>
  <c r="BM23" i="5" s="1"/>
  <c r="BL118" i="5"/>
  <c r="BY21" i="5"/>
  <c r="BY20" i="5"/>
  <c r="CH101" i="5"/>
  <c r="CD111" i="5"/>
  <c r="R3" i="1"/>
  <c r="AB20" i="9"/>
  <c r="AB25" i="9"/>
  <c r="AB23" i="9"/>
  <c r="AB21" i="9"/>
  <c r="AB24" i="9"/>
  <c r="AF24" i="9" s="1"/>
  <c r="AB31" i="9"/>
  <c r="AF19" i="9" s="1"/>
  <c r="AB32" i="9"/>
  <c r="AB33" i="9"/>
  <c r="AB34" i="9"/>
  <c r="AF22" i="9" s="1"/>
  <c r="AB35" i="9"/>
  <c r="AB37" i="9"/>
  <c r="T22" i="10"/>
  <c r="T21" i="10"/>
  <c r="BM118" i="5"/>
  <c r="N79" i="9"/>
  <c r="T20" i="10"/>
  <c r="BJ40" i="5" l="1" a="1"/>
  <c r="BJ40" i="5" s="1"/>
  <c r="AX40" i="5" a="1"/>
  <c r="AX40" i="5" s="1"/>
  <c r="AX31" i="5" a="1"/>
  <c r="AX31" i="5" s="1"/>
  <c r="AX30" i="5" s="1"/>
  <c r="AX34" i="5" s="1"/>
  <c r="AX35" i="5" s="1"/>
  <c r="AX36" i="5" s="1"/>
  <c r="BJ31" i="5" a="1"/>
  <c r="BJ31" i="5" s="1"/>
  <c r="AW27" i="5" a="1"/>
  <c r="AW27" i="5" s="1"/>
  <c r="AW26" i="5" s="1"/>
  <c r="AW40" i="5" a="1"/>
  <c r="AW40" i="5" s="1"/>
  <c r="BI40" i="5" a="1"/>
  <c r="BI40" i="5" s="1"/>
  <c r="BI31" i="5" a="1"/>
  <c r="BI31" i="5" s="1"/>
  <c r="BI27" i="5" a="1"/>
  <c r="BI27" i="5" s="1"/>
  <c r="AW31" i="5" a="1"/>
  <c r="AW31" i="5" s="1"/>
  <c r="AW30" i="5" s="1"/>
  <c r="BH31" i="5" a="1"/>
  <c r="BH31" i="5" s="1"/>
  <c r="BH40" i="5" a="1"/>
  <c r="BH40" i="5" s="1"/>
  <c r="BH27" i="5" a="1"/>
  <c r="BH27" i="5" s="1"/>
  <c r="AV40" i="5" a="1"/>
  <c r="AV40" i="5" s="1"/>
  <c r="AV31" i="5" a="1"/>
  <c r="AV31" i="5" s="1"/>
  <c r="AV30" i="5" s="1"/>
  <c r="AV27" i="5" a="1"/>
  <c r="AV27" i="5" s="1"/>
  <c r="AV26" i="5" s="1"/>
  <c r="AV34" i="5" s="1"/>
  <c r="AV35" i="5" s="1"/>
  <c r="AV36" i="5" s="1"/>
  <c r="BN33" i="5"/>
  <c r="AF20" i="9"/>
  <c r="AF21" i="9"/>
  <c r="BY31" i="5"/>
  <c r="BL30" i="5"/>
  <c r="BL34" i="5" s="1"/>
  <c r="BL35" i="5" s="1"/>
  <c r="BL36" i="5" s="1"/>
  <c r="BL44" i="5"/>
  <c r="BY44" i="5" s="1"/>
  <c r="BY40" i="5"/>
  <c r="BL39" i="5"/>
  <c r="AZ39" i="5"/>
  <c r="AZ44" i="5"/>
  <c r="AZ43" i="5"/>
  <c r="AZ50" i="5"/>
  <c r="AZ85" i="5"/>
  <c r="AZ73" i="5"/>
  <c r="AZ75" i="5"/>
  <c r="AZ72" i="5"/>
  <c r="AZ49" i="5"/>
  <c r="AZ59" i="5" s="1"/>
  <c r="AZ48" i="5"/>
  <c r="AZ46" i="5"/>
  <c r="AZ58" i="5" s="1"/>
  <c r="BK39" i="5"/>
  <c r="BX40" i="5"/>
  <c r="BK44" i="5"/>
  <c r="BX44" i="5" s="1"/>
  <c r="BK30" i="5"/>
  <c r="BX31" i="5"/>
  <c r="BK26" i="5"/>
  <c r="BX27" i="5"/>
  <c r="AY39" i="5"/>
  <c r="AY44" i="5"/>
  <c r="AY50" i="5"/>
  <c r="AY85" i="5"/>
  <c r="AY43" i="5"/>
  <c r="AY75" i="5"/>
  <c r="AY73" i="5"/>
  <c r="AY72" i="5"/>
  <c r="AY48" i="5"/>
  <c r="AY49" i="5"/>
  <c r="AY59" i="5" s="1"/>
  <c r="AY46" i="5"/>
  <c r="AY58" i="5" s="1"/>
  <c r="BJ26" i="5"/>
  <c r="BW27" i="5"/>
  <c r="BA22" i="5"/>
  <c r="BA15" i="5" s="1"/>
  <c r="BV20" i="5"/>
  <c r="BV21" i="5"/>
  <c r="BX20" i="5"/>
  <c r="BX21" i="5"/>
  <c r="BW20" i="5"/>
  <c r="BW21" i="5"/>
  <c r="BU21" i="5"/>
  <c r="BU20" i="5"/>
  <c r="BT20" i="5"/>
  <c r="BT21" i="5"/>
  <c r="AI22" i="5"/>
  <c r="BS20" i="5"/>
  <c r="BS21" i="5"/>
  <c r="AT22" i="5"/>
  <c r="AT15" i="5" s="1"/>
  <c r="AH22" i="5"/>
  <c r="BP9" i="5"/>
  <c r="BO25" i="5" a="1"/>
  <c r="BO25" i="5" s="1"/>
  <c r="BO29" i="5" a="1"/>
  <c r="BO29" i="5" s="1"/>
  <c r="BO38" i="5" a="1"/>
  <c r="BO38" i="5" s="1"/>
  <c r="BO45" i="5"/>
  <c r="BO116" i="5" s="1"/>
  <c r="BO117" i="5"/>
  <c r="BO61" i="5"/>
  <c r="BO1" i="5"/>
  <c r="BO2" i="5"/>
  <c r="BN116" i="5"/>
  <c r="BN23" i="5" a="1"/>
  <c r="BN23" i="5" s="1"/>
  <c r="BM22" i="5"/>
  <c r="BM15" i="5" s="1"/>
  <c r="BL22" i="5"/>
  <c r="BL15" i="5" s="1"/>
  <c r="BY19" i="5"/>
  <c r="BY22" i="5" s="1"/>
  <c r="CH111" i="5"/>
  <c r="G15" i="30"/>
  <c r="G48" i="29"/>
  <c r="G49" i="29" s="1"/>
  <c r="D9" i="3"/>
  <c r="BF27" i="5" a="1"/>
  <c r="BF27" i="5" s="1"/>
  <c r="BF40" i="5" a="1"/>
  <c r="BF40" i="5" s="1"/>
  <c r="BF31" i="5" a="1"/>
  <c r="BF31" i="5" s="1"/>
  <c r="AT40" i="5" a="1"/>
  <c r="AT40" i="5" s="1"/>
  <c r="AT31" i="5" a="1"/>
  <c r="AT31" i="5" s="1"/>
  <c r="AT30" i="5" s="1"/>
  <c r="AT27" i="5" a="1"/>
  <c r="AT27" i="5" s="1"/>
  <c r="AT26" i="5" s="1"/>
  <c r="BA27" i="5" a="1"/>
  <c r="BA27" i="5" s="1"/>
  <c r="BA26" i="5" s="1"/>
  <c r="BA40" i="5" a="1"/>
  <c r="BA40" i="5" s="1"/>
  <c r="BA31" i="5" a="1"/>
  <c r="BA31" i="5" s="1"/>
  <c r="BA30" i="5" s="1"/>
  <c r="BD27" i="5" a="1"/>
  <c r="BD27" i="5" s="1"/>
  <c r="BD26" i="5" s="1"/>
  <c r="BD31" i="5" a="1"/>
  <c r="BD31" i="5" s="1"/>
  <c r="BD30" i="5" s="1"/>
  <c r="BD40" i="5" a="1"/>
  <c r="BD40" i="5" s="1"/>
  <c r="AR23" i="5" a="1"/>
  <c r="AR23" i="5" s="1"/>
  <c r="BD23" i="5" a="1"/>
  <c r="BD23" i="5" s="1"/>
  <c r="AQ23" i="5" a="1"/>
  <c r="AQ23" i="5" s="1"/>
  <c r="BC23" i="5" a="1"/>
  <c r="BC23" i="5" s="1"/>
  <c r="AP23" i="5" a="1"/>
  <c r="AP23" i="5" s="1"/>
  <c r="BB23" i="5" a="1"/>
  <c r="BB23" i="5" s="1"/>
  <c r="BM31" i="5" a="1"/>
  <c r="BM31" i="5" s="1"/>
  <c r="BM30" i="5" s="1"/>
  <c r="BM27" i="5" a="1"/>
  <c r="BM27" i="5" s="1"/>
  <c r="BM26" i="5" s="1"/>
  <c r="BM34" i="5" s="1"/>
  <c r="BM35" i="5" s="1"/>
  <c r="BM36" i="5" s="1"/>
  <c r="AF25" i="9"/>
  <c r="BM40" i="5" a="1"/>
  <c r="BM40" i="5" s="1"/>
  <c r="AF23" i="9"/>
  <c r="BJ39" i="5" l="1"/>
  <c r="BJ44" i="5"/>
  <c r="BW44" i="5" s="1"/>
  <c r="BW40" i="5"/>
  <c r="AX44" i="5"/>
  <c r="AX39" i="5"/>
  <c r="BJ30" i="5"/>
  <c r="BJ34" i="5" s="1"/>
  <c r="BJ35" i="5" s="1"/>
  <c r="BJ36" i="5" s="1"/>
  <c r="BW31" i="5"/>
  <c r="AW34" i="5"/>
  <c r="AW35" i="5" s="1"/>
  <c r="AW36" i="5" s="1"/>
  <c r="AW39" i="5"/>
  <c r="AW44" i="5"/>
  <c r="BV40" i="5"/>
  <c r="BI44" i="5"/>
  <c r="BV44" i="5" s="1"/>
  <c r="BI39" i="5"/>
  <c r="BI30" i="5"/>
  <c r="BV31" i="5"/>
  <c r="BI26" i="5"/>
  <c r="BI34" i="5" s="1"/>
  <c r="BI35" i="5" s="1"/>
  <c r="BI36" i="5" s="1"/>
  <c r="BV27" i="5"/>
  <c r="BH30" i="5"/>
  <c r="BU31" i="5"/>
  <c r="BH39" i="5"/>
  <c r="BU40" i="5"/>
  <c r="BH44" i="5"/>
  <c r="BU44" i="5" s="1"/>
  <c r="BH26" i="5"/>
  <c r="BH34" i="5" s="1"/>
  <c r="BH35" i="5" s="1"/>
  <c r="BH36" i="5" s="1"/>
  <c r="BU27" i="5"/>
  <c r="AV39" i="5"/>
  <c r="AV44" i="5"/>
  <c r="AV73" i="5"/>
  <c r="AV50" i="5"/>
  <c r="AV75" i="5"/>
  <c r="AV46" i="5"/>
  <c r="AV58" i="5" s="1"/>
  <c r="AV43" i="5"/>
  <c r="AV72" i="5"/>
  <c r="AV49" i="5"/>
  <c r="AV59" i="5" s="1"/>
  <c r="AV85" i="5"/>
  <c r="AV48" i="5"/>
  <c r="BK34" i="5"/>
  <c r="BK35" i="5" s="1"/>
  <c r="BK36" i="5" s="1"/>
  <c r="AT34" i="5"/>
  <c r="AT35" i="5" s="1"/>
  <c r="AT36" i="5" s="1"/>
  <c r="BN31" i="5" a="1"/>
  <c r="BN31" i="5" s="1"/>
  <c r="BN30" i="5" s="1"/>
  <c r="BN27" i="5" a="1"/>
  <c r="BN27" i="5" s="1"/>
  <c r="BN26" i="5" s="1"/>
  <c r="BN34" i="5" s="1"/>
  <c r="BN35" i="5" s="1"/>
  <c r="BN36" i="5" s="1"/>
  <c r="BN40" i="5" a="1"/>
  <c r="BN40" i="5" s="1"/>
  <c r="BB31" i="5" a="1"/>
  <c r="BB31" i="5" s="1"/>
  <c r="BB30" i="5" s="1"/>
  <c r="BB40" i="5" a="1"/>
  <c r="BB40" i="5" s="1"/>
  <c r="BB27" i="5" a="1"/>
  <c r="BB27" i="5" s="1"/>
  <c r="BB26" i="5" s="1"/>
  <c r="BB34" i="5" s="1"/>
  <c r="BB35" i="5" s="1"/>
  <c r="BB36" i="5" s="1"/>
  <c r="BC27" i="5" a="1"/>
  <c r="BC27" i="5" s="1"/>
  <c r="BC26" i="5" s="1"/>
  <c r="BC31" i="5" a="1"/>
  <c r="BC31" i="5" s="1"/>
  <c r="BC30" i="5" s="1"/>
  <c r="BC40" i="5" a="1"/>
  <c r="BC40" i="5" s="1"/>
  <c r="BL49" i="5"/>
  <c r="BL48" i="5"/>
  <c r="BY48" i="5" s="1"/>
  <c r="BL46" i="5"/>
  <c r="BL47" i="5"/>
  <c r="BL73" i="5"/>
  <c r="BY73" i="5" s="1"/>
  <c r="BL75" i="5"/>
  <c r="BY75" i="5" s="1"/>
  <c r="BL43" i="5"/>
  <c r="BY43" i="5" s="1"/>
  <c r="BL50" i="5"/>
  <c r="BY50" i="5" s="1"/>
  <c r="BL72" i="5"/>
  <c r="BY72" i="5" s="1"/>
  <c r="BL85" i="5"/>
  <c r="BY85" i="5" s="1"/>
  <c r="BI22" i="5"/>
  <c r="BI15" i="5" s="1"/>
  <c r="BV19" i="5"/>
  <c r="BV22" i="5" s="1"/>
  <c r="BK22" i="5"/>
  <c r="BK15" i="5" s="1"/>
  <c r="BX19" i="5"/>
  <c r="BX22" i="5" s="1"/>
  <c r="BJ22" i="5"/>
  <c r="BJ15" i="5" s="1"/>
  <c r="BW19" i="5"/>
  <c r="BW22" i="5" s="1"/>
  <c r="BH22" i="5"/>
  <c r="BH15" i="5" s="1"/>
  <c r="BU19" i="5"/>
  <c r="BU22" i="5" s="1"/>
  <c r="BG22" i="5"/>
  <c r="BG15" i="5" s="1"/>
  <c r="BT19" i="5"/>
  <c r="BT22" i="5" s="1"/>
  <c r="BF22" i="5"/>
  <c r="BF15" i="5" s="1"/>
  <c r="BS19" i="5"/>
  <c r="BS22" i="5" s="1"/>
  <c r="BQ9" i="5"/>
  <c r="BP25" i="5" a="1"/>
  <c r="BP25" i="5" s="1"/>
  <c r="BP29" i="5" a="1"/>
  <c r="BP29" i="5" s="1"/>
  <c r="BP38" i="5" a="1"/>
  <c r="BP38" i="5" s="1"/>
  <c r="BP45" i="5"/>
  <c r="BP117" i="5"/>
  <c r="BP61" i="5"/>
  <c r="BP1" i="5"/>
  <c r="BP2" i="5"/>
  <c r="BO23" i="5" a="1"/>
  <c r="BO23" i="5" s="1"/>
  <c r="BO27" i="5" a="1"/>
  <c r="BO27" i="5" s="1"/>
  <c r="BO26" i="5" s="1"/>
  <c r="BO31" i="5" a="1"/>
  <c r="BO31" i="5" s="1"/>
  <c r="BO30" i="5" s="1"/>
  <c r="BO40" i="5" a="1"/>
  <c r="BO40" i="5" s="1"/>
  <c r="BN118" i="5"/>
  <c r="BN22" i="5"/>
  <c r="BN15" i="5" s="1"/>
  <c r="G17" i="30"/>
  <c r="G24" i="30"/>
  <c r="G29" i="30" s="1"/>
  <c r="G36" i="30"/>
  <c r="D34" i="3"/>
  <c r="E34" i="3"/>
  <c r="BF26" i="5"/>
  <c r="BS27" i="5"/>
  <c r="BF39" i="5"/>
  <c r="BS40" i="5"/>
  <c r="BF44" i="5"/>
  <c r="BF30" i="5"/>
  <c r="BS31" i="5"/>
  <c r="AT39" i="5"/>
  <c r="AT44" i="5"/>
  <c r="BA39" i="5"/>
  <c r="BA44" i="5"/>
  <c r="BD39" i="5"/>
  <c r="BD44" i="5"/>
  <c r="BC22" i="5"/>
  <c r="BC15" i="5" s="1"/>
  <c r="AP22" i="5"/>
  <c r="AX46" i="5"/>
  <c r="AX58" i="5" s="1"/>
  <c r="AX48" i="5"/>
  <c r="AX49" i="5"/>
  <c r="AX59" i="5" s="1"/>
  <c r="AX72" i="5"/>
  <c r="AX75" i="5"/>
  <c r="AX73" i="5"/>
  <c r="AX85" i="5"/>
  <c r="AX50" i="5"/>
  <c r="AX43" i="5"/>
  <c r="BM85" i="5"/>
  <c r="BM72" i="5"/>
  <c r="BM50" i="5"/>
  <c r="BM43" i="5"/>
  <c r="BM75" i="5"/>
  <c r="BM73" i="5"/>
  <c r="BM49" i="5"/>
  <c r="BM59" i="5" s="1"/>
  <c r="BM48" i="5"/>
  <c r="BM47" i="5"/>
  <c r="BM60" i="5" s="1"/>
  <c r="BM46" i="5"/>
  <c r="BM58" i="5" s="1"/>
  <c r="AU31" i="5" a="1"/>
  <c r="AU31" i="5" s="1"/>
  <c r="AU30" i="5" s="1"/>
  <c r="AU40" i="5" a="1"/>
  <c r="AU40" i="5" s="1"/>
  <c r="AU27" i="5" a="1"/>
  <c r="AU27" i="5" s="1"/>
  <c r="AU26" i="5" s="1"/>
  <c r="BG40" i="5" a="1"/>
  <c r="BG40" i="5" s="1"/>
  <c r="BG31" i="5" a="1"/>
  <c r="BG31" i="5" s="1"/>
  <c r="BG27" i="5" a="1"/>
  <c r="BG27" i="5" s="1"/>
  <c r="BM39" i="5"/>
  <c r="BM44" i="5"/>
  <c r="BE31" i="5" a="1"/>
  <c r="BE31" i="5" s="1"/>
  <c r="BE30" i="5" s="1"/>
  <c r="BE27" i="5" a="1"/>
  <c r="BE27" i="5" s="1"/>
  <c r="BE26" i="5" s="1"/>
  <c r="BE34" i="5" s="1"/>
  <c r="BE35" i="5" s="1"/>
  <c r="BE36" i="5" s="1"/>
  <c r="BE40" i="5" a="1"/>
  <c r="BE40" i="5" s="1"/>
  <c r="AO22" i="5"/>
  <c r="AS22" i="5"/>
  <c r="AZ22" i="5"/>
  <c r="AZ15" i="5" s="1"/>
  <c r="AN22" i="5"/>
  <c r="AW22" i="5"/>
  <c r="AW15" i="5" s="1"/>
  <c r="AK22" i="5"/>
  <c r="AY22" i="5"/>
  <c r="AY15" i="5" s="1"/>
  <c r="AM22" i="5"/>
  <c r="AX22" i="5"/>
  <c r="AX15" i="5" s="1"/>
  <c r="AL22" i="5"/>
  <c r="AV22" i="5"/>
  <c r="AV15" i="5" s="1"/>
  <c r="AJ22" i="5"/>
  <c r="AU22" i="5"/>
  <c r="AU15" i="5" s="1"/>
  <c r="BE22" i="5"/>
  <c r="BE15" i="5" s="1"/>
  <c r="BO33" i="5"/>
  <c r="BO118" i="5"/>
  <c r="BD34" i="5"/>
  <c r="BD35" i="5" s="1"/>
  <c r="BD36" i="5" s="1"/>
  <c r="BA34" i="5"/>
  <c r="BA35" i="5" s="1"/>
  <c r="BA36" i="5" s="1"/>
  <c r="AW46" i="5" l="1"/>
  <c r="AW58" i="5" s="1"/>
  <c r="AW48" i="5"/>
  <c r="AW49" i="5"/>
  <c r="AW59" i="5" s="1"/>
  <c r="AW72" i="5"/>
  <c r="AW73" i="5"/>
  <c r="AW75" i="5"/>
  <c r="AW85" i="5"/>
  <c r="AW43" i="5"/>
  <c r="AW50" i="5"/>
  <c r="BI50" i="5"/>
  <c r="BV50" i="5" s="1"/>
  <c r="BI73" i="5"/>
  <c r="BV73" i="5" s="1"/>
  <c r="BI46" i="5"/>
  <c r="BI85" i="5"/>
  <c r="BV85" i="5" s="1"/>
  <c r="BI72" i="5"/>
  <c r="BV72" i="5" s="1"/>
  <c r="BI43" i="5"/>
  <c r="BV43" i="5" s="1"/>
  <c r="BI75" i="5"/>
  <c r="BV75" i="5" s="1"/>
  <c r="BI47" i="5"/>
  <c r="BI49" i="5"/>
  <c r="BI48" i="5"/>
  <c r="BV48" i="5" s="1"/>
  <c r="BH72" i="5"/>
  <c r="BU72" i="5" s="1"/>
  <c r="BH75" i="5"/>
  <c r="BU75" i="5" s="1"/>
  <c r="BH48" i="5"/>
  <c r="BU48" i="5" s="1"/>
  <c r="BH85" i="5"/>
  <c r="BU85" i="5" s="1"/>
  <c r="BH50" i="5"/>
  <c r="BU50" i="5" s="1"/>
  <c r="BH43" i="5"/>
  <c r="BU43" i="5" s="1"/>
  <c r="BH47" i="5"/>
  <c r="BH73" i="5"/>
  <c r="BU73" i="5" s="1"/>
  <c r="BH49" i="5"/>
  <c r="BH46" i="5"/>
  <c r="BK85" i="5"/>
  <c r="BX85" i="5" s="1"/>
  <c r="BK72" i="5"/>
  <c r="BX72" i="5" s="1"/>
  <c r="BK50" i="5"/>
  <c r="BX50" i="5" s="1"/>
  <c r="BK43" i="5"/>
  <c r="BX43" i="5" s="1"/>
  <c r="BK75" i="5"/>
  <c r="BX75" i="5" s="1"/>
  <c r="BK47" i="5"/>
  <c r="BK73" i="5"/>
  <c r="BX73" i="5" s="1"/>
  <c r="BK49" i="5"/>
  <c r="BK48" i="5"/>
  <c r="BX48" i="5" s="1"/>
  <c r="BK46" i="5"/>
  <c r="BC34" i="5"/>
  <c r="BC35" i="5" s="1"/>
  <c r="BC36" i="5" s="1"/>
  <c r="AU34" i="5"/>
  <c r="AU35" i="5" s="1"/>
  <c r="BN44" i="5"/>
  <c r="BN39" i="5"/>
  <c r="BB39" i="5"/>
  <c r="BB44" i="5"/>
  <c r="BB43" i="5"/>
  <c r="BB50" i="5"/>
  <c r="BB85" i="5"/>
  <c r="BB73" i="5"/>
  <c r="BB75" i="5"/>
  <c r="BB72" i="5"/>
  <c r="BB46" i="5"/>
  <c r="BB58" i="5" s="1"/>
  <c r="BB48" i="5"/>
  <c r="BB49" i="5"/>
  <c r="BB59" i="5" s="1"/>
  <c r="BC39" i="5"/>
  <c r="BC44" i="5"/>
  <c r="BL59" i="5"/>
  <c r="BY59" i="5" s="1"/>
  <c r="BY49" i="5"/>
  <c r="BL58" i="5"/>
  <c r="BY58" i="5" s="1"/>
  <c r="BY46" i="5"/>
  <c r="BL60" i="5"/>
  <c r="BY60" i="5" s="1"/>
  <c r="BY47" i="5"/>
  <c r="BS9" i="5"/>
  <c r="BQ25" i="5" a="1"/>
  <c r="BQ25" i="5" s="1"/>
  <c r="BQ29" i="5" a="1"/>
  <c r="BQ29" i="5" s="1"/>
  <c r="BQ38" i="5" a="1"/>
  <c r="BQ38" i="5" s="1"/>
  <c r="BQ45" i="5"/>
  <c r="BQ116" i="5" s="1"/>
  <c r="BQ117" i="5"/>
  <c r="CF117" i="5" s="1"/>
  <c r="H5" i="1" s="1"/>
  <c r="BQ61" i="5"/>
  <c r="CF61" i="5" s="1"/>
  <c r="BQ1" i="5"/>
  <c r="BQ2" i="5"/>
  <c r="CF45" i="5"/>
  <c r="BP116" i="5"/>
  <c r="BP23" i="5" a="1"/>
  <c r="BP23" i="5" s="1"/>
  <c r="BP27" i="5" a="1"/>
  <c r="BP27" i="5" s="1"/>
  <c r="BP26" i="5" s="1"/>
  <c r="BP31" i="5" a="1"/>
  <c r="BP31" i="5" s="1"/>
  <c r="BP30" i="5" s="1"/>
  <c r="BP40" i="5" a="1"/>
  <c r="BP40" i="5" s="1"/>
  <c r="BO22" i="5"/>
  <c r="BO15" i="5" s="1"/>
  <c r="BO44" i="5"/>
  <c r="BO39" i="5"/>
  <c r="G26" i="30"/>
  <c r="G38" i="30"/>
  <c r="G45" i="30"/>
  <c r="G50" i="30" s="1"/>
  <c r="D57" i="3"/>
  <c r="D38" i="3"/>
  <c r="D56" i="3" s="1"/>
  <c r="E57" i="3"/>
  <c r="E38" i="3"/>
  <c r="E56" i="3" s="1"/>
  <c r="BS44" i="5"/>
  <c r="AT50" i="5"/>
  <c r="AT43" i="5"/>
  <c r="AT48" i="5"/>
  <c r="AT49" i="5"/>
  <c r="AT59" i="5" s="1"/>
  <c r="AT46" i="5"/>
  <c r="AT58" i="5" s="1"/>
  <c r="AT73" i="5"/>
  <c r="AT85" i="5"/>
  <c r="AT72" i="5"/>
  <c r="AT75" i="5"/>
  <c r="AU39" i="5"/>
  <c r="AU44" i="5"/>
  <c r="BG39" i="5"/>
  <c r="BT40" i="5"/>
  <c r="BG44" i="5"/>
  <c r="BT44" i="5" s="1"/>
  <c r="BG30" i="5"/>
  <c r="BT31" i="5"/>
  <c r="BG26" i="5"/>
  <c r="BG34" i="5" s="1"/>
  <c r="BG35" i="5" s="1"/>
  <c r="BG36" i="5" s="1"/>
  <c r="BT27" i="5"/>
  <c r="BE50" i="5"/>
  <c r="BE43" i="5"/>
  <c r="BE85" i="5"/>
  <c r="BE72" i="5"/>
  <c r="BE48" i="5"/>
  <c r="BE46" i="5"/>
  <c r="BE58" i="5" s="1"/>
  <c r="BE49" i="5"/>
  <c r="BE59" i="5" s="1"/>
  <c r="BE75" i="5"/>
  <c r="BE73" i="5"/>
  <c r="BE39" i="5"/>
  <c r="BE44" i="5"/>
  <c r="BJ48" i="5"/>
  <c r="BW48" i="5" s="1"/>
  <c r="BJ46" i="5"/>
  <c r="BJ49" i="5"/>
  <c r="BJ73" i="5"/>
  <c r="BW73" i="5" s="1"/>
  <c r="BJ47" i="5"/>
  <c r="BJ75" i="5"/>
  <c r="BW75" i="5" s="1"/>
  <c r="BJ43" i="5"/>
  <c r="BJ50" i="5"/>
  <c r="BW50" i="5" s="1"/>
  <c r="BJ72" i="5"/>
  <c r="BJ85" i="5"/>
  <c r="BW85" i="5" s="1"/>
  <c r="BN85" i="5"/>
  <c r="BN72" i="5"/>
  <c r="BN50" i="5"/>
  <c r="BN43" i="5"/>
  <c r="BN73" i="5"/>
  <c r="BN48" i="5"/>
  <c r="BN46" i="5"/>
  <c r="BN58" i="5" s="1"/>
  <c r="BN49" i="5"/>
  <c r="BN59" i="5" s="1"/>
  <c r="BN47" i="5"/>
  <c r="BN60" i="5" s="1"/>
  <c r="BN75" i="5"/>
  <c r="BD48" i="5"/>
  <c r="BD46" i="5"/>
  <c r="BD58" i="5" s="1"/>
  <c r="BD49" i="5"/>
  <c r="BD59" i="5" s="1"/>
  <c r="BD72" i="5"/>
  <c r="BD75" i="5"/>
  <c r="BD73" i="5"/>
  <c r="BD85" i="5"/>
  <c r="BD50" i="5"/>
  <c r="BD43" i="5"/>
  <c r="BA46" i="5"/>
  <c r="BA58" i="5" s="1"/>
  <c r="BA49" i="5"/>
  <c r="BA59" i="5" s="1"/>
  <c r="BA48" i="5"/>
  <c r="BA72" i="5"/>
  <c r="BA75" i="5"/>
  <c r="BA73" i="5"/>
  <c r="BA85" i="5"/>
  <c r="BA50" i="5"/>
  <c r="BA43" i="5"/>
  <c r="BO34" i="5"/>
  <c r="BO35" i="5" s="1"/>
  <c r="BO36" i="5" s="1"/>
  <c r="BP33" i="5"/>
  <c r="BF34" i="5"/>
  <c r="BF35" i="5" s="1"/>
  <c r="AR22" i="5"/>
  <c r="AQ22" i="5"/>
  <c r="BD22" i="5"/>
  <c r="BD15" i="5" s="1"/>
  <c r="BB22" i="5"/>
  <c r="BB15" i="5" s="1"/>
  <c r="AU36" i="5" l="1"/>
  <c r="H27" i="29"/>
  <c r="H31" i="29" s="1"/>
  <c r="BI58" i="5"/>
  <c r="BV58" i="5" s="1"/>
  <c r="BV46" i="5"/>
  <c r="BV47" i="5"/>
  <c r="BI60" i="5"/>
  <c r="BV60" i="5" s="1"/>
  <c r="BV49" i="5"/>
  <c r="BI59" i="5"/>
  <c r="BV59" i="5" s="1"/>
  <c r="BU47" i="5"/>
  <c r="BH60" i="5"/>
  <c r="BU60" i="5" s="1"/>
  <c r="BH59" i="5"/>
  <c r="BU59" i="5" s="1"/>
  <c r="BU49" i="5"/>
  <c r="BH58" i="5"/>
  <c r="BU58" i="5" s="1"/>
  <c r="BU46" i="5"/>
  <c r="BX47" i="5"/>
  <c r="BK60" i="5"/>
  <c r="BX60" i="5" s="1"/>
  <c r="BX49" i="5"/>
  <c r="BK59" i="5"/>
  <c r="BX59" i="5" s="1"/>
  <c r="BK58" i="5"/>
  <c r="BX58" i="5" s="1"/>
  <c r="BX46" i="5"/>
  <c r="BC47" i="5"/>
  <c r="BC60" i="5" s="1"/>
  <c r="BE47" i="5"/>
  <c r="BE60" i="5" s="1"/>
  <c r="BC85" i="5"/>
  <c r="BC46" i="5"/>
  <c r="BC58" i="5" s="1"/>
  <c r="BC49" i="5"/>
  <c r="BC59" i="5" s="1"/>
  <c r="BC48" i="5"/>
  <c r="BC72" i="5"/>
  <c r="BC75" i="5"/>
  <c r="BC73" i="5"/>
  <c r="BC50" i="5"/>
  <c r="BC43" i="5"/>
  <c r="BD47" i="5"/>
  <c r="BD60" i="5" s="1"/>
  <c r="AU43" i="5"/>
  <c r="AU50" i="5"/>
  <c r="AU85" i="5"/>
  <c r="AU75" i="5"/>
  <c r="AU73" i="5"/>
  <c r="AU72" i="5"/>
  <c r="AU48" i="5"/>
  <c r="AU49" i="5"/>
  <c r="AU59" i="5" s="1"/>
  <c r="AU46" i="5"/>
  <c r="AU58" i="5" s="1"/>
  <c r="CE58" i="5" s="1"/>
  <c r="BQ33" i="5"/>
  <c r="BT9" i="5"/>
  <c r="BS25" i="5" a="1"/>
  <c r="BS25" i="5" s="1"/>
  <c r="BS29" i="5" a="1"/>
  <c r="BS29" i="5" s="1"/>
  <c r="BS30" i="5" s="1"/>
  <c r="BS38" i="5" a="1"/>
  <c r="BS38" i="5" s="1"/>
  <c r="BS39" i="5" s="1"/>
  <c r="BS45" i="5"/>
  <c r="BS116" i="5" s="1"/>
  <c r="BS117" i="5"/>
  <c r="BS118" i="5"/>
  <c r="BS61" i="5"/>
  <c r="BS1" i="5"/>
  <c r="BS2" i="5"/>
  <c r="BS23" i="5" s="1" a="1"/>
  <c r="BS23" i="5" s="1"/>
  <c r="BQ23" i="5" a="1"/>
  <c r="BQ23" i="5" s="1"/>
  <c r="BQ27" i="5" a="1"/>
  <c r="BQ27" i="5" s="1"/>
  <c r="BQ26" i="5" s="1"/>
  <c r="BQ31" i="5" a="1"/>
  <c r="BQ31" i="5" s="1"/>
  <c r="BQ30" i="5" s="1"/>
  <c r="BQ40" i="5" a="1"/>
  <c r="BQ40" i="5" s="1"/>
  <c r="CF116" i="5"/>
  <c r="BP118" i="5"/>
  <c r="BP22" i="5"/>
  <c r="BP15" i="5" s="1"/>
  <c r="BP44" i="5"/>
  <c r="BP39" i="5"/>
  <c r="G27" i="30"/>
  <c r="G47" i="30"/>
  <c r="BG72" i="5"/>
  <c r="BG50" i="5"/>
  <c r="BT50" i="5" s="1"/>
  <c r="BG43" i="5"/>
  <c r="BG75" i="5"/>
  <c r="BT75" i="5" s="1"/>
  <c r="BG47" i="5"/>
  <c r="BG73" i="5"/>
  <c r="BT73" i="5" s="1"/>
  <c r="BG49" i="5"/>
  <c r="BG46" i="5"/>
  <c r="BG48" i="5"/>
  <c r="BT48" i="5" s="1"/>
  <c r="BG85" i="5"/>
  <c r="BT85" i="5" s="1"/>
  <c r="BJ58" i="5"/>
  <c r="BW46" i="5"/>
  <c r="BJ59" i="5"/>
  <c r="BW59" i="5" s="1"/>
  <c r="BW49" i="5"/>
  <c r="BW47" i="5"/>
  <c r="BJ60" i="5"/>
  <c r="BW60" i="5" s="1"/>
  <c r="BW43" i="5"/>
  <c r="BW72" i="5"/>
  <c r="BO85" i="5"/>
  <c r="BO72" i="5"/>
  <c r="BO73" i="5"/>
  <c r="BO75" i="5"/>
  <c r="BO50" i="5"/>
  <c r="BO49" i="5"/>
  <c r="BO59" i="5" s="1"/>
  <c r="BO48" i="5"/>
  <c r="BO47" i="5"/>
  <c r="BO60" i="5" s="1"/>
  <c r="BO46" i="5"/>
  <c r="BO58" i="5" s="1"/>
  <c r="BO43" i="5"/>
  <c r="BF36" i="5"/>
  <c r="B3" i="1"/>
  <c r="H42" i="29"/>
  <c r="BQ118" i="5"/>
  <c r="CE44" i="5"/>
  <c r="BP34" i="5"/>
  <c r="BP35" i="5" s="1"/>
  <c r="BP36" i="5" s="1"/>
  <c r="CE59" i="5" l="1"/>
  <c r="CE60" i="5"/>
  <c r="K4" i="1" s="1"/>
  <c r="B4" i="1"/>
  <c r="BU9" i="5"/>
  <c r="BT25" i="5" a="1"/>
  <c r="BT25" i="5" s="1"/>
  <c r="BT29" i="5" a="1"/>
  <c r="BT29" i="5" s="1"/>
  <c r="BT30" i="5" s="1"/>
  <c r="BT38" i="5" a="1"/>
  <c r="BT38" i="5" s="1"/>
  <c r="BT39" i="5" s="1"/>
  <c r="BT45" i="5"/>
  <c r="BT116" i="5" s="1"/>
  <c r="BT61" i="5"/>
  <c r="BT117" i="5"/>
  <c r="BT118" i="5"/>
  <c r="BT1" i="5"/>
  <c r="BT2" i="5"/>
  <c r="BT23" i="5" s="1" a="1"/>
  <c r="BT23" i="5" s="1"/>
  <c r="BS26" i="5"/>
  <c r="BS34" i="5" s="1"/>
  <c r="BS33" i="5"/>
  <c r="BS35" i="5" s="1"/>
  <c r="BQ22" i="5"/>
  <c r="BQ15" i="5" s="1"/>
  <c r="BQ44" i="5"/>
  <c r="CF44" i="5" s="1"/>
  <c r="BQ39" i="5"/>
  <c r="G48" i="30"/>
  <c r="BT72" i="5"/>
  <c r="BT43" i="5"/>
  <c r="BT47" i="5"/>
  <c r="BG60" i="5"/>
  <c r="BT60" i="5" s="1"/>
  <c r="BG59" i="5"/>
  <c r="BT59" i="5" s="1"/>
  <c r="BT49" i="5"/>
  <c r="BG58" i="5"/>
  <c r="BT46" i="5"/>
  <c r="BW58" i="5"/>
  <c r="BF85" i="5"/>
  <c r="BS85" i="5" s="1"/>
  <c r="BF72" i="5"/>
  <c r="BF50" i="5"/>
  <c r="BS50" i="5" s="1"/>
  <c r="BF43" i="5"/>
  <c r="BF75" i="5"/>
  <c r="BS75" i="5" s="1"/>
  <c r="BF47" i="5"/>
  <c r="BF73" i="5"/>
  <c r="BS73" i="5" s="1"/>
  <c r="BF49" i="5"/>
  <c r="BF46" i="5"/>
  <c r="BF48" i="5"/>
  <c r="BS48" i="5" s="1"/>
  <c r="CE53" i="5"/>
  <c r="CE51" i="5"/>
  <c r="CE52" i="5"/>
  <c r="BP85" i="5"/>
  <c r="BP72" i="5"/>
  <c r="BP75" i="5"/>
  <c r="BP73" i="5"/>
  <c r="BP50" i="5"/>
  <c r="BP49" i="5"/>
  <c r="BP59" i="5" s="1"/>
  <c r="BP48" i="5"/>
  <c r="BP47" i="5"/>
  <c r="BP60" i="5" s="1"/>
  <c r="BP46" i="5"/>
  <c r="BP58" i="5" s="1"/>
  <c r="BP43" i="5"/>
  <c r="CF118" i="5"/>
  <c r="I5" i="1" s="1"/>
  <c r="BQ34" i="5"/>
  <c r="BQ35" i="5" s="1"/>
  <c r="BQ36" i="5" s="1"/>
  <c r="G4" i="1" l="1"/>
  <c r="J4" i="1" s="1"/>
  <c r="D4" i="1" s="1"/>
  <c r="BV9" i="5"/>
  <c r="BU25" i="5" a="1"/>
  <c r="BU25" i="5" s="1"/>
  <c r="BU29" i="5" a="1"/>
  <c r="BU29" i="5" s="1"/>
  <c r="BU30" i="5" s="1"/>
  <c r="BU38" i="5" a="1"/>
  <c r="BU38" i="5" s="1"/>
  <c r="BU39" i="5" s="1"/>
  <c r="BU45" i="5"/>
  <c r="BU117" i="5"/>
  <c r="BU118" i="5"/>
  <c r="BU61" i="5"/>
  <c r="BU1" i="5"/>
  <c r="BU2" i="5"/>
  <c r="BU23" i="5" s="1" a="1"/>
  <c r="BU23" i="5" s="1"/>
  <c r="BT26" i="5"/>
  <c r="BT34" i="5" s="1"/>
  <c r="BT33" i="5"/>
  <c r="CF52" i="5"/>
  <c r="CF51" i="5"/>
  <c r="CF53" i="5"/>
  <c r="CF55" i="5" s="1"/>
  <c r="BT58" i="5"/>
  <c r="BS72" i="5"/>
  <c r="BS43" i="5"/>
  <c r="BS47" i="5"/>
  <c r="BF60" i="5"/>
  <c r="BF59" i="5"/>
  <c r="BS49" i="5"/>
  <c r="BF58" i="5"/>
  <c r="BS46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Q85" i="5"/>
  <c r="BQ72" i="5"/>
  <c r="BQ50" i="5"/>
  <c r="BQ49" i="5"/>
  <c r="BQ59" i="5" s="1"/>
  <c r="BQ48" i="5"/>
  <c r="BQ47" i="5"/>
  <c r="BQ60" i="5" s="1"/>
  <c r="BQ46" i="5"/>
  <c r="BQ58" i="5" s="1"/>
  <c r="BQ75" i="5"/>
  <c r="BQ43" i="5"/>
  <c r="BQ73" i="5"/>
  <c r="CE55" i="5"/>
  <c r="BT35" i="5" l="1"/>
  <c r="B5" i="1"/>
  <c r="BW9" i="5"/>
  <c r="BV25" i="5" a="1"/>
  <c r="BV25" i="5" s="1"/>
  <c r="BV29" i="5" a="1"/>
  <c r="BV29" i="5" s="1"/>
  <c r="BV30" i="5" s="1"/>
  <c r="BV38" i="5" a="1"/>
  <c r="BV38" i="5" s="1"/>
  <c r="BV39" i="5" s="1"/>
  <c r="BV45" i="5"/>
  <c r="BV117" i="5"/>
  <c r="BV118" i="5"/>
  <c r="BV61" i="5"/>
  <c r="BV1" i="5"/>
  <c r="BV2" i="5"/>
  <c r="BV23" i="5" s="1" a="1"/>
  <c r="BV23" i="5" s="1"/>
  <c r="BU26" i="5"/>
  <c r="BU34" i="5" s="1"/>
  <c r="BU33" i="5"/>
  <c r="BU35" i="5" s="1"/>
  <c r="BU116" i="5"/>
  <c r="BN52" i="5"/>
  <c r="BM52" i="5"/>
  <c r="BL52" i="5"/>
  <c r="BY52" i="5" s="1"/>
  <c r="BK52" i="5"/>
  <c r="BX52" i="5" s="1"/>
  <c r="BJ52" i="5"/>
  <c r="BW52" i="5" s="1"/>
  <c r="BI52" i="5"/>
  <c r="BV52" i="5" s="1"/>
  <c r="BH52" i="5"/>
  <c r="BU52" i="5" s="1"/>
  <c r="BG52" i="5"/>
  <c r="BT52" i="5" s="1"/>
  <c r="BF52" i="5"/>
  <c r="BS52" i="5" s="1"/>
  <c r="BO52" i="5"/>
  <c r="BP52" i="5"/>
  <c r="BQ52" i="5"/>
  <c r="BN51" i="5"/>
  <c r="BM51" i="5"/>
  <c r="BL51" i="5"/>
  <c r="BK51" i="5"/>
  <c r="BJ51" i="5"/>
  <c r="BI51" i="5"/>
  <c r="BH51" i="5"/>
  <c r="BG51" i="5"/>
  <c r="BF51" i="5"/>
  <c r="BO51" i="5"/>
  <c r="BP51" i="5"/>
  <c r="BQ51" i="5"/>
  <c r="BO53" i="5"/>
  <c r="BN53" i="5"/>
  <c r="BM53" i="5"/>
  <c r="BL53" i="5"/>
  <c r="BY53" i="5" s="1"/>
  <c r="BK53" i="5"/>
  <c r="BX53" i="5" s="1"/>
  <c r="BJ53" i="5"/>
  <c r="BW53" i="5" s="1"/>
  <c r="BI53" i="5"/>
  <c r="BV53" i="5" s="1"/>
  <c r="BH53" i="5"/>
  <c r="BU53" i="5" s="1"/>
  <c r="BG53" i="5"/>
  <c r="BT53" i="5" s="1"/>
  <c r="BF53" i="5"/>
  <c r="BS53" i="5" s="1"/>
  <c r="BP53" i="5"/>
  <c r="BQ53" i="5"/>
  <c r="CF74" i="5"/>
  <c r="CF76" i="5"/>
  <c r="CF78" i="5"/>
  <c r="CF83" i="5"/>
  <c r="CF86" i="5"/>
  <c r="CF87" i="5"/>
  <c r="CF88" i="5"/>
  <c r="CF89" i="5"/>
  <c r="CF91" i="5"/>
  <c r="CF92" i="5"/>
  <c r="CF93" i="5"/>
  <c r="CF94" i="5"/>
  <c r="CF95" i="5"/>
  <c r="CF96" i="5"/>
  <c r="CF97" i="5"/>
  <c r="I38" i="29"/>
  <c r="CF60" i="5"/>
  <c r="BS60" i="5"/>
  <c r="BS59" i="5"/>
  <c r="CF59" i="5"/>
  <c r="BS58" i="5"/>
  <c r="CF58" i="5"/>
  <c r="CE76" i="5"/>
  <c r="CE78" i="5"/>
  <c r="CE83" i="5"/>
  <c r="CE86" i="5"/>
  <c r="CE87" i="5"/>
  <c r="CE88" i="5"/>
  <c r="CE89" i="5"/>
  <c r="CE91" i="5"/>
  <c r="CE92" i="5"/>
  <c r="CE93" i="5"/>
  <c r="CE94" i="5"/>
  <c r="CE95" i="5"/>
  <c r="CE96" i="5"/>
  <c r="CE97" i="5"/>
  <c r="H38" i="29"/>
  <c r="CE74" i="5"/>
  <c r="Q4" i="1"/>
  <c r="G5" i="1"/>
  <c r="J5" i="1" s="1"/>
  <c r="AW55" i="5"/>
  <c r="BA55" i="5"/>
  <c r="BC55" i="5"/>
  <c r="BE55" i="5"/>
  <c r="AT55" i="5"/>
  <c r="AU55" i="5"/>
  <c r="AV55" i="5"/>
  <c r="AX55" i="5"/>
  <c r="AY55" i="5"/>
  <c r="AZ55" i="5"/>
  <c r="BB55" i="5"/>
  <c r="BD55" i="5"/>
  <c r="BX9" i="5" l="1"/>
  <c r="BW25" i="5" a="1"/>
  <c r="BW25" i="5" s="1"/>
  <c r="BW29" i="5" a="1"/>
  <c r="BW29" i="5" s="1"/>
  <c r="BW30" i="5" s="1"/>
  <c r="BW38" i="5" a="1"/>
  <c r="BW38" i="5" s="1"/>
  <c r="BW39" i="5" s="1"/>
  <c r="BW45" i="5"/>
  <c r="BW61" i="5"/>
  <c r="BW117" i="5"/>
  <c r="BW118" i="5"/>
  <c r="BW1" i="5"/>
  <c r="BW2" i="5"/>
  <c r="BW23" i="5" s="1" a="1"/>
  <c r="BW23" i="5" s="1"/>
  <c r="BV26" i="5"/>
  <c r="BV34" i="5" s="1"/>
  <c r="BV33" i="5"/>
  <c r="BV35" i="5" s="1"/>
  <c r="BV116" i="5"/>
  <c r="BL55" i="5"/>
  <c r="BY51" i="5"/>
  <c r="BK55" i="5"/>
  <c r="BX51" i="5"/>
  <c r="BJ55" i="5"/>
  <c r="BW51" i="5"/>
  <c r="BI55" i="5"/>
  <c r="BV51" i="5"/>
  <c r="BH55" i="5"/>
  <c r="BU51" i="5"/>
  <c r="BU55" i="5" s="1"/>
  <c r="BG55" i="5"/>
  <c r="BT51" i="5"/>
  <c r="BT55" i="5" s="1"/>
  <c r="BF55" i="5"/>
  <c r="BS51" i="5"/>
  <c r="BS55" i="5" s="1"/>
  <c r="BQ74" i="5"/>
  <c r="BP74" i="5"/>
  <c r="BO74" i="5"/>
  <c r="BN74" i="5"/>
  <c r="BM74" i="5"/>
  <c r="BL74" i="5"/>
  <c r="BK74" i="5"/>
  <c r="BJ74" i="5"/>
  <c r="BI74" i="5"/>
  <c r="BH74" i="5"/>
  <c r="BG74" i="5"/>
  <c r="BF74" i="5"/>
  <c r="BQ76" i="5"/>
  <c r="BP76" i="5"/>
  <c r="BO76" i="5"/>
  <c r="BN76" i="5"/>
  <c r="BM76" i="5"/>
  <c r="BL76" i="5"/>
  <c r="BY76" i="5" s="1"/>
  <c r="BK76" i="5"/>
  <c r="BX76" i="5" s="1"/>
  <c r="BJ76" i="5"/>
  <c r="BW76" i="5" s="1"/>
  <c r="BI76" i="5"/>
  <c r="BV76" i="5" s="1"/>
  <c r="BH76" i="5"/>
  <c r="BU76" i="5" s="1"/>
  <c r="BG76" i="5"/>
  <c r="BT76" i="5" s="1"/>
  <c r="BF76" i="5"/>
  <c r="BS76" i="5" s="1"/>
  <c r="BQ78" i="5"/>
  <c r="BP78" i="5"/>
  <c r="BO78" i="5"/>
  <c r="BN78" i="5"/>
  <c r="BM78" i="5"/>
  <c r="BL78" i="5"/>
  <c r="BY78" i="5" s="1"/>
  <c r="BK78" i="5"/>
  <c r="BX78" i="5" s="1"/>
  <c r="BJ78" i="5"/>
  <c r="BW78" i="5" s="1"/>
  <c r="BI78" i="5"/>
  <c r="BV78" i="5" s="1"/>
  <c r="BH78" i="5"/>
  <c r="BU78" i="5" s="1"/>
  <c r="BG78" i="5"/>
  <c r="BT78" i="5" s="1"/>
  <c r="BF78" i="5"/>
  <c r="BS78" i="5" s="1"/>
  <c r="BQ83" i="5"/>
  <c r="BP83" i="5"/>
  <c r="BO83" i="5"/>
  <c r="BN83" i="5"/>
  <c r="BM83" i="5"/>
  <c r="BL83" i="5"/>
  <c r="BK83" i="5"/>
  <c r="BJ83" i="5"/>
  <c r="BI83" i="5"/>
  <c r="BH83" i="5"/>
  <c r="BG83" i="5"/>
  <c r="BF83" i="5"/>
  <c r="CF99" i="5"/>
  <c r="BQ86" i="5"/>
  <c r="BP86" i="5"/>
  <c r="BO86" i="5"/>
  <c r="BN86" i="5"/>
  <c r="BM86" i="5"/>
  <c r="BL86" i="5"/>
  <c r="BY86" i="5" s="1"/>
  <c r="BK86" i="5"/>
  <c r="BX86" i="5" s="1"/>
  <c r="BJ86" i="5"/>
  <c r="BW86" i="5" s="1"/>
  <c r="BI86" i="5"/>
  <c r="BV86" i="5" s="1"/>
  <c r="BH86" i="5"/>
  <c r="BU86" i="5" s="1"/>
  <c r="BG86" i="5"/>
  <c r="BT86" i="5" s="1"/>
  <c r="BF86" i="5"/>
  <c r="BS86" i="5" s="1"/>
  <c r="BQ87" i="5"/>
  <c r="BP87" i="5"/>
  <c r="BO87" i="5"/>
  <c r="BN87" i="5"/>
  <c r="BM87" i="5"/>
  <c r="BL87" i="5"/>
  <c r="BY87" i="5" s="1"/>
  <c r="BK87" i="5"/>
  <c r="BX87" i="5" s="1"/>
  <c r="BJ87" i="5"/>
  <c r="BW87" i="5" s="1"/>
  <c r="BI87" i="5"/>
  <c r="BV87" i="5" s="1"/>
  <c r="BH87" i="5"/>
  <c r="BU87" i="5" s="1"/>
  <c r="BG87" i="5"/>
  <c r="BT87" i="5" s="1"/>
  <c r="BF87" i="5"/>
  <c r="BS87" i="5" s="1"/>
  <c r="BQ88" i="5"/>
  <c r="BP88" i="5"/>
  <c r="BO88" i="5"/>
  <c r="BN88" i="5"/>
  <c r="BM88" i="5"/>
  <c r="BL88" i="5"/>
  <c r="BY88" i="5" s="1"/>
  <c r="BK88" i="5"/>
  <c r="BX88" i="5" s="1"/>
  <c r="BJ88" i="5"/>
  <c r="BW88" i="5" s="1"/>
  <c r="BI88" i="5"/>
  <c r="BV88" i="5" s="1"/>
  <c r="BH88" i="5"/>
  <c r="BU88" i="5" s="1"/>
  <c r="BG88" i="5"/>
  <c r="BT88" i="5" s="1"/>
  <c r="BF88" i="5"/>
  <c r="BS88" i="5" s="1"/>
  <c r="BQ89" i="5"/>
  <c r="BP89" i="5"/>
  <c r="BO89" i="5"/>
  <c r="BN89" i="5"/>
  <c r="BM89" i="5"/>
  <c r="BL89" i="5"/>
  <c r="BY89" i="5" s="1"/>
  <c r="BK89" i="5"/>
  <c r="BX89" i="5" s="1"/>
  <c r="BJ89" i="5"/>
  <c r="BW89" i="5" s="1"/>
  <c r="BI89" i="5"/>
  <c r="BV89" i="5" s="1"/>
  <c r="BH89" i="5"/>
  <c r="BU89" i="5" s="1"/>
  <c r="BG89" i="5"/>
  <c r="BT89" i="5" s="1"/>
  <c r="BF89" i="5"/>
  <c r="BS89" i="5" s="1"/>
  <c r="BQ91" i="5"/>
  <c r="BP91" i="5"/>
  <c r="BO91" i="5"/>
  <c r="BN91" i="5"/>
  <c r="BM91" i="5"/>
  <c r="BL91" i="5"/>
  <c r="BY91" i="5" s="1"/>
  <c r="BK91" i="5"/>
  <c r="BX91" i="5" s="1"/>
  <c r="BJ91" i="5"/>
  <c r="BW91" i="5" s="1"/>
  <c r="BI91" i="5"/>
  <c r="BV91" i="5" s="1"/>
  <c r="BH91" i="5"/>
  <c r="BU91" i="5" s="1"/>
  <c r="BG91" i="5"/>
  <c r="BT91" i="5" s="1"/>
  <c r="BF91" i="5"/>
  <c r="BS91" i="5" s="1"/>
  <c r="BQ92" i="5"/>
  <c r="BP92" i="5"/>
  <c r="BO92" i="5"/>
  <c r="BN92" i="5"/>
  <c r="BM92" i="5"/>
  <c r="BL92" i="5"/>
  <c r="BY92" i="5" s="1"/>
  <c r="BK92" i="5"/>
  <c r="BX92" i="5" s="1"/>
  <c r="BJ92" i="5"/>
  <c r="BW92" i="5" s="1"/>
  <c r="BI92" i="5"/>
  <c r="BV92" i="5" s="1"/>
  <c r="BH92" i="5"/>
  <c r="BU92" i="5" s="1"/>
  <c r="BG92" i="5"/>
  <c r="BT92" i="5" s="1"/>
  <c r="BF92" i="5"/>
  <c r="BS92" i="5" s="1"/>
  <c r="BQ93" i="5"/>
  <c r="BP93" i="5"/>
  <c r="BO93" i="5"/>
  <c r="BN93" i="5"/>
  <c r="BM93" i="5"/>
  <c r="BL93" i="5"/>
  <c r="BY93" i="5" s="1"/>
  <c r="BK93" i="5"/>
  <c r="BX93" i="5" s="1"/>
  <c r="BJ93" i="5"/>
  <c r="BW93" i="5" s="1"/>
  <c r="BI93" i="5"/>
  <c r="BV93" i="5" s="1"/>
  <c r="BH93" i="5"/>
  <c r="BU93" i="5" s="1"/>
  <c r="BG93" i="5"/>
  <c r="BT93" i="5" s="1"/>
  <c r="BF93" i="5"/>
  <c r="BS93" i="5" s="1"/>
  <c r="BQ94" i="5"/>
  <c r="BP94" i="5"/>
  <c r="BO94" i="5"/>
  <c r="BN94" i="5"/>
  <c r="BM94" i="5"/>
  <c r="BL94" i="5"/>
  <c r="BY94" i="5" s="1"/>
  <c r="BK94" i="5"/>
  <c r="BX94" i="5" s="1"/>
  <c r="BJ94" i="5"/>
  <c r="BW94" i="5" s="1"/>
  <c r="BI94" i="5"/>
  <c r="BV94" i="5" s="1"/>
  <c r="BH94" i="5"/>
  <c r="BU94" i="5" s="1"/>
  <c r="BG94" i="5"/>
  <c r="BT94" i="5" s="1"/>
  <c r="BF94" i="5"/>
  <c r="BS94" i="5" s="1"/>
  <c r="BQ95" i="5"/>
  <c r="BP95" i="5"/>
  <c r="BO95" i="5"/>
  <c r="BN95" i="5"/>
  <c r="BM95" i="5"/>
  <c r="BL95" i="5"/>
  <c r="BY95" i="5" s="1"/>
  <c r="BK95" i="5"/>
  <c r="BX95" i="5" s="1"/>
  <c r="BJ95" i="5"/>
  <c r="BW95" i="5" s="1"/>
  <c r="BI95" i="5"/>
  <c r="BV95" i="5" s="1"/>
  <c r="BH95" i="5"/>
  <c r="BU95" i="5" s="1"/>
  <c r="BG95" i="5"/>
  <c r="BT95" i="5" s="1"/>
  <c r="BF95" i="5"/>
  <c r="BS95" i="5" s="1"/>
  <c r="BQ96" i="5"/>
  <c r="BP96" i="5"/>
  <c r="BO96" i="5"/>
  <c r="BN96" i="5"/>
  <c r="BM96" i="5"/>
  <c r="BL96" i="5"/>
  <c r="BY96" i="5" s="1"/>
  <c r="BK96" i="5"/>
  <c r="BX96" i="5" s="1"/>
  <c r="BJ96" i="5"/>
  <c r="BW96" i="5" s="1"/>
  <c r="BI96" i="5"/>
  <c r="BV96" i="5" s="1"/>
  <c r="BH96" i="5"/>
  <c r="BU96" i="5" s="1"/>
  <c r="BG96" i="5"/>
  <c r="BT96" i="5" s="1"/>
  <c r="BF96" i="5"/>
  <c r="BS96" i="5" s="1"/>
  <c r="BQ97" i="5"/>
  <c r="BP97" i="5"/>
  <c r="BO97" i="5"/>
  <c r="BN97" i="5"/>
  <c r="BM97" i="5"/>
  <c r="BL97" i="5"/>
  <c r="BY97" i="5" s="1"/>
  <c r="BK97" i="5"/>
  <c r="BX97" i="5" s="1"/>
  <c r="BJ97" i="5"/>
  <c r="BW97" i="5" s="1"/>
  <c r="BI97" i="5"/>
  <c r="BV97" i="5" s="1"/>
  <c r="BH97" i="5"/>
  <c r="BU97" i="5" s="1"/>
  <c r="BG97" i="5"/>
  <c r="BT97" i="5" s="1"/>
  <c r="BF97" i="5"/>
  <c r="BS97" i="5" s="1"/>
  <c r="K5" i="1"/>
  <c r="AT76" i="5"/>
  <c r="BE76" i="5"/>
  <c r="BD76" i="5"/>
  <c r="BC76" i="5"/>
  <c r="BB76" i="5"/>
  <c r="BA76" i="5"/>
  <c r="AZ76" i="5"/>
  <c r="AY76" i="5"/>
  <c r="AX76" i="5"/>
  <c r="AW76" i="5"/>
  <c r="AV76" i="5"/>
  <c r="AU76" i="5"/>
  <c r="AT78" i="5"/>
  <c r="BE78" i="5"/>
  <c r="BD78" i="5"/>
  <c r="BC78" i="5"/>
  <c r="BB78" i="5"/>
  <c r="BA78" i="5"/>
  <c r="AZ78" i="5"/>
  <c r="AY78" i="5"/>
  <c r="AX78" i="5"/>
  <c r="AW78" i="5"/>
  <c r="AV78" i="5"/>
  <c r="AU78" i="5"/>
  <c r="BE83" i="5"/>
  <c r="BD83" i="5"/>
  <c r="BC83" i="5"/>
  <c r="BB83" i="5"/>
  <c r="BA83" i="5"/>
  <c r="AZ83" i="5"/>
  <c r="AY83" i="5"/>
  <c r="AX83" i="5"/>
  <c r="AW83" i="5"/>
  <c r="AV83" i="5"/>
  <c r="AU83" i="5"/>
  <c r="CE99" i="5"/>
  <c r="AT83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T74" i="5"/>
  <c r="BE74" i="5"/>
  <c r="BD74" i="5"/>
  <c r="BC74" i="5"/>
  <c r="BB74" i="5"/>
  <c r="BA74" i="5"/>
  <c r="AZ74" i="5"/>
  <c r="AY74" i="5"/>
  <c r="AX74" i="5"/>
  <c r="AW74" i="5"/>
  <c r="AV74" i="5"/>
  <c r="AU74" i="5"/>
  <c r="D5" i="1"/>
  <c r="AW62" i="5"/>
  <c r="AW65" i="5" s="1"/>
  <c r="BA62" i="5"/>
  <c r="BA65" i="5" s="1"/>
  <c r="BC62" i="5"/>
  <c r="BC65" i="5" s="1"/>
  <c r="BE62" i="5"/>
  <c r="BE65" i="5" s="1"/>
  <c r="H37" i="29"/>
  <c r="AT62" i="5"/>
  <c r="AU62" i="5"/>
  <c r="AU65" i="5" s="1"/>
  <c r="AV62" i="5"/>
  <c r="AV65" i="5" s="1"/>
  <c r="AX62" i="5"/>
  <c r="AX65" i="5" s="1"/>
  <c r="AY62" i="5"/>
  <c r="AY65" i="5" s="1"/>
  <c r="AZ62" i="5"/>
  <c r="AZ65" i="5" s="1"/>
  <c r="BB62" i="5"/>
  <c r="BB65" i="5" s="1"/>
  <c r="BD62" i="5"/>
  <c r="BD65" i="5" s="1"/>
  <c r="BN55" i="5"/>
  <c r="BM55" i="5"/>
  <c r="BO55" i="5"/>
  <c r="BP55" i="5"/>
  <c r="BQ55" i="5"/>
  <c r="Q5" i="1"/>
  <c r="BE99" i="5" l="1"/>
  <c r="BY9" i="5"/>
  <c r="BX25" i="5" a="1"/>
  <c r="BX25" i="5" s="1"/>
  <c r="BX29" i="5" a="1"/>
  <c r="BX29" i="5" s="1"/>
  <c r="BX30" i="5" s="1"/>
  <c r="BX38" i="5" a="1"/>
  <c r="BX38" i="5" s="1"/>
  <c r="BX39" i="5" s="1"/>
  <c r="BX45" i="5"/>
  <c r="BX117" i="5"/>
  <c r="BX118" i="5"/>
  <c r="BX61" i="5"/>
  <c r="BX1" i="5"/>
  <c r="BX2" i="5"/>
  <c r="BX23" i="5" s="1" a="1"/>
  <c r="BX23" i="5" s="1"/>
  <c r="BW26" i="5"/>
  <c r="BW34" i="5" s="1"/>
  <c r="BW33" i="5"/>
  <c r="BW35" i="5" s="1"/>
  <c r="BW55" i="5"/>
  <c r="BW116" i="5"/>
  <c r="BL62" i="5"/>
  <c r="BK62" i="5"/>
  <c r="BJ62" i="5"/>
  <c r="BI62" i="5"/>
  <c r="BH62" i="5"/>
  <c r="BG62" i="5"/>
  <c r="BF62" i="5"/>
  <c r="I37" i="29"/>
  <c r="BQ77" i="5"/>
  <c r="BQ80" i="5" s="1"/>
  <c r="BP77" i="5"/>
  <c r="BP80" i="5" s="1"/>
  <c r="BO77" i="5"/>
  <c r="BN77" i="5"/>
  <c r="BM77" i="5"/>
  <c r="BL77" i="5"/>
  <c r="BY77" i="5" s="1"/>
  <c r="BY74" i="5"/>
  <c r="BK77" i="5"/>
  <c r="BX77" i="5" s="1"/>
  <c r="BX74" i="5"/>
  <c r="BJ77" i="5"/>
  <c r="BW77" i="5" s="1"/>
  <c r="BW74" i="5"/>
  <c r="BI77" i="5"/>
  <c r="BV77" i="5" s="1"/>
  <c r="BV74" i="5"/>
  <c r="BH77" i="5"/>
  <c r="BU77" i="5" s="1"/>
  <c r="BU74" i="5"/>
  <c r="BG77" i="5"/>
  <c r="BT74" i="5"/>
  <c r="BF77" i="5"/>
  <c r="BS74" i="5"/>
  <c r="BL99" i="5"/>
  <c r="BY83" i="5"/>
  <c r="BY99" i="5" s="1"/>
  <c r="BK99" i="5"/>
  <c r="BX83" i="5"/>
  <c r="BX99" i="5" s="1"/>
  <c r="BJ99" i="5"/>
  <c r="BW83" i="5"/>
  <c r="BW99" i="5" s="1"/>
  <c r="BI99" i="5"/>
  <c r="BV83" i="5"/>
  <c r="BV99" i="5" s="1"/>
  <c r="BH99" i="5"/>
  <c r="BU83" i="5"/>
  <c r="BU99" i="5" s="1"/>
  <c r="BG99" i="5"/>
  <c r="BT83" i="5"/>
  <c r="BT99" i="5" s="1"/>
  <c r="BF99" i="5"/>
  <c r="BS83" i="5"/>
  <c r="BS99" i="5" s="1"/>
  <c r="CJ99" i="5"/>
  <c r="N5" i="1"/>
  <c r="CI99" i="5"/>
  <c r="N4" i="1"/>
  <c r="AT77" i="5"/>
  <c r="AT80" i="5" s="1"/>
  <c r="BE77" i="5"/>
  <c r="BD77" i="5"/>
  <c r="BD80" i="5" s="1"/>
  <c r="BC77" i="5"/>
  <c r="BC80" i="5" s="1"/>
  <c r="BB77" i="5"/>
  <c r="BA77" i="5"/>
  <c r="AZ77" i="5"/>
  <c r="AY77" i="5"/>
  <c r="AX77" i="5"/>
  <c r="AX80" i="5" s="1"/>
  <c r="AW77" i="5"/>
  <c r="AV77" i="5"/>
  <c r="AV80" i="5" s="1"/>
  <c r="AU77" i="5"/>
  <c r="AT65" i="5"/>
  <c r="AT67" i="5" s="1"/>
  <c r="CE62" i="5"/>
  <c r="CE65" i="5" s="1"/>
  <c r="BN62" i="5"/>
  <c r="BN65" i="5" s="1"/>
  <c r="BN67" i="5" s="1"/>
  <c r="BM62" i="5"/>
  <c r="BM65" i="5" s="1"/>
  <c r="BM67" i="5" s="1"/>
  <c r="BO62" i="5"/>
  <c r="BO65" i="5" s="1"/>
  <c r="BP62" i="5"/>
  <c r="BP65" i="5" s="1"/>
  <c r="BP67" i="5" s="1"/>
  <c r="BQ62" i="5"/>
  <c r="BQ65" i="5" s="1"/>
  <c r="BE67" i="5"/>
  <c r="BB67" i="5"/>
  <c r="BO99" i="5"/>
  <c r="BV55" i="5"/>
  <c r="BQ99" i="5"/>
  <c r="BM99" i="5"/>
  <c r="BD99" i="5"/>
  <c r="BC99" i="5"/>
  <c r="BB99" i="5"/>
  <c r="BA99" i="5"/>
  <c r="AZ99" i="5"/>
  <c r="AY99" i="5"/>
  <c r="AX99" i="5"/>
  <c r="AW99" i="5"/>
  <c r="AV99" i="5"/>
  <c r="AU99" i="5"/>
  <c r="AT99" i="5"/>
  <c r="AW67" i="5"/>
  <c r="BC67" i="5"/>
  <c r="AY67" i="5"/>
  <c r="BD67" i="5"/>
  <c r="BP99" i="5"/>
  <c r="AU67" i="5"/>
  <c r="AV67" i="5"/>
  <c r="AX67" i="5"/>
  <c r="AZ67" i="5"/>
  <c r="BA67" i="5"/>
  <c r="BN99" i="5"/>
  <c r="BX80" i="5" l="1"/>
  <c r="BU80" i="5"/>
  <c r="BT77" i="5"/>
  <c r="BT80" i="5" s="1"/>
  <c r="BG80" i="5"/>
  <c r="BW80" i="5"/>
  <c r="AT101" i="5"/>
  <c r="AT111" i="5" s="1"/>
  <c r="G61" i="4"/>
  <c r="G60" i="4"/>
  <c r="G58" i="4"/>
  <c r="G59" i="4"/>
  <c r="G57" i="4"/>
  <c r="G56" i="4"/>
  <c r="G55" i="4"/>
  <c r="G54" i="4"/>
  <c r="G53" i="4"/>
  <c r="G52" i="4"/>
  <c r="G51" i="4"/>
  <c r="G49" i="4"/>
  <c r="G50" i="4"/>
  <c r="G48" i="4"/>
  <c r="G46" i="4"/>
  <c r="G47" i="4"/>
  <c r="G45" i="4"/>
  <c r="G44" i="4"/>
  <c r="G43" i="4"/>
  <c r="G42" i="4"/>
  <c r="G41" i="4"/>
  <c r="G40" i="4"/>
  <c r="G39" i="4"/>
  <c r="G37" i="4"/>
  <c r="G38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0" i="4"/>
  <c r="G21" i="4"/>
  <c r="G19" i="4"/>
  <c r="H12" i="2" a="1"/>
  <c r="H12" i="2" s="1"/>
  <c r="E15" i="2" a="1"/>
  <c r="E15" i="2" s="1"/>
  <c r="J10" i="2" a="1"/>
  <c r="J10" i="2" s="1"/>
  <c r="Q14" i="2" a="1"/>
  <c r="Q14" i="2" s="1"/>
  <c r="F12" i="2" a="1"/>
  <c r="F12" i="2" s="1"/>
  <c r="M11" i="2" a="1"/>
  <c r="M11" i="2" s="1"/>
  <c r="F10" i="2" a="1"/>
  <c r="F10" i="2" s="1"/>
  <c r="R11" i="2" a="1"/>
  <c r="R11" i="2" s="1"/>
  <c r="O10" i="2" a="1"/>
  <c r="O10" i="2" s="1"/>
  <c r="F11" i="2" a="1"/>
  <c r="F11" i="2" s="1"/>
  <c r="N10" i="2" a="1"/>
  <c r="N10" i="2" s="1"/>
  <c r="O11" i="2" a="1"/>
  <c r="O11" i="2" s="1"/>
  <c r="D12" i="2" a="1"/>
  <c r="D12" i="2" s="1"/>
  <c r="E11" i="2" a="1"/>
  <c r="E11" i="2" s="1"/>
  <c r="Q10" i="2" a="1"/>
  <c r="Q10" i="2" s="1"/>
  <c r="J11" i="2" a="1"/>
  <c r="J11" i="2" s="1"/>
  <c r="L14" i="2" a="1"/>
  <c r="L14" i="2" s="1"/>
  <c r="D10" i="2" a="1"/>
  <c r="D10" i="2" s="1"/>
  <c r="I12" i="2" a="1"/>
  <c r="I12" i="2" s="1"/>
  <c r="L12" i="2" a="1"/>
  <c r="L12" i="2" s="1"/>
  <c r="O12" i="2" a="1"/>
  <c r="O12" i="2" s="1"/>
  <c r="G14" i="2" a="1"/>
  <c r="G14" i="2" s="1"/>
  <c r="M15" i="2" a="1"/>
  <c r="M15" i="2" s="1"/>
  <c r="K10" i="2" a="1"/>
  <c r="K10" i="2" s="1"/>
  <c r="I11" i="2" a="1"/>
  <c r="I11" i="2" s="1"/>
  <c r="Q11" i="2" a="1"/>
  <c r="Q11" i="2" s="1"/>
  <c r="I10" i="2" a="1"/>
  <c r="I10" i="2" s="1"/>
  <c r="D11" i="2" a="1"/>
  <c r="D11" i="2" s="1"/>
  <c r="G11" i="2" a="1"/>
  <c r="G11" i="2" s="1"/>
  <c r="G12" i="2" a="1"/>
  <c r="G12" i="2" s="1"/>
  <c r="J12" i="2" a="1"/>
  <c r="J12" i="2" s="1"/>
  <c r="I14" i="2" a="1"/>
  <c r="I14" i="2" s="1"/>
  <c r="S14" i="2" a="1"/>
  <c r="S14" i="2" s="1"/>
  <c r="G15" i="2" a="1"/>
  <c r="G15" i="2" s="1"/>
  <c r="N15" i="2" a="1"/>
  <c r="N15" i="2" s="1"/>
  <c r="K14" i="2" a="1"/>
  <c r="K14" i="2" s="1"/>
  <c r="H11" i="2" a="1"/>
  <c r="H11" i="2" s="1"/>
  <c r="I15" i="2" a="1"/>
  <c r="I15" i="2" s="1"/>
  <c r="S10" i="2" a="1"/>
  <c r="S10" i="2" s="1"/>
  <c r="N11" i="2" a="1"/>
  <c r="N11" i="2" s="1"/>
  <c r="E12" i="2" a="1"/>
  <c r="E12" i="2" s="1"/>
  <c r="O15" i="2" a="1"/>
  <c r="O15" i="2" s="1"/>
  <c r="Q12" i="2" a="1"/>
  <c r="Q12" i="2" s="1"/>
  <c r="S11" i="2" a="1"/>
  <c r="S11" i="2" s="1"/>
  <c r="H10" i="2" a="1"/>
  <c r="H10" i="2" s="1"/>
  <c r="Q15" i="2" a="1"/>
  <c r="Q15" i="2" s="1"/>
  <c r="D15" i="2" a="1"/>
  <c r="D15" i="2" s="1"/>
  <c r="M10" i="2" a="1"/>
  <c r="M10" i="2" s="1"/>
  <c r="K11" i="2" a="1"/>
  <c r="K11" i="2" s="1"/>
  <c r="E10" i="2" a="1"/>
  <c r="E10" i="2" s="1"/>
  <c r="J15" i="2" a="1"/>
  <c r="J15" i="2" s="1"/>
  <c r="R14" i="2" a="1"/>
  <c r="R14" i="2" s="1"/>
  <c r="M14" i="2" a="1"/>
  <c r="M14" i="2" s="1"/>
  <c r="J14" i="2" a="1"/>
  <c r="J14" i="2" s="1"/>
  <c r="D14" i="2" a="1"/>
  <c r="D14" i="2" s="1"/>
  <c r="K15" i="2" a="1"/>
  <c r="K15" i="2" s="1"/>
  <c r="E14" i="2" a="1"/>
  <c r="E14" i="2" s="1"/>
  <c r="L15" i="2" a="1"/>
  <c r="L15" i="2" s="1"/>
  <c r="F15" i="2" a="1"/>
  <c r="F15" i="2" s="1"/>
  <c r="O14" i="2" a="1"/>
  <c r="O14" i="2" s="1"/>
  <c r="H14" i="2" a="1"/>
  <c r="H14" i="2" s="1"/>
  <c r="F14" i="2" a="1"/>
  <c r="F14" i="2" s="1"/>
  <c r="R12" i="2" a="1"/>
  <c r="R12" i="2" s="1"/>
  <c r="N12" i="2" a="1"/>
  <c r="N12" i="2" s="1"/>
  <c r="K12" i="2" a="1"/>
  <c r="K12" i="2" s="1"/>
  <c r="L10" i="2" a="1"/>
  <c r="L10" i="2" s="1"/>
  <c r="R10" i="2" a="1"/>
  <c r="R10" i="2" s="1"/>
  <c r="G10" i="2" a="1"/>
  <c r="G10" i="2" s="1"/>
  <c r="H15" i="2" a="1"/>
  <c r="H15" i="2" s="1"/>
  <c r="S12" i="2" a="1"/>
  <c r="S12" i="2" s="1"/>
  <c r="N14" i="2" a="1"/>
  <c r="N14" i="2" s="1"/>
  <c r="M12" i="2" a="1"/>
  <c r="M12" i="2" s="1"/>
  <c r="L11" i="2" a="1"/>
  <c r="L11" i="2" s="1"/>
  <c r="BY25" i="5" a="1"/>
  <c r="BY25" i="5" s="1"/>
  <c r="BY29" i="5" a="1"/>
  <c r="BY29" i="5" s="1"/>
  <c r="BY30" i="5" s="1"/>
  <c r="BY38" i="5" a="1"/>
  <c r="BY38" i="5" s="1"/>
  <c r="BY39" i="5" s="1"/>
  <c r="BY45" i="5"/>
  <c r="BY61" i="5"/>
  <c r="BY117" i="5"/>
  <c r="BY118" i="5"/>
  <c r="BY1" i="5"/>
  <c r="BY2" i="5"/>
  <c r="BY23" i="5" s="1" a="1"/>
  <c r="BY23" i="5" s="1"/>
  <c r="BX26" i="5"/>
  <c r="BX34" i="5" s="1"/>
  <c r="BX33" i="5"/>
  <c r="BX35" i="5" s="1"/>
  <c r="BX55" i="5"/>
  <c r="BX116" i="5"/>
  <c r="BL65" i="5"/>
  <c r="BL67" i="5" s="1"/>
  <c r="BY62" i="5"/>
  <c r="BK65" i="5"/>
  <c r="BK67" i="5" s="1"/>
  <c r="BX62" i="5"/>
  <c r="BX65" i="5" s="1"/>
  <c r="BJ65" i="5"/>
  <c r="BJ67" i="5" s="1"/>
  <c r="BW62" i="5"/>
  <c r="BW65" i="5" s="1"/>
  <c r="BW67" i="5" s="1"/>
  <c r="BI65" i="5"/>
  <c r="BI67" i="5" s="1"/>
  <c r="BV62" i="5"/>
  <c r="BV65" i="5" s="1"/>
  <c r="BV67" i="5" s="1"/>
  <c r="BH65" i="5"/>
  <c r="BH67" i="5" s="1"/>
  <c r="BU62" i="5"/>
  <c r="BU65" i="5" s="1"/>
  <c r="BU67" i="5" s="1"/>
  <c r="BG65" i="5"/>
  <c r="BG67" i="5" s="1"/>
  <c r="BT62" i="5"/>
  <c r="BT65" i="5" s="1"/>
  <c r="BT67" i="5" s="1"/>
  <c r="BF65" i="5"/>
  <c r="BF67" i="5" s="1"/>
  <c r="CF62" i="5"/>
  <c r="CF65" i="5" s="1"/>
  <c r="BS62" i="5"/>
  <c r="BS65" i="5" s="1"/>
  <c r="BS67" i="5" s="1"/>
  <c r="BS77" i="5"/>
  <c r="BS80" i="5" s="1"/>
  <c r="CF77" i="5"/>
  <c r="CF80" i="5" s="1"/>
  <c r="CE67" i="5"/>
  <c r="CI65" i="5"/>
  <c r="L4" i="1"/>
  <c r="BI80" i="5"/>
  <c r="BO80" i="5"/>
  <c r="BH80" i="5"/>
  <c r="BF80" i="5"/>
  <c r="BE80" i="5"/>
  <c r="BE101" i="5" s="1"/>
  <c r="BE111" i="5" s="1"/>
  <c r="BB80" i="5"/>
  <c r="BB101" i="5" s="1"/>
  <c r="BB111" i="5" s="1"/>
  <c r="BA80" i="5"/>
  <c r="BA101" i="5" s="1"/>
  <c r="BA111" i="5" s="1"/>
  <c r="AW80" i="5"/>
  <c r="AW101" i="5" s="1"/>
  <c r="AW111" i="5" s="1"/>
  <c r="BN80" i="5"/>
  <c r="BN101" i="5" s="1"/>
  <c r="BN111" i="5" s="1"/>
  <c r="BY80" i="5"/>
  <c r="BJ80" i="5"/>
  <c r="CE77" i="5"/>
  <c r="CE80" i="5" s="1"/>
  <c r="AZ80" i="5"/>
  <c r="AZ101" i="5" s="1"/>
  <c r="AZ111" i="5" s="1"/>
  <c r="AY80" i="5"/>
  <c r="AY101" i="5" s="1"/>
  <c r="AY111" i="5" s="1"/>
  <c r="AU80" i="5"/>
  <c r="AU101" i="5" s="1"/>
  <c r="AU111" i="5" s="1"/>
  <c r="BL80" i="5"/>
  <c r="BV80" i="5"/>
  <c r="BO67" i="5"/>
  <c r="BP101" i="5"/>
  <c r="BP111" i="5" s="1"/>
  <c r="BQ67" i="5"/>
  <c r="BQ101" i="5" s="1"/>
  <c r="BQ111" i="5" s="1"/>
  <c r="BC101" i="5"/>
  <c r="BC111" i="5" s="1"/>
  <c r="BD101" i="5"/>
  <c r="BD111" i="5" s="1"/>
  <c r="AV101" i="5"/>
  <c r="AV111" i="5" s="1"/>
  <c r="AX101" i="5"/>
  <c r="AX111" i="5" s="1"/>
  <c r="BM80" i="5"/>
  <c r="BM101" i="5" s="1"/>
  <c r="BM111" i="5" s="1"/>
  <c r="BK80" i="5"/>
  <c r="BO101" i="5" l="1"/>
  <c r="BO111" i="5" s="1"/>
  <c r="BL101" i="5"/>
  <c r="BL111" i="5" s="1"/>
  <c r="BK101" i="5"/>
  <c r="BK111" i="5" s="1"/>
  <c r="BW101" i="5"/>
  <c r="BW111" i="5" s="1"/>
  <c r="BU101" i="5"/>
  <c r="BU111" i="5" s="1"/>
  <c r="BG101" i="5"/>
  <c r="BG111" i="5" s="1"/>
  <c r="BT101" i="5"/>
  <c r="BT111" i="5" s="1"/>
  <c r="G12" i="4"/>
  <c r="L13" i="2"/>
  <c r="G11" i="4"/>
  <c r="D13" i="2"/>
  <c r="I13" i="2"/>
  <c r="F13" i="2"/>
  <c r="O13" i="2"/>
  <c r="G10" i="4"/>
  <c r="M13" i="2"/>
  <c r="J13" i="2"/>
  <c r="BY26" i="5"/>
  <c r="BY34" i="5" s="1"/>
  <c r="BY33" i="5"/>
  <c r="BY35" i="5" s="1"/>
  <c r="BY55" i="5"/>
  <c r="BY116" i="5"/>
  <c r="D37" i="29"/>
  <c r="D41" i="29"/>
  <c r="D43" i="29"/>
  <c r="CW84" i="5"/>
  <c r="CW93" i="5"/>
  <c r="CV71" i="5"/>
  <c r="CU63" i="5"/>
  <c r="CW74" i="5"/>
  <c r="CW83" i="5"/>
  <c r="CX71" i="5"/>
  <c r="CX97" i="5"/>
  <c r="CW33" i="5"/>
  <c r="CX105" i="5"/>
  <c r="CW46" i="5"/>
  <c r="CW59" i="5"/>
  <c r="CW75" i="5"/>
  <c r="CW45" i="5"/>
  <c r="CW87" i="5"/>
  <c r="CW72" i="5"/>
  <c r="CW63" i="5"/>
  <c r="CU60" i="5"/>
  <c r="CU86" i="5"/>
  <c r="CV85" i="5"/>
  <c r="CX86" i="5"/>
  <c r="CW78" i="5"/>
  <c r="CX70" i="5"/>
  <c r="CU77" i="5"/>
  <c r="CW43" i="5"/>
  <c r="CW89" i="5"/>
  <c r="CX92" i="5"/>
  <c r="CU61" i="5"/>
  <c r="CW92" i="5"/>
  <c r="CW30" i="5"/>
  <c r="CW60" i="5"/>
  <c r="CU70" i="5"/>
  <c r="CU83" i="5"/>
  <c r="CW107" i="5"/>
  <c r="CV59" i="5"/>
  <c r="CW76" i="5"/>
  <c r="CW51" i="5"/>
  <c r="CV76" i="5"/>
  <c r="CW61" i="5"/>
  <c r="CW29" i="5"/>
  <c r="CW31" i="5" s="1"/>
  <c r="CW58" i="5"/>
  <c r="CW21" i="5"/>
  <c r="CX49" i="5"/>
  <c r="CV77" i="5"/>
  <c r="CB61" i="5"/>
  <c r="CV63" i="5"/>
  <c r="CW96" i="5"/>
  <c r="CX59" i="5"/>
  <c r="CW62" i="5"/>
  <c r="CW52" i="5"/>
  <c r="CW94" i="5"/>
  <c r="CW95" i="5"/>
  <c r="CW50" i="5"/>
  <c r="CW97" i="5"/>
  <c r="CX74" i="5"/>
  <c r="CW70" i="5"/>
  <c r="CV60" i="5"/>
  <c r="CU73" i="5"/>
  <c r="CW77" i="5"/>
  <c r="CW39" i="5"/>
  <c r="CW71" i="5"/>
  <c r="CB59" i="5"/>
  <c r="CV74" i="5"/>
  <c r="CW48" i="5"/>
  <c r="CW106" i="5"/>
  <c r="CW49" i="5"/>
  <c r="CW104" i="5"/>
  <c r="CU59" i="5"/>
  <c r="CV72" i="5"/>
  <c r="CU75" i="5"/>
  <c r="CW86" i="5"/>
  <c r="CW53" i="5"/>
  <c r="CW73" i="5"/>
  <c r="CW85" i="5"/>
  <c r="CX22" i="5"/>
  <c r="CW38" i="5"/>
  <c r="CW25" i="5"/>
  <c r="CW20" i="5"/>
  <c r="CU91" i="5"/>
  <c r="CV46" i="5"/>
  <c r="CV33" i="5"/>
  <c r="CB118" i="5"/>
  <c r="CB44" i="5"/>
  <c r="CU43" i="5"/>
  <c r="CU51" i="5"/>
  <c r="CV20" i="5"/>
  <c r="CB15" i="5"/>
  <c r="CV73" i="5"/>
  <c r="CX61" i="5"/>
  <c r="CX52" i="5"/>
  <c r="CX96" i="5"/>
  <c r="CX76" i="5"/>
  <c r="CX83" i="5"/>
  <c r="CU76" i="5"/>
  <c r="CV78" i="5"/>
  <c r="CV83" i="5"/>
  <c r="CU84" i="5"/>
  <c r="CV84" i="5"/>
  <c r="CX25" i="5"/>
  <c r="CX30" i="5"/>
  <c r="CX39" i="5"/>
  <c r="CX51" i="5"/>
  <c r="CX87" i="5"/>
  <c r="CX60" i="5"/>
  <c r="CX20" i="5"/>
  <c r="CX43" i="5"/>
  <c r="CU78" i="5"/>
  <c r="CU85" i="5"/>
  <c r="CV86" i="5"/>
  <c r="CV70" i="5"/>
  <c r="CX107" i="5"/>
  <c r="CX45" i="5"/>
  <c r="CX53" i="5"/>
  <c r="CX77" i="5"/>
  <c r="CW105" i="5"/>
  <c r="CW91" i="5"/>
  <c r="CW88" i="5"/>
  <c r="CX104" i="5"/>
  <c r="CX109" i="5" s="1"/>
  <c r="CX62" i="5"/>
  <c r="CW47" i="5"/>
  <c r="CU53" i="5"/>
  <c r="CV48" i="5"/>
  <c r="CV51" i="5"/>
  <c r="CV107" i="5"/>
  <c r="CU89" i="5"/>
  <c r="CU45" i="5"/>
  <c r="CU95" i="5"/>
  <c r="CV43" i="5"/>
  <c r="CU33" i="5"/>
  <c r="CB116" i="5"/>
  <c r="CV29" i="5"/>
  <c r="CU21" i="5"/>
  <c r="CU19" i="5"/>
  <c r="CU104" i="5"/>
  <c r="CU90" i="5"/>
  <c r="CU44" i="5"/>
  <c r="E43" i="29"/>
  <c r="CU107" i="5"/>
  <c r="CU97" i="5"/>
  <c r="CW90" i="5"/>
  <c r="CX72" i="5"/>
  <c r="CX78" i="5"/>
  <c r="CW44" i="5"/>
  <c r="CW26" i="5"/>
  <c r="CW22" i="5"/>
  <c r="W10" i="2" s="1" a="1"/>
  <c r="W10" i="2" s="1"/>
  <c r="CW19" i="5"/>
  <c r="CV34" i="5"/>
  <c r="CV22" i="5"/>
  <c r="V10" i="2" s="1" a="1"/>
  <c r="V10" i="2" s="1"/>
  <c r="CB49" i="5"/>
  <c r="CV88" i="5"/>
  <c r="CU39" i="5"/>
  <c r="CV26" i="5"/>
  <c r="CA21" i="5"/>
  <c r="E42" i="29"/>
  <c r="CU20" i="5"/>
  <c r="CV96" i="5"/>
  <c r="E27" i="29"/>
  <c r="E31" i="29" s="1"/>
  <c r="CV93" i="5"/>
  <c r="CA116" i="5"/>
  <c r="CA118" i="5"/>
  <c r="CU52" i="5"/>
  <c r="CA52" i="5"/>
  <c r="CA47" i="5"/>
  <c r="CU72" i="5"/>
  <c r="CU62" i="5"/>
  <c r="CU74" i="5"/>
  <c r="CX38" i="5"/>
  <c r="CX47" i="5"/>
  <c r="CV50" i="5"/>
  <c r="CU106" i="5"/>
  <c r="CU48" i="5"/>
  <c r="CV105" i="5"/>
  <c r="CU49" i="5"/>
  <c r="CU96" i="5"/>
  <c r="CV44" i="5"/>
  <c r="CV106" i="5"/>
  <c r="CU87" i="5"/>
  <c r="E41" i="29"/>
  <c r="CU105" i="5"/>
  <c r="CV90" i="5"/>
  <c r="CV21" i="5"/>
  <c r="CA15" i="5"/>
  <c r="CA50" i="5"/>
  <c r="CU94" i="5"/>
  <c r="CU38" i="5"/>
  <c r="CV30" i="5"/>
  <c r="CV25" i="5"/>
  <c r="CA22" i="5"/>
  <c r="CV38" i="5"/>
  <c r="CX94" i="5"/>
  <c r="CX48" i="5"/>
  <c r="CV92" i="5"/>
  <c r="CV45" i="5"/>
  <c r="CU88" i="5"/>
  <c r="CB58" i="5"/>
  <c r="CV95" i="5"/>
  <c r="CA117" i="5"/>
  <c r="CV39" i="5"/>
  <c r="CU58" i="5"/>
  <c r="CU29" i="5"/>
  <c r="CB60" i="5"/>
  <c r="CV61" i="5"/>
  <c r="CX26" i="5"/>
  <c r="CX34" i="5"/>
  <c r="CW34" i="5"/>
  <c r="CB117" i="5"/>
  <c r="CV97" i="5"/>
  <c r="CU50" i="5"/>
  <c r="CV52" i="5"/>
  <c r="CV104" i="5"/>
  <c r="CV109" i="5" s="1"/>
  <c r="CA53" i="5"/>
  <c r="CB46" i="5"/>
  <c r="CU71" i="5"/>
  <c r="CB62" i="5"/>
  <c r="CV75" i="5"/>
  <c r="CV62" i="5"/>
  <c r="CB50" i="5"/>
  <c r="CV53" i="5"/>
  <c r="CU93" i="5"/>
  <c r="CX85" i="5"/>
  <c r="CX19" i="5"/>
  <c r="CX73" i="5"/>
  <c r="CX63" i="5"/>
  <c r="CX91" i="5"/>
  <c r="CX89" i="5"/>
  <c r="CX84" i="5"/>
  <c r="CX58" i="5"/>
  <c r="CX50" i="5"/>
  <c r="CX46" i="5"/>
  <c r="CX44" i="5"/>
  <c r="CX106" i="5"/>
  <c r="CX93" i="5"/>
  <c r="CX90" i="5"/>
  <c r="CX33" i="5"/>
  <c r="CX21" i="5"/>
  <c r="CB19" i="5"/>
  <c r="CV19" i="5"/>
  <c r="CB20" i="5"/>
  <c r="CA20" i="5"/>
  <c r="CB21" i="5"/>
  <c r="CB22" i="5"/>
  <c r="CU22" i="5"/>
  <c r="U10" i="2" s="1" a="1"/>
  <c r="U10" i="2" s="1"/>
  <c r="CU25" i="5"/>
  <c r="CU26" i="5"/>
  <c r="CU30" i="5"/>
  <c r="CU34" i="5"/>
  <c r="CU47" i="5"/>
  <c r="CB48" i="5"/>
  <c r="CX95" i="5"/>
  <c r="CX88" i="5"/>
  <c r="CA49" i="5"/>
  <c r="CB52" i="5"/>
  <c r="CV58" i="5"/>
  <c r="CV91" i="5"/>
  <c r="E37" i="29"/>
  <c r="CV49" i="5"/>
  <c r="CB53" i="5"/>
  <c r="CV89" i="5"/>
  <c r="CU92" i="5"/>
  <c r="CX29" i="5"/>
  <c r="CX75" i="5"/>
  <c r="CA48" i="5"/>
  <c r="CV87" i="5"/>
  <c r="CV94" i="5"/>
  <c r="CV47" i="5"/>
  <c r="CA46" i="5"/>
  <c r="CB47" i="5"/>
  <c r="CU46" i="5"/>
  <c r="CA44" i="5"/>
  <c r="L5" i="1"/>
  <c r="CJ65" i="5"/>
  <c r="CF67" i="5"/>
  <c r="M5" i="1"/>
  <c r="CJ80" i="5"/>
  <c r="CI67" i="5"/>
  <c r="CE101" i="5"/>
  <c r="M4" i="1"/>
  <c r="O4" i="1" s="1"/>
  <c r="CI80" i="5"/>
  <c r="R13" i="2"/>
  <c r="E13" i="2"/>
  <c r="N13" i="2"/>
  <c r="S13" i="2"/>
  <c r="Q13" i="2"/>
  <c r="G13" i="2"/>
  <c r="H13" i="2"/>
  <c r="K13" i="2"/>
  <c r="BY65" i="5"/>
  <c r="BX67" i="5"/>
  <c r="BX101" i="5" s="1"/>
  <c r="BX111" i="5" s="1"/>
  <c r="BJ101" i="5"/>
  <c r="BJ111" i="5" s="1"/>
  <c r="BI101" i="5"/>
  <c r="BI111" i="5" s="1"/>
  <c r="BV101" i="5"/>
  <c r="BV111" i="5" s="1"/>
  <c r="BH101" i="5"/>
  <c r="BH111" i="5" s="1"/>
  <c r="BF101" i="5"/>
  <c r="BF111" i="5" s="1"/>
  <c r="BS101" i="5"/>
  <c r="BS111" i="5" s="1"/>
  <c r="H47" i="29"/>
  <c r="CV112" i="5"/>
  <c r="CW112" i="5" l="1"/>
  <c r="CX31" i="5"/>
  <c r="I47" i="29"/>
  <c r="CU40" i="5"/>
  <c r="U12" i="2" s="1" a="1"/>
  <c r="U12" i="2" s="1"/>
  <c r="CV27" i="5"/>
  <c r="O5" i="1"/>
  <c r="CW40" i="5"/>
  <c r="W12" i="2" s="1" a="1"/>
  <c r="W12" i="2" s="1"/>
  <c r="CU31" i="5"/>
  <c r="CU65" i="5"/>
  <c r="CA55" i="5"/>
  <c r="D38" i="29" s="1"/>
  <c r="I41" i="29"/>
  <c r="H41" i="29"/>
  <c r="H36" i="29" s="1"/>
  <c r="H39" i="29" s="1"/>
  <c r="G41" i="29"/>
  <c r="G36" i="29" s="1"/>
  <c r="G39" i="29" s="1"/>
  <c r="F41" i="29"/>
  <c r="I42" i="29"/>
  <c r="F42" i="29"/>
  <c r="D42" i="29"/>
  <c r="D36" i="29" s="1"/>
  <c r="CF101" i="5"/>
  <c r="CJ67" i="5"/>
  <c r="CI101" i="5"/>
  <c r="CE111" i="5"/>
  <c r="R4" i="1"/>
  <c r="CU80" i="5"/>
  <c r="CV40" i="5"/>
  <c r="V12" i="2" s="1" a="1"/>
  <c r="V12" i="2" s="1"/>
  <c r="CU55" i="5"/>
  <c r="CX27" i="5"/>
  <c r="CB65" i="5"/>
  <c r="BY67" i="5"/>
  <c r="BY101" i="5" s="1"/>
  <c r="BY111" i="5" s="1"/>
  <c r="CX112" i="5" s="1"/>
  <c r="CW99" i="5"/>
  <c r="CW35" i="5"/>
  <c r="W11" i="2" s="1" a="1"/>
  <c r="W11" i="2" s="1"/>
  <c r="CU99" i="5"/>
  <c r="CV99" i="5"/>
  <c r="CX80" i="5"/>
  <c r="CW55" i="5"/>
  <c r="CW65" i="5"/>
  <c r="CW27" i="5"/>
  <c r="CV35" i="5"/>
  <c r="V11" i="2" s="1" a="1"/>
  <c r="V11" i="2" s="1"/>
  <c r="CW80" i="5"/>
  <c r="CW109" i="5"/>
  <c r="CB55" i="5"/>
  <c r="CX99" i="5"/>
  <c r="CX55" i="5"/>
  <c r="CV80" i="5"/>
  <c r="CV55" i="5"/>
  <c r="CU35" i="5"/>
  <c r="U11" i="2" s="1" a="1"/>
  <c r="U11" i="2" s="1"/>
  <c r="CV31" i="5"/>
  <c r="CU109" i="5"/>
  <c r="CX40" i="5"/>
  <c r="E36" i="29"/>
  <c r="CX65" i="5"/>
  <c r="CX35" i="5"/>
  <c r="CB17" i="5"/>
  <c r="CU27" i="5"/>
  <c r="CV65" i="5"/>
  <c r="U13" i="2" l="1"/>
  <c r="W13" i="2"/>
  <c r="CA67" i="5"/>
  <c r="CA101" i="5" s="1"/>
  <c r="CA111" i="5" s="1"/>
  <c r="D48" i="29" s="1"/>
  <c r="V13" i="2"/>
  <c r="CJ101" i="5"/>
  <c r="CF111" i="5"/>
  <c r="R5" i="1"/>
  <c r="R15" i="2" a="1"/>
  <c r="R15" i="2" s="1"/>
  <c r="CI111" i="5"/>
  <c r="H15" i="30"/>
  <c r="H48" i="29"/>
  <c r="H49" i="29" s="1"/>
  <c r="D10" i="3"/>
  <c r="CU67" i="5"/>
  <c r="CU101" i="5" s="1"/>
  <c r="CU111" i="5" s="1"/>
  <c r="U15" i="2" s="1" a="1"/>
  <c r="U15" i="2" s="1"/>
  <c r="U14" i="2" a="1"/>
  <c r="U14" i="2" s="1"/>
  <c r="CW67" i="5"/>
  <c r="CW101" i="5" s="1"/>
  <c r="CW111" i="5" s="1"/>
  <c r="W15" i="2" s="1" a="1"/>
  <c r="W15" i="2" s="1"/>
  <c r="W14" i="2" a="1"/>
  <c r="W14" i="2" s="1"/>
  <c r="CB67" i="5"/>
  <c r="CB101" i="5" s="1"/>
  <c r="CB111" i="5" s="1"/>
  <c r="E48" i="29" s="1"/>
  <c r="E38" i="29"/>
  <c r="E39" i="29" s="1"/>
  <c r="CV67" i="5"/>
  <c r="CV101" i="5" s="1"/>
  <c r="CV111" i="5" s="1"/>
  <c r="V15" i="2" s="1" a="1"/>
  <c r="V15" i="2" s="1"/>
  <c r="V14" i="2" a="1"/>
  <c r="V14" i="2" s="1"/>
  <c r="D27" i="29"/>
  <c r="D31" i="29" s="1"/>
  <c r="F27" i="29"/>
  <c r="F31" i="29" s="1"/>
  <c r="I27" i="29"/>
  <c r="I31" i="29" s="1"/>
  <c r="I36" i="29"/>
  <c r="I39" i="29" s="1"/>
  <c r="F36" i="29"/>
  <c r="F39" i="29" s="1"/>
  <c r="D39" i="29"/>
  <c r="CX67" i="5"/>
  <c r="CX101" i="5" s="1"/>
  <c r="CX111" i="5" s="1"/>
  <c r="S15" i="2" l="1" a="1"/>
  <c r="S15" i="2" s="1"/>
  <c r="CJ111" i="5"/>
  <c r="I15" i="30"/>
  <c r="I48" i="29"/>
  <c r="I49" i="29" s="1"/>
  <c r="H17" i="30"/>
  <c r="H24" i="30"/>
  <c r="H29" i="30" s="1"/>
  <c r="H36" i="30"/>
  <c r="D35" i="3"/>
  <c r="E35" i="3"/>
  <c r="J15" i="30" l="1"/>
  <c r="I17" i="30"/>
  <c r="I26" i="30" s="1"/>
  <c r="I24" i="30"/>
  <c r="I29" i="30" s="1"/>
  <c r="I36" i="30"/>
  <c r="H26" i="30"/>
  <c r="H38" i="30"/>
  <c r="H45" i="30"/>
  <c r="H50" i="30" s="1"/>
  <c r="D62" i="3"/>
  <c r="D39" i="3"/>
  <c r="D61" i="3" s="1"/>
  <c r="D45" i="3"/>
  <c r="E62" i="3"/>
  <c r="E39" i="3"/>
  <c r="E61" i="3" s="1"/>
  <c r="E45" i="3"/>
  <c r="K15" i="30" l="1"/>
  <c r="J17" i="30"/>
  <c r="J24" i="30"/>
  <c r="J29" i="30" s="1"/>
  <c r="J36" i="30"/>
  <c r="I38" i="30"/>
  <c r="I47" i="30" s="1"/>
  <c r="I45" i="30"/>
  <c r="I50" i="30" s="1"/>
  <c r="H27" i="30"/>
  <c r="I27" i="30"/>
  <c r="H47" i="30"/>
  <c r="L15" i="30" l="1"/>
  <c r="K17" i="30"/>
  <c r="K26" i="30" s="1"/>
  <c r="K24" i="30"/>
  <c r="K29" i="30" s="1"/>
  <c r="J26" i="30"/>
  <c r="K36" i="30"/>
  <c r="J38" i="30"/>
  <c r="J47" i="30" s="1"/>
  <c r="J45" i="30"/>
  <c r="J50" i="30" s="1"/>
  <c r="H48" i="30"/>
  <c r="I48" i="30"/>
  <c r="L16" i="30" l="1"/>
  <c r="M15" i="30"/>
  <c r="L24" i="30"/>
  <c r="L29" i="30" s="1"/>
  <c r="J27" i="30"/>
  <c r="K27" i="30"/>
  <c r="L36" i="30"/>
  <c r="K38" i="30"/>
  <c r="K47" i="30" s="1"/>
  <c r="K48" i="30" s="1"/>
  <c r="K45" i="30"/>
  <c r="K50" i="30" s="1"/>
  <c r="J48" i="30"/>
  <c r="D15" i="30"/>
  <c r="D16" i="30" l="1"/>
  <c r="L17" i="30"/>
  <c r="N15" i="30"/>
  <c r="M17" i="30"/>
  <c r="M26" i="30" s="1"/>
  <c r="M24" i="30"/>
  <c r="M29" i="30" s="1"/>
  <c r="D36" i="30"/>
  <c r="L37" i="30"/>
  <c r="M36" i="30"/>
  <c r="L45" i="30"/>
  <c r="L50" i="30" s="1"/>
  <c r="D37" i="30" l="1"/>
  <c r="L38" i="30"/>
  <c r="L26" i="30"/>
  <c r="D31" i="30" s="1"/>
  <c r="D66" i="3" s="1"/>
  <c r="D17" i="30"/>
  <c r="D32" i="30" s="1"/>
  <c r="D67" i="3" s="1"/>
  <c r="O15" i="30"/>
  <c r="N17" i="30"/>
  <c r="N26" i="30" s="1"/>
  <c r="N24" i="30"/>
  <c r="N29" i="30" s="1"/>
  <c r="N36" i="30"/>
  <c r="M38" i="30"/>
  <c r="M47" i="30" s="1"/>
  <c r="M45" i="30"/>
  <c r="M50" i="30" s="1"/>
  <c r="D38" i="30" l="1"/>
  <c r="D53" i="30" s="1"/>
  <c r="E67" i="3" s="1"/>
  <c r="L47" i="30"/>
  <c r="D52" i="30" s="1"/>
  <c r="E66" i="3" s="1"/>
  <c r="N27" i="30"/>
  <c r="L27" i="30"/>
  <c r="M27" i="30"/>
  <c r="P15" i="30"/>
  <c r="O17" i="30"/>
  <c r="O26" i="30" s="1"/>
  <c r="O27" i="30" s="1"/>
  <c r="O24" i="30"/>
  <c r="O29" i="30" s="1"/>
  <c r="O36" i="30"/>
  <c r="N38" i="30"/>
  <c r="N47" i="30" s="1"/>
  <c r="N45" i="30"/>
  <c r="N50" i="30" s="1"/>
  <c r="N48" i="30" l="1"/>
  <c r="M48" i="30"/>
  <c r="L48" i="30"/>
  <c r="Q15" i="30"/>
  <c r="P17" i="30"/>
  <c r="P26" i="30" s="1"/>
  <c r="P27" i="30" s="1"/>
  <c r="P24" i="30"/>
  <c r="P29" i="30" s="1"/>
  <c r="P36" i="30"/>
  <c r="O38" i="30"/>
  <c r="O47" i="30" s="1"/>
  <c r="O48" i="30" s="1"/>
  <c r="O45" i="30"/>
  <c r="O50" i="30" s="1"/>
  <c r="R15" i="30" l="1"/>
  <c r="Q17" i="30"/>
  <c r="Q26" i="30" s="1"/>
  <c r="Q27" i="30" s="1"/>
  <c r="Q24" i="30"/>
  <c r="Q29" i="30" s="1"/>
  <c r="Q36" i="30"/>
  <c r="P38" i="30"/>
  <c r="P47" i="30" s="1"/>
  <c r="P48" i="30" s="1"/>
  <c r="P45" i="30"/>
  <c r="P50" i="30" s="1"/>
  <c r="S15" i="30" l="1"/>
  <c r="R17" i="30"/>
  <c r="R26" i="30" s="1"/>
  <c r="R27" i="30" s="1"/>
  <c r="R24" i="30"/>
  <c r="R29" i="30" s="1"/>
  <c r="R36" i="30"/>
  <c r="Q38" i="30"/>
  <c r="Q47" i="30" s="1"/>
  <c r="Q48" i="30" s="1"/>
  <c r="Q45" i="30"/>
  <c r="Q50" i="30" s="1"/>
  <c r="T15" i="30" l="1"/>
  <c r="S17" i="30"/>
  <c r="S26" i="30" s="1"/>
  <c r="S27" i="30" s="1"/>
  <c r="S24" i="30"/>
  <c r="S29" i="30" s="1"/>
  <c r="S36" i="30"/>
  <c r="R38" i="30"/>
  <c r="R47" i="30" s="1"/>
  <c r="R48" i="30" s="1"/>
  <c r="R45" i="30"/>
  <c r="R50" i="30" s="1"/>
  <c r="U15" i="30" l="1"/>
  <c r="T17" i="30"/>
  <c r="T26" i="30" s="1"/>
  <c r="T27" i="30" s="1"/>
  <c r="T24" i="30"/>
  <c r="T29" i="30" s="1"/>
  <c r="T36" i="30"/>
  <c r="S38" i="30"/>
  <c r="S47" i="30" s="1"/>
  <c r="S48" i="30" s="1"/>
  <c r="S45" i="30"/>
  <c r="S50" i="30" s="1"/>
  <c r="V15" i="30" l="1"/>
  <c r="U17" i="30"/>
  <c r="U26" i="30" s="1"/>
  <c r="U27" i="30" s="1"/>
  <c r="U24" i="30"/>
  <c r="U29" i="30" s="1"/>
  <c r="U36" i="30"/>
  <c r="T38" i="30"/>
  <c r="T47" i="30" s="1"/>
  <c r="T48" i="30" s="1"/>
  <c r="T45" i="30"/>
  <c r="T50" i="30" s="1"/>
  <c r="W15" i="30" l="1"/>
  <c r="V17" i="30"/>
  <c r="V26" i="30" s="1"/>
  <c r="V27" i="30" s="1"/>
  <c r="V24" i="30"/>
  <c r="V29" i="30" s="1"/>
  <c r="V36" i="30"/>
  <c r="U38" i="30"/>
  <c r="U47" i="30" s="1"/>
  <c r="U48" i="30" s="1"/>
  <c r="U45" i="30"/>
  <c r="U50" i="30" s="1"/>
  <c r="X15" i="30" l="1"/>
  <c r="W17" i="30"/>
  <c r="W26" i="30" s="1"/>
  <c r="W27" i="30" s="1"/>
  <c r="W24" i="30"/>
  <c r="W29" i="30" s="1"/>
  <c r="W36" i="30"/>
  <c r="V38" i="30"/>
  <c r="V47" i="30" s="1"/>
  <c r="V48" i="30" s="1"/>
  <c r="V45" i="30"/>
  <c r="V50" i="30" s="1"/>
  <c r="Y15" i="30" l="1"/>
  <c r="X17" i="30"/>
  <c r="X26" i="30" s="1"/>
  <c r="X27" i="30" s="1"/>
  <c r="X24" i="30"/>
  <c r="X29" i="30" s="1"/>
  <c r="X36" i="30"/>
  <c r="W38" i="30"/>
  <c r="W47" i="30" s="1"/>
  <c r="W48" i="30" s="1"/>
  <c r="W45" i="30"/>
  <c r="W50" i="30" s="1"/>
  <c r="Z15" i="30" l="1"/>
  <c r="Y17" i="30"/>
  <c r="Y26" i="30" s="1"/>
  <c r="Y27" i="30" s="1"/>
  <c r="Y24" i="30"/>
  <c r="Y29" i="30" s="1"/>
  <c r="Y36" i="30"/>
  <c r="X38" i="30"/>
  <c r="X47" i="30" s="1"/>
  <c r="X48" i="30" s="1"/>
  <c r="X45" i="30"/>
  <c r="X50" i="30" s="1"/>
  <c r="AA15" i="30" l="1"/>
  <c r="Z17" i="30"/>
  <c r="Z26" i="30" s="1"/>
  <c r="Z27" i="30" s="1"/>
  <c r="Z24" i="30"/>
  <c r="Z29" i="30" s="1"/>
  <c r="Z36" i="30"/>
  <c r="Y38" i="30"/>
  <c r="Y47" i="30" s="1"/>
  <c r="Y48" i="30" s="1"/>
  <c r="Y45" i="30"/>
  <c r="Y50" i="30" s="1"/>
  <c r="AB15" i="30" l="1"/>
  <c r="AA17" i="30"/>
  <c r="AA26" i="30" s="1"/>
  <c r="AA27" i="30" s="1"/>
  <c r="AA24" i="30"/>
  <c r="AA29" i="30" s="1"/>
  <c r="AA36" i="30"/>
  <c r="Z38" i="30"/>
  <c r="Z47" i="30" s="1"/>
  <c r="Z48" i="30" s="1"/>
  <c r="Z45" i="30"/>
  <c r="Z50" i="30" s="1"/>
  <c r="AC15" i="30" l="1"/>
  <c r="AB17" i="30"/>
  <c r="AB26" i="30" s="1"/>
  <c r="AB27" i="30" s="1"/>
  <c r="AB24" i="30"/>
  <c r="AB29" i="30" s="1"/>
  <c r="AB36" i="30"/>
  <c r="AA38" i="30"/>
  <c r="AA47" i="30" s="1"/>
  <c r="AA48" i="30" s="1"/>
  <c r="AA45" i="30"/>
  <c r="AA50" i="30" s="1"/>
  <c r="AD15" i="30" l="1"/>
  <c r="AC17" i="30"/>
  <c r="AC26" i="30" s="1"/>
  <c r="AC27" i="30" s="1"/>
  <c r="AC24" i="30"/>
  <c r="AC29" i="30" s="1"/>
  <c r="AC36" i="30"/>
  <c r="AB38" i="30"/>
  <c r="AB47" i="30" s="1"/>
  <c r="AB48" i="30" s="1"/>
  <c r="AB45" i="30"/>
  <c r="AB50" i="30" s="1"/>
  <c r="AE15" i="30" l="1"/>
  <c r="AD17" i="30"/>
  <c r="AD26" i="30" s="1"/>
  <c r="AD27" i="30" s="1"/>
  <c r="AD24" i="30"/>
  <c r="AD29" i="30" s="1"/>
  <c r="AD36" i="30"/>
  <c r="AC38" i="30"/>
  <c r="AC47" i="30" s="1"/>
  <c r="AC48" i="30" s="1"/>
  <c r="AC45" i="30"/>
  <c r="AC50" i="30" s="1"/>
  <c r="AE17" i="30" l="1"/>
  <c r="AE26" i="30" s="1"/>
  <c r="AE27" i="30" s="1"/>
  <c r="AE24" i="30"/>
  <c r="AE29" i="30" s="1"/>
  <c r="AE36" i="30"/>
  <c r="AD38" i="30"/>
  <c r="AD47" i="30" s="1"/>
  <c r="AD48" i="30" s="1"/>
  <c r="AD45" i="30"/>
  <c r="AD50" i="30" s="1"/>
  <c r="AE38" i="30" l="1"/>
  <c r="AE47" i="30" s="1"/>
  <c r="AE48" i="30" s="1"/>
  <c r="AE45" i="30"/>
  <c r="AE50" i="30" s="1"/>
  <c r="AL17" i="5" l="1"/>
  <c r="AL15" i="5" s="1"/>
  <c r="F40" i="4"/>
  <c r="F52" i="4"/>
  <c r="I52" i="4" s="1"/>
  <c r="F27" i="4"/>
  <c r="AM17" i="5"/>
  <c r="AM15" i="5" s="1"/>
  <c r="F24" i="4" s="1"/>
  <c r="I24" i="4" s="1"/>
  <c r="F41" i="4"/>
  <c r="I41" i="4" s="1"/>
  <c r="F30" i="4"/>
  <c r="I30" i="4" s="1"/>
  <c r="F42" i="4"/>
  <c r="I42" i="4" s="1"/>
  <c r="AN17" i="5"/>
  <c r="AN15" i="5" s="1"/>
  <c r="F48" i="4"/>
  <c r="I48" i="4" s="1"/>
  <c r="BX15" i="5"/>
  <c r="F60" i="4" s="1"/>
  <c r="I60" i="4" s="1"/>
  <c r="F53" i="4"/>
  <c r="I53" i="4" s="1"/>
  <c r="F33" i="4"/>
  <c r="F35" i="4"/>
  <c r="AJ17" i="5"/>
  <c r="AJ15" i="5" s="1"/>
  <c r="F21" i="4" s="1"/>
  <c r="I21" i="4" s="1"/>
  <c r="F29" i="4"/>
  <c r="I29" i="4" s="1"/>
  <c r="AI17" i="5"/>
  <c r="AI15" i="5" s="1"/>
  <c r="F20" i="4" s="1"/>
  <c r="I20" i="4" s="1"/>
  <c r="F37" i="4"/>
  <c r="I37" i="4" s="1"/>
  <c r="BT15" i="5"/>
  <c r="F56" i="4" s="1"/>
  <c r="F28" i="4"/>
  <c r="I28" i="4" s="1"/>
  <c r="AK17" i="5"/>
  <c r="AK15" i="5" s="1"/>
  <c r="F38" i="4"/>
  <c r="I38" i="4" s="1"/>
  <c r="F26" i="4"/>
  <c r="I26" i="4" s="1"/>
  <c r="F43" i="4"/>
  <c r="I43" i="4" s="1"/>
  <c r="F31" i="4"/>
  <c r="AH17" i="5"/>
  <c r="AH15" i="5" s="1"/>
  <c r="F19" i="4" l="1"/>
  <c r="I19" i="4" s="1"/>
  <c r="BV15" i="5"/>
  <c r="F58" i="4" s="1"/>
  <c r="I58" i="4" s="1"/>
  <c r="F46" i="4"/>
  <c r="I46" i="4" s="1"/>
  <c r="F45" i="4"/>
  <c r="I45" i="4" s="1"/>
  <c r="BU15" i="5"/>
  <c r="F57" i="4" s="1"/>
  <c r="I57" i="4" s="1"/>
  <c r="CU15" i="5"/>
  <c r="I31" i="4"/>
  <c r="I27" i="4"/>
  <c r="F22" i="4"/>
  <c r="CW15" i="5"/>
  <c r="F39" i="4"/>
  <c r="BW15" i="5"/>
  <c r="F59" i="4" s="1"/>
  <c r="F47" i="4"/>
  <c r="BY15" i="5"/>
  <c r="F61" i="4" s="1"/>
  <c r="F49" i="4"/>
  <c r="F23" i="4"/>
  <c r="F50" i="4"/>
  <c r="F51" i="4"/>
  <c r="I35" i="4"/>
  <c r="F25" i="4"/>
  <c r="I56" i="4"/>
  <c r="I33" i="4"/>
  <c r="F54" i="4"/>
  <c r="F44" i="4"/>
  <c r="F36" i="4"/>
  <c r="F34" i="4"/>
  <c r="I40" i="4"/>
  <c r="BS15" i="5"/>
  <c r="F55" i="4" s="1"/>
  <c r="CV15" i="5"/>
  <c r="CD13" i="5"/>
  <c r="F32" i="4"/>
  <c r="F10" i="4" l="1"/>
  <c r="I10" i="4" s="1"/>
  <c r="I51" i="4"/>
  <c r="I50" i="4"/>
  <c r="BC13" i="5"/>
  <c r="BC11" i="5" s="1"/>
  <c r="E40" i="4" s="1"/>
  <c r="BB13" i="5"/>
  <c r="BB11" i="5" s="1"/>
  <c r="E39" i="4" s="1"/>
  <c r="BA13" i="5"/>
  <c r="BA11" i="5" s="1"/>
  <c r="AX13" i="5"/>
  <c r="AX11" i="5" s="1"/>
  <c r="E35" i="4" s="1"/>
  <c r="AZ13" i="5"/>
  <c r="AZ11" i="5" s="1"/>
  <c r="E37" i="4" s="1"/>
  <c r="AW13" i="5"/>
  <c r="AW11" i="5" s="1"/>
  <c r="E34" i="4" s="1"/>
  <c r="J34" i="4" s="1"/>
  <c r="AY13" i="5"/>
  <c r="AY11" i="5" s="1"/>
  <c r="E36" i="4" s="1"/>
  <c r="AU13" i="5"/>
  <c r="AU11" i="5" s="1"/>
  <c r="E32" i="4" s="1"/>
  <c r="BD13" i="5"/>
  <c r="BD11" i="5" s="1"/>
  <c r="E41" i="4" s="1"/>
  <c r="AV13" i="5"/>
  <c r="AV11" i="5" s="1"/>
  <c r="E33" i="4" s="1"/>
  <c r="BE13" i="5"/>
  <c r="BE11" i="5" s="1"/>
  <c r="E42" i="4" s="1"/>
  <c r="AT13" i="5"/>
  <c r="AT11" i="5" s="1"/>
  <c r="I47" i="4"/>
  <c r="I25" i="4"/>
  <c r="I32" i="4"/>
  <c r="BJ13" i="5"/>
  <c r="BJ11" i="5" s="1"/>
  <c r="BI13" i="5"/>
  <c r="BI11" i="5" s="1"/>
  <c r="BO13" i="5"/>
  <c r="BO11" i="5" s="1"/>
  <c r="E52" i="4" s="1"/>
  <c r="BH13" i="5"/>
  <c r="BH11" i="5" s="1"/>
  <c r="BG13" i="5"/>
  <c r="BG11" i="5" s="1"/>
  <c r="BP13" i="5"/>
  <c r="BP11" i="5" s="1"/>
  <c r="E53" i="4" s="1"/>
  <c r="BN13" i="5"/>
  <c r="BN11" i="5" s="1"/>
  <c r="E51" i="4" s="1"/>
  <c r="J51" i="4" s="1"/>
  <c r="BF13" i="5"/>
  <c r="BF11" i="5" s="1"/>
  <c r="BK13" i="5"/>
  <c r="BK11" i="5" s="1"/>
  <c r="BQ13" i="5"/>
  <c r="BQ11" i="5" s="1"/>
  <c r="E54" i="4" s="1"/>
  <c r="J54" i="4" s="1"/>
  <c r="BM13" i="5"/>
  <c r="BM11" i="5" s="1"/>
  <c r="BL13" i="5"/>
  <c r="BL11" i="5" s="1"/>
  <c r="I44" i="4"/>
  <c r="I59" i="4"/>
  <c r="AH13" i="5"/>
  <c r="AH11" i="5" s="1"/>
  <c r="AL13" i="5"/>
  <c r="AL11" i="5" s="1"/>
  <c r="E23" i="4" s="1"/>
  <c r="J23" i="4" s="1"/>
  <c r="AP13" i="5"/>
  <c r="AP11" i="5" s="1"/>
  <c r="E27" i="4" s="1"/>
  <c r="AS13" i="5"/>
  <c r="AS11" i="5" s="1"/>
  <c r="E30" i="4" s="1"/>
  <c r="AO13" i="5"/>
  <c r="AO11" i="5" s="1"/>
  <c r="AN13" i="5"/>
  <c r="AN11" i="5" s="1"/>
  <c r="E25" i="4" s="1"/>
  <c r="J25" i="4" s="1"/>
  <c r="AM13" i="5"/>
  <c r="AM11" i="5" s="1"/>
  <c r="E24" i="4" s="1"/>
  <c r="AK13" i="5"/>
  <c r="AK11" i="5" s="1"/>
  <c r="E22" i="4" s="1"/>
  <c r="J22" i="4" s="1"/>
  <c r="AJ13" i="5"/>
  <c r="AJ11" i="5" s="1"/>
  <c r="E21" i="4" s="1"/>
  <c r="AR13" i="5"/>
  <c r="AR11" i="5" s="1"/>
  <c r="E29" i="4" s="1"/>
  <c r="AQ13" i="5"/>
  <c r="AQ11" i="5" s="1"/>
  <c r="E28" i="4" s="1"/>
  <c r="AI13" i="5"/>
  <c r="AI11" i="5" s="1"/>
  <c r="E20" i="4" s="1"/>
  <c r="I49" i="4"/>
  <c r="I61" i="4"/>
  <c r="I34" i="4"/>
  <c r="I22" i="4"/>
  <c r="I23" i="4"/>
  <c r="I36" i="4"/>
  <c r="I54" i="4"/>
  <c r="F11" i="4"/>
  <c r="F12" i="4"/>
  <c r="I55" i="4"/>
  <c r="I39" i="4"/>
  <c r="CX15" i="5"/>
  <c r="E31" i="4" l="1"/>
  <c r="J31" i="4" s="1"/>
  <c r="J39" i="4"/>
  <c r="H39" i="4"/>
  <c r="J36" i="4"/>
  <c r="H36" i="4"/>
  <c r="J32" i="4"/>
  <c r="H32" i="4"/>
  <c r="BY11" i="5"/>
  <c r="E61" i="4" s="1"/>
  <c r="E49" i="4"/>
  <c r="H22" i="4"/>
  <c r="J37" i="4"/>
  <c r="H37" i="4"/>
  <c r="H34" i="4"/>
  <c r="H25" i="4"/>
  <c r="E48" i="4"/>
  <c r="BX11" i="5"/>
  <c r="E60" i="4" s="1"/>
  <c r="CW11" i="5"/>
  <c r="E38" i="4"/>
  <c r="I12" i="4"/>
  <c r="I11" i="4"/>
  <c r="J53" i="4"/>
  <c r="H53" i="4"/>
  <c r="J24" i="4"/>
  <c r="H24" i="4"/>
  <c r="E50" i="4"/>
  <c r="J35" i="4"/>
  <c r="H35" i="4"/>
  <c r="E26" i="4"/>
  <c r="CV11" i="5"/>
  <c r="J30" i="4"/>
  <c r="H30" i="4"/>
  <c r="E43" i="4"/>
  <c r="BS11" i="5"/>
  <c r="E55" i="4" s="1"/>
  <c r="J27" i="4"/>
  <c r="H27" i="4"/>
  <c r="J40" i="4"/>
  <c r="H40" i="4"/>
  <c r="H31" i="4"/>
  <c r="H54" i="4"/>
  <c r="CU11" i="5"/>
  <c r="E19" i="4"/>
  <c r="BT11" i="5"/>
  <c r="E56" i="4" s="1"/>
  <c r="E44" i="4"/>
  <c r="J42" i="4"/>
  <c r="H42" i="4"/>
  <c r="J20" i="4"/>
  <c r="H20" i="4"/>
  <c r="E45" i="4"/>
  <c r="BU11" i="5"/>
  <c r="E57" i="4" s="1"/>
  <c r="J33" i="4"/>
  <c r="H33" i="4"/>
  <c r="H51" i="4"/>
  <c r="H28" i="4"/>
  <c r="J28" i="4"/>
  <c r="J52" i="4"/>
  <c r="H52" i="4"/>
  <c r="J41" i="4"/>
  <c r="H41" i="4"/>
  <c r="J29" i="4"/>
  <c r="H29" i="4"/>
  <c r="BV11" i="5"/>
  <c r="E58" i="4" s="1"/>
  <c r="E46" i="4"/>
  <c r="H23" i="4"/>
  <c r="J21" i="4"/>
  <c r="H21" i="4"/>
  <c r="E47" i="4"/>
  <c r="BW11" i="5"/>
  <c r="E59" i="4" s="1"/>
  <c r="J46" i="4" l="1"/>
  <c r="H46" i="4"/>
  <c r="J57" i="4"/>
  <c r="H57" i="4"/>
  <c r="J38" i="4"/>
  <c r="H38" i="4"/>
  <c r="CX11" i="5"/>
  <c r="J50" i="4"/>
  <c r="H50" i="4"/>
  <c r="J59" i="4"/>
  <c r="H59" i="4"/>
  <c r="J44" i="4"/>
  <c r="H44" i="4"/>
  <c r="J55" i="4"/>
  <c r="H55" i="4"/>
  <c r="J47" i="4"/>
  <c r="H47" i="4"/>
  <c r="J56" i="4"/>
  <c r="H56" i="4"/>
  <c r="J43" i="4"/>
  <c r="E12" i="4"/>
  <c r="H43" i="4"/>
  <c r="J26" i="4"/>
  <c r="H26" i="4"/>
  <c r="J58" i="4"/>
  <c r="H58" i="4"/>
  <c r="E11" i="4"/>
  <c r="H45" i="4"/>
  <c r="J45" i="4"/>
  <c r="J60" i="4"/>
  <c r="H60" i="4"/>
  <c r="J48" i="4"/>
  <c r="H48" i="4"/>
  <c r="E10" i="4"/>
  <c r="J19" i="4"/>
  <c r="H19" i="4"/>
  <c r="J49" i="4"/>
  <c r="H49" i="4"/>
  <c r="J61" i="4"/>
  <c r="H61" i="4"/>
  <c r="J12" i="4" l="1"/>
  <c r="H12" i="4"/>
  <c r="J10" i="4"/>
  <c r="H10" i="4"/>
  <c r="J11" i="4"/>
  <c r="H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ID#AAAB974-J4I
Cate Erturkuner    (2026-06-22 21:17:43)
50 Barn
100 Chapel
40 Elopements</t>
        </r>
      </text>
    </comment>
    <comment ref="C4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ID#AAAB974-J4Q
Cate Erturkuner    (2026-06-22 21:17:43)
60 Barn
100 Chapel
40 Elopements</t>
        </r>
      </text>
    </comment>
    <comment ref="C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======
ID#AAAB974-J4M
Cate Erturkuner    (2026-06-22 21:17:43)
70 Barn
100 Chapel
40 Elopements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LCRx/+wYFa3rqDxlkI07q6PT4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9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======
ID#AAAB9GxPqWI
Cate Erturkuner    (2026-06-10 20:04:11)
mid-month close, partial month</t>
        </r>
      </text>
    </comment>
    <comment ref="AH26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======
ID#AAAB9GxPqWo
Cate Erturkuner    (2026-06-10 20:04:11)
assume no new events booked for months within 6mo of close</t>
        </r>
      </text>
    </comment>
    <comment ref="AH30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======
ID#AAAB9GxPqWc
Cate Erturkuner    (2026-06-10 20:04:11)
assume no new events booked for months within 6mo of close</t>
        </r>
      </text>
    </comment>
    <comment ref="AH39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======
ID#AAAB9GxPqWM
Cate Erturkuner    (2026-06-10 20:04:11)
assume no new events booked for months within 6mo of close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Dca+WIexKPNHzPwEaVtN+FJgf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B00-000001000000}">
      <text>
        <r>
          <rPr>
            <sz val="11"/>
            <color theme="1"/>
            <rFont val="Aptos Narrow"/>
            <family val="2"/>
            <scheme val="minor"/>
          </rPr>
          <t>======
ID#AAAB9GxPqWY
Cate Erturkuner    (2026-06-10 20:04:11)
per Abigail &amp; Daniel 5/29/26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1uPO355ZHi6CZts494r85+Iqs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======
ID#AAAB9GxPqWQ
Cate Erturkuner    (2026-06-10 20:04:11)
"G:\Shared drives\M&amp;A\1. Closed\Firefly Lane\2. Post-LOI Diligence\1. Internal Files\6. Updated PF\Archive\Firefly Monthly Forecast_v2026.05.18.xlsx"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hy8tnkkxoAfEY2nBI0C8gr8tpK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3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======
ID#AAAB9GxPqWs
Shelby Cefoldo    (2026-04-30 14:51:39)
Will need to know the vendor and get an invoice to ensure payment</t>
        </r>
      </text>
    </comment>
    <comment ref="U60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======
ID#AAAB9GxPqWU
Abigail James    (2026-04-22 18:19:57)
RHS dinner hours</t>
        </r>
      </text>
    </comment>
    <comment ref="T91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======
ID#AAAB9GxPqWg
Abigail James    (2026-04-22 18:29:07)
current security price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oEvchf9Q5kBHzkEEgY2tD43KD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1A00-000001000000}">
      <text>
        <r>
          <rPr>
            <sz val="11"/>
            <color theme="1"/>
            <rFont val="Aptos Narrow"/>
            <family val="2"/>
            <scheme val="minor"/>
          </rPr>
          <t>======
ID#AAAB9GxPqWk
tc={AD2F26F6-2FC0-4A7B-A640-227398987A0F}    (2026-06-10 20:04:11)
[Threaded comment]
Your version of Excel allows you to read this threaded comment; however, any edits to it will get removed if the file is opened in a newer version of Excel. Learn more: https://go.microsoft.com/fwlink/?linkid=870924
Comment:
    @aspalten@waltershospitality.com please use this tab to populate the KPI sections of the workbook for the RVP's and management reporting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rWWzQmcuS4xNNPW7AnuaZcKU6g=="/>
    </ext>
  </extLst>
</comments>
</file>

<file path=xl/sharedStrings.xml><?xml version="1.0" encoding="utf-8"?>
<sst xmlns="http://schemas.openxmlformats.org/spreadsheetml/2006/main" count="11014" uniqueCount="2409">
  <si>
    <t>Pro Forma Estimates</t>
  </si>
  <si>
    <t>Leads</t>
  </si>
  <si>
    <t>Events</t>
  </si>
  <si>
    <t>Total $ / Event</t>
  </si>
  <si>
    <t>Catering Attach.</t>
  </si>
  <si>
    <t>Beverage Attach.</t>
  </si>
  <si>
    <t>Non-Ancillary</t>
  </si>
  <si>
    <t>F&amp;B</t>
  </si>
  <si>
    <t>Other Ancillary</t>
  </si>
  <si>
    <t>Total Revenue</t>
  </si>
  <si>
    <t>Total COGS</t>
  </si>
  <si>
    <t>Staffing / Labor</t>
  </si>
  <si>
    <t>Other Opex</t>
  </si>
  <si>
    <t>EBITDA</t>
  </si>
  <si>
    <t>Firefly Lane</t>
  </si>
  <si>
    <t>rev check</t>
  </si>
  <si>
    <t>EBITDA Check</t>
  </si>
  <si>
    <t>PF Y1 Estimate</t>
  </si>
  <si>
    <t>PF Y2 Estimate</t>
  </si>
  <si>
    <t>PF Y3 Estimate</t>
  </si>
  <si>
    <t>Y1</t>
  </si>
  <si>
    <t>Y2</t>
  </si>
  <si>
    <t>Y3</t>
  </si>
  <si>
    <t>PF P&amp;L Analysis</t>
  </si>
  <si>
    <t>Year 1 Pro Forma</t>
  </si>
  <si>
    <t>Annual</t>
  </si>
  <si>
    <t>2026</t>
  </si>
  <si>
    <t>2027</t>
  </si>
  <si>
    <t>2028</t>
  </si>
  <si>
    <t>Contracts</t>
  </si>
  <si>
    <t xml:space="preserve"> </t>
  </si>
  <si>
    <t>Events - B&amp;C</t>
  </si>
  <si>
    <t>Elopements</t>
  </si>
  <si>
    <t>Revenue</t>
  </si>
  <si>
    <t>Adjusted EBITDAR</t>
  </si>
  <si>
    <t>EBITDAR</t>
  </si>
  <si>
    <t>Valuation</t>
  </si>
  <si>
    <t>Inputs</t>
  </si>
  <si>
    <t>Cap Rate</t>
  </si>
  <si>
    <t>LTM EBITDAR</t>
  </si>
  <si>
    <t>Y1 EBITDAR</t>
  </si>
  <si>
    <t>PF Year 2 EBITDAR</t>
  </si>
  <si>
    <t>$ in thousands</t>
  </si>
  <si>
    <t>WH Offer</t>
  </si>
  <si>
    <t>WholeCo</t>
  </si>
  <si>
    <t>OpCo
w/ SLB</t>
  </si>
  <si>
    <t>Deal Value</t>
  </si>
  <si>
    <t>Implied Total Value (RE + Business)</t>
  </si>
  <si>
    <t>(-) Implied Real Estate Value (EPRT)</t>
  </si>
  <si>
    <t>Walters Purchase Price</t>
  </si>
  <si>
    <t>(-) Seller Financing</t>
  </si>
  <si>
    <t>Transaction Expenses</t>
  </si>
  <si>
    <t>Broker Fee</t>
  </si>
  <si>
    <t>Other Transaction Expenses</t>
  </si>
  <si>
    <t>Deposits not Received</t>
  </si>
  <si>
    <t>Transaction Value</t>
  </si>
  <si>
    <t>Y2 EBITDAR</t>
  </si>
  <si>
    <t>LTM EBITDA</t>
  </si>
  <si>
    <t>Y1 EBITDA</t>
  </si>
  <si>
    <t>Y2 EBITDA</t>
  </si>
  <si>
    <t>Memo: Real Estate Value</t>
  </si>
  <si>
    <t>Rent</t>
  </si>
  <si>
    <t>Rent Coverage  - Closing EBITDAR</t>
  </si>
  <si>
    <t>Rent Coverage - PF EBITDAR</t>
  </si>
  <si>
    <t>Multiples</t>
  </si>
  <si>
    <t>LTM</t>
  </si>
  <si>
    <t>Lender Multiple (Upfront / EBITDA)</t>
  </si>
  <si>
    <t>Purchase Multiple (Deal Value / EBITDAR)</t>
  </si>
  <si>
    <t>PF Year 1</t>
  </si>
  <si>
    <t>PF Year 2</t>
  </si>
  <si>
    <t>IRR</t>
  </si>
  <si>
    <t>MOIC</t>
  </si>
  <si>
    <t>Sales / Marketing Summary</t>
  </si>
  <si>
    <t>Note: Contracts includes elopement contracts</t>
  </si>
  <si>
    <t>Month</t>
  </si>
  <si>
    <t># Leads</t>
  </si>
  <si>
    <t>Tours</t>
  </si>
  <si>
    <t>L-&gt;T</t>
  </si>
  <si>
    <t>T-&gt;C</t>
  </si>
  <si>
    <t>L-&gt;C</t>
  </si>
  <si>
    <t>DFW Excl Olana &amp; OLDC</t>
  </si>
  <si>
    <t>Historicals</t>
  </si>
  <si>
    <t>Forecast</t>
  </si>
  <si>
    <t>PF</t>
  </si>
  <si>
    <t>PF Drivers</t>
  </si>
  <si>
    <t>Current</t>
  </si>
  <si>
    <t>WH Comparable Venue</t>
  </si>
  <si>
    <t>%</t>
  </si>
  <si>
    <t>$</t>
  </si>
  <si>
    <t>% Type</t>
  </si>
  <si>
    <t>Historical / PF Comments</t>
  </si>
  <si>
    <t>L-&gt;T Conversion</t>
  </si>
  <si>
    <t>T-&gt;C Conversion</t>
  </si>
  <si>
    <t>Barn Contracts</t>
  </si>
  <si>
    <t>Chapel Contracts</t>
  </si>
  <si>
    <t>Elopement Contracts</t>
  </si>
  <si>
    <t>Est.Y3 events are stabilized, so that many contracts each year</t>
  </si>
  <si>
    <t>% of Annual Contracts</t>
  </si>
  <si>
    <t>Original - Barn</t>
  </si>
  <si>
    <t>New - Barn</t>
  </si>
  <si>
    <t>Events - Barn</t>
  </si>
  <si>
    <t>See Revenue Analysis - Barn</t>
  </si>
  <si>
    <t>Original - Chapel</t>
  </si>
  <si>
    <t>New - Chapel</t>
  </si>
  <si>
    <t>Events - Chapel</t>
  </si>
  <si>
    <t>See Revenue Analysis - Chapel</t>
  </si>
  <si>
    <t>Original - B&amp;C</t>
  </si>
  <si>
    <t>New - B&amp;C</t>
  </si>
  <si>
    <t>% of Annual Events</t>
  </si>
  <si>
    <t>Original - Elopements</t>
  </si>
  <si>
    <t>New - Elopements</t>
  </si>
  <si>
    <t>Assume 40 Annuallyly (conservative once we start pushing marketing here and possibly opening up to other days</t>
  </si>
  <si>
    <t>Room Rental Revenue</t>
  </si>
  <si>
    <t>Annually - split monthly by seasonality</t>
  </si>
  <si>
    <t>Elopement Revenue</t>
  </si>
  <si>
    <t>$ / elopement</t>
  </si>
  <si>
    <t>All Inclusive Revenue</t>
  </si>
  <si>
    <t>Food Revenue</t>
  </si>
  <si>
    <t>Beverage Revenue</t>
  </si>
  <si>
    <t>Assuming we can start using our liquor license 3/4th of the way through Y2</t>
  </si>
  <si>
    <t>Lodging Revenues</t>
  </si>
  <si>
    <t>-</t>
  </si>
  <si>
    <t>Ancillary Revenue</t>
  </si>
  <si>
    <t>Service Charge</t>
  </si>
  <si>
    <t>Cancelled Events</t>
  </si>
  <si>
    <t>N/A 'LTM Est. Flat from 2025, not estimating additional revenue from this going forward</t>
  </si>
  <si>
    <t>Discounts</t>
  </si>
  <si>
    <t>Other Revenue</t>
  </si>
  <si>
    <t>COGS</t>
  </si>
  <si>
    <t>Food COGS</t>
  </si>
  <si>
    <t>% Food Rev</t>
  </si>
  <si>
    <t>Monthly - existing all inclusive margin//assuming we maintain their packages and partnerships but have our own photography / dj</t>
  </si>
  <si>
    <t>Ancillary COGS</t>
  </si>
  <si>
    <t>% Ancillary Rev</t>
  </si>
  <si>
    <t>Alcohol COGS</t>
  </si>
  <si>
    <t>% Alcohol Rev</t>
  </si>
  <si>
    <t>N/A Assuming no alcohol until we can confirm we'll receive our liquor license</t>
  </si>
  <si>
    <t>All Inclusive COGS</t>
  </si>
  <si>
    <t>% Total Rev</t>
  </si>
  <si>
    <t>Monthly - COGS for all inclusive events prior to close</t>
  </si>
  <si>
    <t>Other COGS</t>
  </si>
  <si>
    <t>Monthly</t>
  </si>
  <si>
    <t>Room COGS</t>
  </si>
  <si>
    <t>% Lodging Rev</t>
  </si>
  <si>
    <t>Gross Margin</t>
  </si>
  <si>
    <t>Payroll</t>
  </si>
  <si>
    <t>Sales Team Payroll</t>
  </si>
  <si>
    <t>YoY Growth</t>
  </si>
  <si>
    <t>Annually - Split / 12 - YoY Growth from AJ/DZ estimates</t>
  </si>
  <si>
    <t>Planning Team Payroll</t>
  </si>
  <si>
    <t>Operations Team Payroll</t>
  </si>
  <si>
    <t>$ / event</t>
  </si>
  <si>
    <t>Annual - split monthly by seasonality - AJ/DZ estimates</t>
  </si>
  <si>
    <t>Ancillary Payroll</t>
  </si>
  <si>
    <t>N/A - Using 3rd party vendors, payout captured above in COGS</t>
  </si>
  <si>
    <t>Corporate Team Payroll</t>
  </si>
  <si>
    <t>Annually - Split / 12</t>
  </si>
  <si>
    <t>F&amp;B Team Payroll</t>
  </si>
  <si>
    <t>% F&amp;B Rev</t>
  </si>
  <si>
    <t>Owner Salaries</t>
  </si>
  <si>
    <t>Payroll Admin &amp; Benefit Expenses</t>
  </si>
  <si>
    <t>% Total Other Payroll</t>
  </si>
  <si>
    <t>Other Payroll</t>
  </si>
  <si>
    <t>Total Payroll</t>
  </si>
  <si>
    <t>Operating Expenses</t>
  </si>
  <si>
    <t>Marketing Expense</t>
  </si>
  <si>
    <t>Maintenance Expense</t>
  </si>
  <si>
    <t>$ / Event</t>
  </si>
  <si>
    <t>Annually - Split / 12 - ~half of their historical repairs/maintenance costs are personal</t>
  </si>
  <si>
    <t>Utilities Expense</t>
  </si>
  <si>
    <t>Office Expense</t>
  </si>
  <si>
    <t>Computer Expense</t>
  </si>
  <si>
    <t>Automobile Expenses</t>
  </si>
  <si>
    <t>Training &amp; Development Expense</t>
  </si>
  <si>
    <t>Tax Expense</t>
  </si>
  <si>
    <t>Fixed</t>
  </si>
  <si>
    <t>Annually - Split / 12 - no more greenbelt taxes</t>
  </si>
  <si>
    <t>Travel Expense</t>
  </si>
  <si>
    <t>Professional Expenses</t>
  </si>
  <si>
    <t>Rent Expense</t>
  </si>
  <si>
    <t>Insurance</t>
  </si>
  <si>
    <t>Finance Expenses</t>
  </si>
  <si>
    <t>Personal Expenses</t>
  </si>
  <si>
    <t>Other Operating Expenses</t>
  </si>
  <si>
    <t>Total Operating Expenses</t>
  </si>
  <si>
    <t>Other Adjustments</t>
  </si>
  <si>
    <t>Addback: Rent</t>
  </si>
  <si>
    <t>[ ]</t>
  </si>
  <si>
    <t>Owners paid themselves rent</t>
  </si>
  <si>
    <t>Addback: Personal Expenses</t>
  </si>
  <si>
    <t>Addback: Owner Payroll</t>
  </si>
  <si>
    <t xml:space="preserve">Owners paid themselves / kids (not related to work done at venue) ~$115k in 2025, assuming that continued into 2026, waiting on confirmation; had previously </t>
  </si>
  <si>
    <t>Less: Annuallzing Comp</t>
  </si>
  <si>
    <t>Anna started in late March-25, adding $10k for what she would have made in Jan-Mar, Maddie started in 2026, so adding her est. comp for 2025</t>
  </si>
  <si>
    <t>Total Other Adj.</t>
  </si>
  <si>
    <t>Total</t>
  </si>
  <si>
    <t>Food</t>
  </si>
  <si>
    <t>Ancillary</t>
  </si>
  <si>
    <t>Revenue Analysis</t>
  </si>
  <si>
    <t>Drivers</t>
  </si>
  <si>
    <t>To Compare</t>
  </si>
  <si>
    <t>Historical</t>
  </si>
  <si>
    <t>WH Venue</t>
  </si>
  <si>
    <t>WH Region</t>
  </si>
  <si>
    <t>DFW</t>
  </si>
  <si>
    <t>WH Average</t>
  </si>
  <si>
    <t>OC</t>
  </si>
  <si>
    <t>New</t>
  </si>
  <si>
    <t>OC New Rev</t>
  </si>
  <si>
    <t>New Contracts</t>
  </si>
  <si>
    <t>EVENTS</t>
  </si>
  <si>
    <t>% of Total Events</t>
  </si>
  <si>
    <t>Events - OC</t>
  </si>
  <si>
    <t>Room Rental</t>
  </si>
  <si>
    <t>Beverage</t>
  </si>
  <si>
    <t>Lodgings</t>
  </si>
  <si>
    <t>DJ</t>
  </si>
  <si>
    <t>Floral</t>
  </si>
  <si>
    <t>Bakery</t>
  </si>
  <si>
    <t>Stationery</t>
  </si>
  <si>
    <t>Photography</t>
  </si>
  <si>
    <t>Total OC Events</t>
  </si>
  <si>
    <t>Events - NEW CONTRACT</t>
  </si>
  <si>
    <t>Total NEW CONTRACT Events</t>
  </si>
  <si>
    <t>Total Events</t>
  </si>
  <si>
    <t>REVENUE</t>
  </si>
  <si>
    <t>Avg. $ / Event</t>
  </si>
  <si>
    <t>Revenue OC</t>
  </si>
  <si>
    <t>Total OC Revenue</t>
  </si>
  <si>
    <t>Average $ / OC Event</t>
  </si>
  <si>
    <t>Revenue NEW CONTRACT</t>
  </si>
  <si>
    <t>Total NEW CONTRACT Revenue</t>
  </si>
  <si>
    <t>Average $ / NEW CONTRACT Event</t>
  </si>
  <si>
    <t>OC Revenue</t>
  </si>
  <si>
    <t>ALL New Revenue (OC and NC)</t>
  </si>
  <si>
    <t>CHECKS</t>
  </si>
  <si>
    <t>Revenue Analysis - Barn</t>
  </si>
  <si>
    <t>&lt;- assume we can get another 25% to attach to all-inclusive</t>
  </si>
  <si>
    <t>&lt;- assuming we can bring in bar by end of Y1 and attach/start actually offering by ~3/4ths of the way through Y2</t>
  </si>
  <si>
    <t>&lt;-additional  25% of WH Average Attachment</t>
  </si>
  <si>
    <t>&lt;-additional 25% of WH Average Attachment (bring in-house for Y2)</t>
  </si>
  <si>
    <t>&lt;- 50% / 75% / 100% of WH Average Attachment</t>
  </si>
  <si>
    <t>&lt;- 50% / 75% / 100% of WH Average Attachment (bring in-house for Y2)</t>
  </si>
  <si>
    <t>&lt;- FL average $ / ancillary, less 22% Service charge</t>
  </si>
  <si>
    <t>only charging service fee on venue rental</t>
  </si>
  <si>
    <t>Revenue Analysis - Chapel</t>
  </si>
  <si>
    <t>May</t>
  </si>
  <si>
    <t>Booked Events Summary</t>
  </si>
  <si>
    <t>Barn</t>
  </si>
  <si>
    <t>Chapel</t>
  </si>
  <si>
    <t>Elopement</t>
  </si>
  <si>
    <t>WEDDING Total</t>
  </si>
  <si>
    <t>Item</t>
  </si>
  <si>
    <t>Deposits</t>
  </si>
  <si>
    <t>Year</t>
  </si>
  <si>
    <t>Summary</t>
  </si>
  <si>
    <t>LTM 26</t>
  </si>
  <si>
    <t>LTM 27</t>
  </si>
  <si>
    <t>LTM 28</t>
  </si>
  <si>
    <t>Seasonality</t>
  </si>
  <si>
    <t>LTM 29</t>
  </si>
  <si>
    <t>% of CY</t>
  </si>
  <si>
    <t>% Use</t>
  </si>
  <si>
    <t>Events Booked</t>
  </si>
  <si>
    <t>Elope.</t>
  </si>
  <si>
    <t>Barn &amp; Chapel</t>
  </si>
  <si>
    <t>Days</t>
  </si>
  <si>
    <t>#</t>
  </si>
  <si>
    <t>Employee</t>
  </si>
  <si>
    <t>Pay Rate - Hourly</t>
  </si>
  <si>
    <t>Weekly Pay</t>
  </si>
  <si>
    <t>Estimated Commission</t>
  </si>
  <si>
    <t>Estimated Event Payout</t>
  </si>
  <si>
    <t>Annual Payroll</t>
  </si>
  <si>
    <t>Notes</t>
  </si>
  <si>
    <t>Ana Farris</t>
  </si>
  <si>
    <t xml:space="preserve">Commission is based on Ana taking 75% of the tours </t>
  </si>
  <si>
    <t>Jack Buker</t>
  </si>
  <si>
    <t>Mattie Askins</t>
  </si>
  <si>
    <t>Event Payout Estimate is based on her working 10 Events as a Coordinator</t>
  </si>
  <si>
    <t>Savannah Williams</t>
  </si>
  <si>
    <t xml:space="preserve">Commission is based on taking 25% of the tours </t>
  </si>
  <si>
    <t>Sydney Fussell</t>
  </si>
  <si>
    <t xml:space="preserve">Barn Annual Staff Payroll </t>
  </si>
  <si>
    <t>Chapel Annual Staff Payroll</t>
  </si>
  <si>
    <t>Houskeeping Payroll</t>
  </si>
  <si>
    <t>Cleans 6hrs/week</t>
  </si>
  <si>
    <t>maintenance</t>
  </si>
  <si>
    <t>Total Weddings</t>
  </si>
  <si>
    <t>Chapel Weddings</t>
  </si>
  <si>
    <t>Barn Weddings</t>
  </si>
  <si>
    <t>Event Day Opener</t>
  </si>
  <si>
    <t>Barn Evening Closer</t>
  </si>
  <si>
    <t>Security</t>
  </si>
  <si>
    <t>Total Number of Staff per Event</t>
  </si>
  <si>
    <t>Chapel Evening Closer</t>
  </si>
  <si>
    <t xml:space="preserve">Security </t>
  </si>
  <si>
    <t>Barn Payroll Per Event</t>
  </si>
  <si>
    <t xml:space="preserve">Chapel Payroll Per Event </t>
  </si>
  <si>
    <t>Barn Annual Event Staff Payroll</t>
  </si>
  <si>
    <t>Chapel Annual Event Staff Payroll</t>
  </si>
  <si>
    <t xml:space="preserve">*this assumes every event has Security, which is not always the case </t>
  </si>
  <si>
    <t xml:space="preserve">Part Time Event Staff </t>
  </si>
  <si>
    <t>Annabel Williams</t>
  </si>
  <si>
    <t>Jenna Suggs</t>
  </si>
  <si>
    <t>Julie Shockley</t>
  </si>
  <si>
    <t>Kaitlyn Spann</t>
  </si>
  <si>
    <t>Katelyn Marston</t>
  </si>
  <si>
    <t>Kaylee Caldwell</t>
  </si>
  <si>
    <t>Kedzie Frey</t>
  </si>
  <si>
    <t>Kristin Howard</t>
  </si>
  <si>
    <t>Megan Gabriel</t>
  </si>
  <si>
    <t>Natalie Buker</t>
  </si>
  <si>
    <t>Olivia Young</t>
  </si>
  <si>
    <t>Peyton Bair</t>
  </si>
  <si>
    <t>Ty Angelino</t>
  </si>
  <si>
    <t>Anna Mobley</t>
  </si>
  <si>
    <t>Maddox Clark</t>
  </si>
  <si>
    <t>Maya Miccio</t>
  </si>
  <si>
    <t>Austin Oden</t>
  </si>
  <si>
    <t>Gavin Bedow</t>
  </si>
  <si>
    <t>Justin Pickett</t>
  </si>
  <si>
    <t>Cleaning</t>
  </si>
  <si>
    <t>Personal House</t>
  </si>
  <si>
    <t>Trailer</t>
  </si>
  <si>
    <t>Office building</t>
  </si>
  <si>
    <t>Inside build out</t>
  </si>
  <si>
    <t>Shop</t>
  </si>
  <si>
    <t>Personal driveway gravel</t>
  </si>
  <si>
    <t>Survey for new land</t>
  </si>
  <si>
    <t>Land clearing</t>
  </si>
  <si>
    <t>Gates</t>
  </si>
  <si>
    <t>Furniture/decor</t>
  </si>
  <si>
    <t>Driveway</t>
  </si>
  <si>
    <t>Tn title</t>
  </si>
  <si>
    <t>Flip House</t>
  </si>
  <si>
    <t>Property closing</t>
  </si>
  <si>
    <t>Car</t>
  </si>
  <si>
    <t>Automobile</t>
  </si>
  <si>
    <t>Profit and Loss Detail</t>
  </si>
  <si>
    <t>Savannahs Wedding</t>
  </si>
  <si>
    <t>09/18/2025</t>
  </si>
  <si>
    <t>Expense</t>
  </si>
  <si>
    <t>Two and Yonder Photography</t>
  </si>
  <si>
    <t/>
  </si>
  <si>
    <t>Daughter Wedding</t>
  </si>
  <si>
    <t>All-Inclusive Payment for bride</t>
  </si>
  <si>
    <t>09/18/2025Two and Yonder Photography</t>
  </si>
  <si>
    <t>10/15/2025</t>
  </si>
  <si>
    <t>Eleven Ten Events</t>
  </si>
  <si>
    <t>10/15/2025Eleven Ten Events</t>
  </si>
  <si>
    <t>01/21/2025</t>
  </si>
  <si>
    <t>Wells Fargo Auto</t>
  </si>
  <si>
    <t>Personal Vehicle</t>
  </si>
  <si>
    <t>Automobile Expense</t>
  </si>
  <si>
    <t>01/21/2025Wells Fargo Auto</t>
  </si>
  <si>
    <t>Personal Vehicles</t>
  </si>
  <si>
    <t>02/18/2025</t>
  </si>
  <si>
    <t>02/18/2025Wells Fargo Auto</t>
  </si>
  <si>
    <t>03/04/2025</t>
  </si>
  <si>
    <t>03/04/2025Wells Fargo Auto</t>
  </si>
  <si>
    <t>04/21/2025</t>
  </si>
  <si>
    <t>04/21/2025Wells Fargo Auto</t>
  </si>
  <si>
    <t>05/01/2025</t>
  </si>
  <si>
    <t>Advertising and Promotion</t>
  </si>
  <si>
    <t>05/20/2025</t>
  </si>
  <si>
    <t>05/20/2025Wells Fargo Auto</t>
  </si>
  <si>
    <t>05/30/2025</t>
  </si>
  <si>
    <t>Toyota</t>
  </si>
  <si>
    <t>05/30/2025Toyota</t>
  </si>
  <si>
    <t>06/20/2025</t>
  </si>
  <si>
    <t>06/20/2025Wells Fargo Auto</t>
  </si>
  <si>
    <t>07/21/2025</t>
  </si>
  <si>
    <t>07/21/2025Wells Fargo Auto</t>
  </si>
  <si>
    <t>07/29/2025</t>
  </si>
  <si>
    <t>Auto</t>
  </si>
  <si>
    <t>07/29/2025Auto</t>
  </si>
  <si>
    <t>08/20/2025</t>
  </si>
  <si>
    <t>08/20/2025Wells Fargo Auto</t>
  </si>
  <si>
    <t>09/22/2025</t>
  </si>
  <si>
    <t>09/22/2025Wells Fargo Auto</t>
  </si>
  <si>
    <t>09/30/2025</t>
  </si>
  <si>
    <t>Journal Entry</t>
  </si>
  <si>
    <t>10/20/2025</t>
  </si>
  <si>
    <t>10/20/2025Wells Fargo Auto</t>
  </si>
  <si>
    <t>11/20/2025</t>
  </si>
  <si>
    <t>11/20/2025Wells Fargo Auto</t>
  </si>
  <si>
    <t>11/30/2025</t>
  </si>
  <si>
    <t>12/22/2025</t>
  </si>
  <si>
    <t>12/22/2025Wells Fargo Auto</t>
  </si>
  <si>
    <t>12/31/2025</t>
  </si>
  <si>
    <t>02/04/2025</t>
  </si>
  <si>
    <t>Check</t>
  </si>
  <si>
    <t>Charlotte Fire &amp; Rescue</t>
  </si>
  <si>
    <t>Charity</t>
  </si>
  <si>
    <t>Charitable Contributions</t>
  </si>
  <si>
    <t>02/04/2025Charlotte Fire &amp; Rescue</t>
  </si>
  <si>
    <t>Our Giving</t>
  </si>
  <si>
    <t>08/21/2025</t>
  </si>
  <si>
    <t>Charlotte Lions Club</t>
  </si>
  <si>
    <t>08/21/2025Charlotte Lions Club</t>
  </si>
  <si>
    <t>09/23/2025</t>
  </si>
  <si>
    <t>Creekwood High School</t>
  </si>
  <si>
    <t>09/23/2025Creekwood High School</t>
  </si>
  <si>
    <t>09/24/2025</t>
  </si>
  <si>
    <t>Charlotte Middle School</t>
  </si>
  <si>
    <t>09/24/2025Charlotte Middle School</t>
  </si>
  <si>
    <t>11/19/2025</t>
  </si>
  <si>
    <t>Elliott Dulworth</t>
  </si>
  <si>
    <t>11/19/2025Elliott Dulworth</t>
  </si>
  <si>
    <t>CareNet</t>
  </si>
  <si>
    <t>12/22/2025CareNet</t>
  </si>
  <si>
    <t>Land Work</t>
  </si>
  <si>
    <t>Star Services</t>
  </si>
  <si>
    <t>Construction</t>
  </si>
  <si>
    <t>02/18/2025Star Services</t>
  </si>
  <si>
    <t>Driveway Concrete</t>
  </si>
  <si>
    <t>Iwing Materials</t>
  </si>
  <si>
    <t>03/04/2025Iwing Materials</t>
  </si>
  <si>
    <t>Credit Card Fees</t>
  </si>
  <si>
    <t>07/31/2025</t>
  </si>
  <si>
    <t>Computer and Internet Expenses</t>
  </si>
  <si>
    <t>Concrete Gravel</t>
  </si>
  <si>
    <t>Justin Trucking</t>
  </si>
  <si>
    <t>Landscaping</t>
  </si>
  <si>
    <t>03/04/2025Justin Trucking</t>
  </si>
  <si>
    <t>Personal</t>
  </si>
  <si>
    <t>Flowers/Ferns</t>
  </si>
  <si>
    <t>05/01/2025Flowers/Ferns</t>
  </si>
  <si>
    <t xml:space="preserve">House on the Square </t>
  </si>
  <si>
    <t>Ray Aquilar</t>
  </si>
  <si>
    <t>09/22/2025Ray Aquilar</t>
  </si>
  <si>
    <t>03/01/2025</t>
  </si>
  <si>
    <t>Amazon Fee</t>
  </si>
  <si>
    <t>Licenses and Fees</t>
  </si>
  <si>
    <t>03/01/2025Amazon Fee</t>
  </si>
  <si>
    <t>Payroll Expenses</t>
  </si>
  <si>
    <t>Subtract $115k for Cory + our kids payroll</t>
  </si>
  <si>
    <t>Personal Payroll</t>
  </si>
  <si>
    <t>House on the Square</t>
  </si>
  <si>
    <t>TN Title Services</t>
  </si>
  <si>
    <t>Professional Fees</t>
  </si>
  <si>
    <t>03/04/2025TN Title Services</t>
  </si>
  <si>
    <t>09/17/2025</t>
  </si>
  <si>
    <t>11/17/2025</t>
  </si>
  <si>
    <t>Elizabeth Adams</t>
  </si>
  <si>
    <t>11/17/2025Elizabeth Adams</t>
  </si>
  <si>
    <t>Rent or Lease of Buildings</t>
  </si>
  <si>
    <t>01/02/2025</t>
  </si>
  <si>
    <t>Lease Paid to Us</t>
  </si>
  <si>
    <t>02/01/2025</t>
  </si>
  <si>
    <t>05/02/2025</t>
  </si>
  <si>
    <t>Tristar Bank</t>
  </si>
  <si>
    <t>05/02/2025Tristar Bank</t>
  </si>
  <si>
    <t>06/02/2025</t>
  </si>
  <si>
    <t>07/03/2025</t>
  </si>
  <si>
    <t>Refund</t>
  </si>
  <si>
    <t>08/01/2025</t>
  </si>
  <si>
    <t>09/02/2025</t>
  </si>
  <si>
    <t>10/14/2025</t>
  </si>
  <si>
    <t>11/10/2025</t>
  </si>
  <si>
    <t>Meals and Entertainment</t>
  </si>
  <si>
    <t>12/01/2025</t>
  </si>
  <si>
    <t>Our Bobcat</t>
  </si>
  <si>
    <t>01/27/2025</t>
  </si>
  <si>
    <t>Bobcat</t>
  </si>
  <si>
    <t>Repairs and Maintenance</t>
  </si>
  <si>
    <t>01/27/2025Bobcat</t>
  </si>
  <si>
    <t>Savannahs House</t>
  </si>
  <si>
    <t>Lowes</t>
  </si>
  <si>
    <t>01/27/2025Lowes</t>
  </si>
  <si>
    <t>Watsons Metals</t>
  </si>
  <si>
    <t>02/18/2025Watsons Metals</t>
  </si>
  <si>
    <t>03/04/2025Bobcat</t>
  </si>
  <si>
    <t>Personal Gate</t>
  </si>
  <si>
    <t>04/17/2025</t>
  </si>
  <si>
    <t>Breedlove Gates</t>
  </si>
  <si>
    <t>04/17/2025Breedlove Gates</t>
  </si>
  <si>
    <t>05/19/2025</t>
  </si>
  <si>
    <t>05/19/2025Bobcat</t>
  </si>
  <si>
    <t>Personal Truck</t>
  </si>
  <si>
    <t>06/01/2025</t>
  </si>
  <si>
    <t>Truck tires + oil</t>
  </si>
  <si>
    <t>06/01/2025Truck tires + oil</t>
  </si>
  <si>
    <t>06/23/2025</t>
  </si>
  <si>
    <t>Eli Edwards</t>
  </si>
  <si>
    <t>06/23/2025Eli Edwards</t>
  </si>
  <si>
    <t>06/25/2025</t>
  </si>
  <si>
    <t>06/25/2025Lowes</t>
  </si>
  <si>
    <t>DCPEE</t>
  </si>
  <si>
    <t>08/01/2025DCPEE</t>
  </si>
  <si>
    <t>09/29/2025</t>
  </si>
  <si>
    <t>US Plumbing</t>
  </si>
  <si>
    <t>09/29/2025US Plumbing</t>
  </si>
  <si>
    <t>10/27/2025</t>
  </si>
  <si>
    <t>10/27/2025Lowes</t>
  </si>
  <si>
    <t>11/04/2025</t>
  </si>
  <si>
    <t>Eucario</t>
  </si>
  <si>
    <t>11/04/2025Eucario</t>
  </si>
  <si>
    <t>11/17/2025Breedlove Gates</t>
  </si>
  <si>
    <t>11/26/2025</t>
  </si>
  <si>
    <t>11/26/2025Lowes</t>
  </si>
  <si>
    <t>12/08/2025</t>
  </si>
  <si>
    <t>Insulation Solutions of TN</t>
  </si>
  <si>
    <t>12/08/2025Insulation Solutions of TN</t>
  </si>
  <si>
    <t>12/24/2025</t>
  </si>
  <si>
    <t>12/24/2025Lowes</t>
  </si>
  <si>
    <t>Telephone expense 80% is personal family lines</t>
  </si>
  <si>
    <t>There is only 1 business line</t>
  </si>
  <si>
    <t>Farmhouse</t>
  </si>
  <si>
    <t>Greater Dickson Gas Authority</t>
  </si>
  <si>
    <t>Utilities</t>
  </si>
  <si>
    <t>03/04/2025Greater Dickson Gas Authority</t>
  </si>
  <si>
    <t>04/07/2025</t>
  </si>
  <si>
    <t>04/07/2025Greater Dickson Gas Authority</t>
  </si>
  <si>
    <t>04/14/2025</t>
  </si>
  <si>
    <t>04/14/2025Greater Dickson Gas Authority</t>
  </si>
  <si>
    <t>05/08/2025</t>
  </si>
  <si>
    <t>05/08/2025Greater Dickson Gas Authority</t>
  </si>
  <si>
    <t>05/20/2025Greater Dickson Gas Authority</t>
  </si>
  <si>
    <t>Dickson Gas</t>
  </si>
  <si>
    <t>12/31/2025Dickson Gas</t>
  </si>
  <si>
    <t>Personal Concrete Driveway</t>
  </si>
  <si>
    <t>Autommobile</t>
  </si>
  <si>
    <t>Personal Truck/Tractor</t>
  </si>
  <si>
    <t>Savannah + Jack's house, property on the square and water line to personal house</t>
  </si>
  <si>
    <t>Décor</t>
  </si>
  <si>
    <t>personal</t>
  </si>
  <si>
    <t>Jessica's 401k</t>
  </si>
  <si>
    <t>Repairs</t>
  </si>
  <si>
    <t>Phone</t>
  </si>
  <si>
    <t>Phones</t>
  </si>
  <si>
    <t>Farmhouse Gas</t>
  </si>
  <si>
    <t>Firefly Lane Tours per Month</t>
  </si>
  <si>
    <t>vs. Avg</t>
  </si>
  <si>
    <t>L &gt; T</t>
  </si>
  <si>
    <t>Charged Client</t>
  </si>
  <si>
    <t>Catering</t>
  </si>
  <si>
    <t>Cake</t>
  </si>
  <si>
    <t>DJ &amp; Entertainment</t>
  </si>
  <si>
    <t>Other</t>
  </si>
  <si>
    <t>Videographer</t>
  </si>
  <si>
    <t>Photo Booth</t>
  </si>
  <si>
    <t>Linens</t>
  </si>
  <si>
    <t>Coordinating</t>
  </si>
  <si>
    <t>Days of the Week</t>
  </si>
  <si>
    <t>Su</t>
  </si>
  <si>
    <t>M</t>
  </si>
  <si>
    <t>T</t>
  </si>
  <si>
    <t>S</t>
  </si>
  <si>
    <t>R</t>
  </si>
  <si>
    <t>F</t>
  </si>
  <si>
    <t>Sa</t>
  </si>
  <si>
    <t>$/Event - 2026</t>
  </si>
  <si>
    <t>$/Event - 2027</t>
  </si>
  <si>
    <t>Weddings</t>
  </si>
  <si>
    <t>Average</t>
  </si>
  <si>
    <t>PACKAGES PROFIT</t>
  </si>
  <si>
    <t xml:space="preserve">Dalton Smallwood + Bryce Willian </t>
  </si>
  <si>
    <t>Kaitlyn + Nikko</t>
  </si>
  <si>
    <t>Nikko Ramos + Kaitlyn Hornung</t>
  </si>
  <si>
    <t>Alexander + Kim</t>
  </si>
  <si>
    <t>Alexander Kundert + Kim Rogge-Obando</t>
  </si>
  <si>
    <t>Francesca + Dylan</t>
  </si>
  <si>
    <t>Francesca Mattus + Dylan Sanders</t>
  </si>
  <si>
    <t>Stephanie + Jonathan</t>
  </si>
  <si>
    <t>Stephanie Coats + Jonathan Williams</t>
  </si>
  <si>
    <t>Sydney + Callan</t>
  </si>
  <si>
    <t>Callan Jones + Sydney Blankenship</t>
  </si>
  <si>
    <t>Rachel + Jacob</t>
  </si>
  <si>
    <t>Rachel Stanley + Jacob Fuller</t>
  </si>
  <si>
    <t>Madison + Quentin</t>
  </si>
  <si>
    <t>Madison Heiniger + Quentin Miller - Chapel</t>
  </si>
  <si>
    <t>Kelly + Steven</t>
  </si>
  <si>
    <t>Kelly Breen + Steven Tarr</t>
  </si>
  <si>
    <t>Annalise + Griffin</t>
  </si>
  <si>
    <t>Griffin Gallimore + Annalise Jarnagin</t>
  </si>
  <si>
    <t>Taralyn + Erich</t>
  </si>
  <si>
    <t>Erich Leber + Taralyn Schwiebert</t>
  </si>
  <si>
    <t>Molly + Alex</t>
  </si>
  <si>
    <t>Molly Mishler + Alex Pensinger</t>
  </si>
  <si>
    <t>Ashton + Zach</t>
  </si>
  <si>
    <t>Ashton Wireman + Zach Templeton</t>
  </si>
  <si>
    <t>Bella + Dante</t>
  </si>
  <si>
    <t>Bella Solarek + Dante Messina</t>
  </si>
  <si>
    <t>Blake + Ashley</t>
  </si>
  <si>
    <t>Ashley Gilmore + Blake Stephens</t>
  </si>
  <si>
    <t>Logann + Ben</t>
  </si>
  <si>
    <t>Logann Worley + Benjamin Lapke</t>
  </si>
  <si>
    <t>Jillian + Michael</t>
  </si>
  <si>
    <t>Michael Balint + Jillians Spain</t>
  </si>
  <si>
    <t>Lanie + Noah</t>
  </si>
  <si>
    <t>Lanie Abers + Noah Reese</t>
  </si>
  <si>
    <t>Gabby + Marci</t>
  </si>
  <si>
    <t>Gabriella Obregon + Marcial Trejo</t>
  </si>
  <si>
    <t>Maggie + Jon</t>
  </si>
  <si>
    <t xml:space="preserve">Maggie Wibright + Jon Ingalls </t>
  </si>
  <si>
    <t>Kelly + Kyle</t>
  </si>
  <si>
    <t>Kelly Thome + Kyle Patti</t>
  </si>
  <si>
    <t>Marielle + Casey</t>
  </si>
  <si>
    <t xml:space="preserve">Casey Bates + Marielle Pimentel </t>
  </si>
  <si>
    <t>Olivia + Zachary</t>
  </si>
  <si>
    <t xml:space="preserve">Zachary Barker + Olivia Lowman </t>
  </si>
  <si>
    <t>Ashley + Isaiah</t>
  </si>
  <si>
    <t xml:space="preserve">Ashley Davis + Isaiah Turner </t>
  </si>
  <si>
    <t>Sarah + Blake</t>
  </si>
  <si>
    <t>Blake Berrios + Sarah Larson</t>
  </si>
  <si>
    <t>Sterling + Jacob</t>
  </si>
  <si>
    <t>Sterling Weeks + Jacob Girolami</t>
  </si>
  <si>
    <t>Jen ORourke + Denton Lomax</t>
  </si>
  <si>
    <t>Sydney Brannum + Ben Brannum</t>
  </si>
  <si>
    <t>Brooke Cary + Jason Moore</t>
  </si>
  <si>
    <t>Kelly McKane + Morgan Hinze</t>
  </si>
  <si>
    <t>Hope Murphy + Alex Margaglione</t>
  </si>
  <si>
    <t>Bailey Langkan + Niklas Fondren</t>
  </si>
  <si>
    <t>Raven Hall + Juan Soto</t>
  </si>
  <si>
    <t>Alivia Davis + Carter Isenberg</t>
  </si>
  <si>
    <t>Shianne Behrens + Chase Harmon</t>
  </si>
  <si>
    <t>Heather Citro + Kenny Wohltmann</t>
  </si>
  <si>
    <t>Maya Buss + Isaac Finn</t>
  </si>
  <si>
    <t>Kaylin Stalker + Richard Holmes</t>
  </si>
  <si>
    <t>Aubree Loftis + Brody Silvers</t>
  </si>
  <si>
    <t>Andrea Yu + Jason Breen</t>
  </si>
  <si>
    <t>Grace Branger + Logan Glazier</t>
  </si>
  <si>
    <t>Tyanne Howe + Eli Bogard</t>
  </si>
  <si>
    <t>Samantha Phillips + Josh Stephenson</t>
  </si>
  <si>
    <t>LTM Ap-26</t>
  </si>
  <si>
    <t xml:space="preserve">FIREFLY LANE  ·  Payment Reconciliation  </t>
  </si>
  <si>
    <t>Source</t>
  </si>
  <si>
    <t>HoneyBook Name</t>
  </si>
  <si>
    <t>Wedding Date</t>
  </si>
  <si>
    <t>EOMONTH</t>
  </si>
  <si>
    <t>Datebooked</t>
  </si>
  <si>
    <t>Venue</t>
  </si>
  <si>
    <t>Contract Type</t>
  </si>
  <si>
    <t>Venue Rental</t>
  </si>
  <si>
    <t>Entertainment</t>
  </si>
  <si>
    <t>Photo</t>
  </si>
  <si>
    <t>Videography</t>
  </si>
  <si>
    <t>All Inclusive Margin</t>
  </si>
  <si>
    <t>Bar Security</t>
  </si>
  <si>
    <t>Additional Hours</t>
  </si>
  <si>
    <t>Total Contract Value</t>
  </si>
  <si>
    <t>Deposit</t>
  </si>
  <si>
    <t>Payments Received QB</t>
  </si>
  <si>
    <t>Other Payments</t>
  </si>
  <si>
    <t>Remaining Balance</t>
  </si>
  <si>
    <t>Validation</t>
  </si>
  <si>
    <t>Other Ancillaries</t>
  </si>
  <si>
    <t>Total Non-Venue Rental Revenue</t>
  </si>
  <si>
    <t>Total to Pay Vendors</t>
  </si>
  <si>
    <t>Past Events</t>
  </si>
  <si>
    <t>Kylie Wright + Kaleb Schultz</t>
  </si>
  <si>
    <t>Venue Only</t>
  </si>
  <si>
    <t>Allie Gardner + Brison Self</t>
  </si>
  <si>
    <t>Anna Wolak + Chase Wright</t>
  </si>
  <si>
    <t>Emma Dunavant + Case Jones</t>
  </si>
  <si>
    <t>Brittney Jerkins + Justin Schmidt</t>
  </si>
  <si>
    <t>Venue &amp; Coordination</t>
  </si>
  <si>
    <t>Haley Condon + Noah Underwood</t>
  </si>
  <si>
    <t>Madeline Williams + Shannon Stewart</t>
  </si>
  <si>
    <t>Shea Wallace + Dillon Keesler</t>
  </si>
  <si>
    <t>Sarah Quinn + Zachary Beaumont</t>
  </si>
  <si>
    <t>Celeste Justice + Brian Curtis</t>
  </si>
  <si>
    <t>Lillie Anderson + Marty Trammell</t>
  </si>
  <si>
    <t>Lauren Stephens + Owen Sherwood</t>
  </si>
  <si>
    <t>Isabel Baldwin + Zach Summers</t>
  </si>
  <si>
    <t>Kalee Rhodes + Tyler Canaday</t>
  </si>
  <si>
    <t>Raven Edwards + Jamal Hunter</t>
  </si>
  <si>
    <t>Olivia Reynolds + Donald Richendollar-</t>
  </si>
  <si>
    <t>Lisa Watkins + Dustin Thomas</t>
  </si>
  <si>
    <t>Hanna Barnes + Parker Fleming</t>
  </si>
  <si>
    <t>Maddie Eaglen + Collin Owens</t>
  </si>
  <si>
    <t xml:space="preserve">Shelby Elmore + Ryan Gudmundson </t>
  </si>
  <si>
    <t>All Inclusive</t>
  </si>
  <si>
    <t>Savannah Williams + Jack Buker</t>
  </si>
  <si>
    <t>Kylie Craft + Zach Olshan</t>
  </si>
  <si>
    <t>Mandi Kreidler + Kyle Galt</t>
  </si>
  <si>
    <t>Jack Hebert + Sydney Wilson</t>
  </si>
  <si>
    <t>Brinn Fathauer + Rylan Chalfont</t>
  </si>
  <si>
    <t>Arden Perez + Grant Sargent</t>
  </si>
  <si>
    <t>Emily Warren + Ethan Crumpler</t>
  </si>
  <si>
    <t>Mark Bates + Jessica Wright</t>
  </si>
  <si>
    <t>Emily Butao + Jackson Allen</t>
  </si>
  <si>
    <t>Katie Pigg + Carson Richards</t>
  </si>
  <si>
    <t>Raeona Dorsey + Kyler Carter</t>
  </si>
  <si>
    <t>Jill Johnson + Jacob Papantonakis</t>
  </si>
  <si>
    <t>Kathleen Veguilla's + Kyle Reynolds</t>
  </si>
  <si>
    <t>Peyton Bair + James Nahaku</t>
  </si>
  <si>
    <t>Katie Witt + Westin Fryman</t>
  </si>
  <si>
    <t xml:space="preserve">Future Events </t>
  </si>
  <si>
    <t>Miya Cooke + Banes Carlyon</t>
  </si>
  <si>
    <t>4 hours added for 5/14 - $600 paid via Venmo</t>
  </si>
  <si>
    <t>Lauren Donnelly + Tyler Leslie</t>
  </si>
  <si>
    <t>1 hour added for 5/15 - $200 paid via Venmo. Owes $700 for IHC but it is 40 days past due so that should arrive soon</t>
  </si>
  <si>
    <t>Tabitha Brown + Chase Sherman</t>
  </si>
  <si>
    <t>Samantha Rooker + Mark Richmond</t>
  </si>
  <si>
    <t>n/a</t>
  </si>
  <si>
    <t>$750 security deposit paid via Venmo 4/24</t>
  </si>
  <si>
    <t>Florist paid in full. Owe $1700 to photographer day of.</t>
  </si>
  <si>
    <t>Anna McCarthy + Carter O’Bryan</t>
  </si>
  <si>
    <t>Paid $200 via Venmo 5/12</t>
  </si>
  <si>
    <t>Regan Derryberry + Harry Graves</t>
  </si>
  <si>
    <t>Paid cash. We owe $350 for overpayment. To go toward officer + $75 to client</t>
  </si>
  <si>
    <t>Morgan DeLira + Michael Sale</t>
  </si>
  <si>
    <t>1 hour added for 5/23 - $200 paid via invoice</t>
  </si>
  <si>
    <t>$500 security deposit paid via Venmo 4/15</t>
  </si>
  <si>
    <t>Cameron Chadwick + Cody Carson</t>
  </si>
  <si>
    <t>Melissa Alvarado + Jaime Maldonado</t>
  </si>
  <si>
    <t>paid $750 security deposit via HB</t>
  </si>
  <si>
    <t>Kristen Stiefel + Nick Vermilion</t>
  </si>
  <si>
    <t>$2000 down payment paid cash</t>
  </si>
  <si>
    <t>Emily Cooper + Donnel Bailey</t>
  </si>
  <si>
    <t>Lauren Dalton + Eric LaFontsee</t>
  </si>
  <si>
    <t>Ashley Harper + Andrew Reavis</t>
  </si>
  <si>
    <t>$750 security deposit paid via Venmo 4/22</t>
  </si>
  <si>
    <t>Olivia Stevenson + Kyle Anderson</t>
  </si>
  <si>
    <t>Shelbey Dowler + Benjamin Majeske</t>
  </si>
  <si>
    <t>Katherine Russo + Austin Tice</t>
  </si>
  <si>
    <t>Kaylee Caldwell + Clay Orman</t>
  </si>
  <si>
    <t>Joy Seuis + Matt Field</t>
  </si>
  <si>
    <t>Sadie Walker + Josh Cole</t>
  </si>
  <si>
    <t>4 hours added for 6/11 - $600 paid via check</t>
  </si>
  <si>
    <t>Elliot Szymanski + Weston Dunlap</t>
  </si>
  <si>
    <t>Kristen Adair + Tyler Rayburn</t>
  </si>
  <si>
    <t>Maggie Keenan + Darius Richmond</t>
  </si>
  <si>
    <t>Tabitha McDunn + Bryce Franks</t>
  </si>
  <si>
    <t>Logan Gish + Honoré Kalala</t>
  </si>
  <si>
    <t>Bella Reffit + Levi Martin</t>
  </si>
  <si>
    <t>Destiny Bailey + David Feller</t>
  </si>
  <si>
    <t>Jewell Brinkley + Austin Barker</t>
  </si>
  <si>
    <t>Casey Shaffer +  Jacob Hudson</t>
  </si>
  <si>
    <t>Makenzie Warren + Alec Panagakis</t>
  </si>
  <si>
    <t>Antoinette Muirhead + Austin Bryant - Chapel</t>
  </si>
  <si>
    <t>Isabella Toutloff + Austin Cavender</t>
  </si>
  <si>
    <t>Paid $750 security deposit via check 4/10</t>
  </si>
  <si>
    <t>Alex McDaniel + Zach Knuckey</t>
  </si>
  <si>
    <t>Sydnie Arnolds + Noah Burney</t>
  </si>
  <si>
    <t>Mackenzie Tabb + Clayton Baldwin</t>
  </si>
  <si>
    <t>Emily Etzig + David Cary</t>
  </si>
  <si>
    <t>Kendall Moore + Ryan Templeton</t>
  </si>
  <si>
    <t>Taylor Setterington + Peyton Kardos</t>
  </si>
  <si>
    <t xml:space="preserve">2 hours added for 7/26 - $400 paid via Venmo </t>
  </si>
  <si>
    <t>Sophie Thompson + Jaxon Knight</t>
  </si>
  <si>
    <t>Daniella Harper + Quade Raley</t>
  </si>
  <si>
    <t>Hayden Thornton + Ivie Burns</t>
  </si>
  <si>
    <t>Olivia Henderson + Samuel Brunswick</t>
  </si>
  <si>
    <t>Teressa Davis + Hudson Partlow</t>
  </si>
  <si>
    <t>Morgan Richey + Drew Richey</t>
  </si>
  <si>
    <t>Nina Chong + Alex Williams</t>
  </si>
  <si>
    <t>Cristina Garcia + Matthew Gonzalez</t>
  </si>
  <si>
    <t>Lily Rivas + Eric Yocum</t>
  </si>
  <si>
    <t>Sara Walker + Jonah Peterson</t>
  </si>
  <si>
    <t>Ashlynn Randall + Ben Branlund</t>
  </si>
  <si>
    <t>Bridget Tindal + Shepherd Jacobs</t>
  </si>
  <si>
    <t>Peyton Waddell + Ryan Helinger</t>
  </si>
  <si>
    <t>Brianna Mickelson + Chuck Heath</t>
  </si>
  <si>
    <t xml:space="preserve">Sofia Demonakos + Bradley Miller </t>
  </si>
  <si>
    <t>Micro Wedding</t>
  </si>
  <si>
    <r>
      <rPr>
        <sz val="9"/>
        <color theme="1"/>
        <rFont val="Arial"/>
        <family val="2"/>
      </rPr>
      <t xml:space="preserve">Micro - 6 hours - 30-50 people ~ </t>
    </r>
    <r>
      <rPr>
        <b/>
        <sz val="9"/>
        <color theme="1"/>
        <rFont val="Arial"/>
        <family val="2"/>
      </rPr>
      <t xml:space="preserve">includes </t>
    </r>
    <r>
      <rPr>
        <sz val="9"/>
        <color theme="1"/>
        <rFont val="Arial"/>
        <family val="2"/>
      </rPr>
      <t xml:space="preserve">cake added price to bakery but it added it to balance, SC I adjusted the venue rental for the cake </t>
    </r>
  </si>
  <si>
    <t>Carol Jane McKaskle + Nicholas Hayes</t>
  </si>
  <si>
    <r>
      <rPr>
        <sz val="9"/>
        <color theme="1"/>
        <rFont val="Arial"/>
        <family val="2"/>
      </rPr>
      <t xml:space="preserve">Micro - 6 hours - 30-50 people ~ </t>
    </r>
    <r>
      <rPr>
        <b/>
        <sz val="9"/>
        <color theme="1"/>
        <rFont val="Arial"/>
        <family val="2"/>
      </rPr>
      <t xml:space="preserve">includes </t>
    </r>
    <r>
      <rPr>
        <sz val="9"/>
        <color theme="1"/>
        <rFont val="Arial"/>
        <family val="2"/>
      </rPr>
      <t>cake added price to bakery but it added it to balance SC I adjusted the venue rental for the cake</t>
    </r>
  </si>
  <si>
    <t>Haley Hammonds + Joshua Peterson</t>
  </si>
  <si>
    <t>Mackenzie Fred + Harrison Randall</t>
  </si>
  <si>
    <t>Paid cash</t>
  </si>
  <si>
    <t>Arianna Fauth + Dean Raciti</t>
  </si>
  <si>
    <t>Used $250 military discount toward officer fee (in other payments) only owes $25 for officer</t>
  </si>
  <si>
    <t>Jewel Nickens + Jesus Fuentes</t>
  </si>
  <si>
    <t>Tiffany Cervantes + Wesley Doughty</t>
  </si>
  <si>
    <t>Kirsten Spilka + Zachary Harrison</t>
  </si>
  <si>
    <t>Emily Xaysongkham + Erik Manovic</t>
  </si>
  <si>
    <t>Megan Joosse + Ethan Encinias</t>
  </si>
  <si>
    <t>Mallory Armstrong + Caden Bee</t>
  </si>
  <si>
    <t>Lyndsey Weinberg + Garrett Kirk</t>
  </si>
  <si>
    <t>Taylor Crosby + Garrett Hatfield</t>
  </si>
  <si>
    <t>Kenzie Faulkner + Matthew Vailes</t>
  </si>
  <si>
    <t>Cailey Maddox + Evan Pearson</t>
  </si>
  <si>
    <t>Micro - 6 hours - 30-50 people ~ includes cake added price to bakery but it added it to balance</t>
  </si>
  <si>
    <t>Chloe Perkins + Hunt Gossum</t>
  </si>
  <si>
    <t>Taylor Sanders + Michael Bosher</t>
  </si>
  <si>
    <t>Yamilet Pineda + William Townsend</t>
  </si>
  <si>
    <t>Alyssa Howard + Daniel Wheeler</t>
  </si>
  <si>
    <t>Ethan Page + Brianna Mitchell</t>
  </si>
  <si>
    <t>Mikhaila Missimer + Ryan Cretens</t>
  </si>
  <si>
    <t>Caitlin Moncrief + Jake Fry</t>
  </si>
  <si>
    <t>Grecia Ortiz + Mario Samaniego</t>
  </si>
  <si>
    <t>Greyson Walker + Alex Handy</t>
  </si>
  <si>
    <t>Jordyn Espitia + David Kelly</t>
  </si>
  <si>
    <t>Madison Hodges + Antoine Ferguson</t>
  </si>
  <si>
    <t>Claire Burke + Kevon Anderson</t>
  </si>
  <si>
    <t>Megan Wolfskill + Chase Austin</t>
  </si>
  <si>
    <t>Grace Tidwell + Briceton Turner</t>
  </si>
  <si>
    <t>Shay Latson + Heath Carroll</t>
  </si>
  <si>
    <t>Adalyn Foster + Nick Owens</t>
  </si>
  <si>
    <t>Hannah Watkins +  Christopher Jenkins</t>
  </si>
  <si>
    <t>Natalie Mayr + Patrick Gago</t>
  </si>
  <si>
    <t>Savannah Allmon + Garrett Nollner</t>
  </si>
  <si>
    <t>Alaina Abla + Zane Evers</t>
  </si>
  <si>
    <t>Katelyn Allen + Brandon Gandino</t>
  </si>
  <si>
    <t>Anna Kate Duncan + Braden Powers</t>
  </si>
  <si>
    <t>Camry Thomas + Jack Worthy</t>
  </si>
  <si>
    <t>Katie Henderson + Chris Hartman</t>
  </si>
  <si>
    <t>Brooke Goins + Alex Montanez</t>
  </si>
  <si>
    <t>Gabriella Mineo + Philip Craig</t>
  </si>
  <si>
    <t>Paid Cash</t>
  </si>
  <si>
    <t>Hannah Schrock + Richard Antes</t>
  </si>
  <si>
    <t>Tara Jinks + Brayton Swan</t>
  </si>
  <si>
    <t>Timber Bevins + Justin Bloodworth</t>
  </si>
  <si>
    <t>Abbie Clark + Matt McConnell</t>
  </si>
  <si>
    <t>Alison Briggs + Wyatt Barnett</t>
  </si>
  <si>
    <t>Gracie Vester + Evan Garton</t>
  </si>
  <si>
    <t>Christina Petty + Gary Frost</t>
  </si>
  <si>
    <t>Sarah Browning + Dylan McNeece</t>
  </si>
  <si>
    <t>Devin Rippeon + Nick Judd</t>
  </si>
  <si>
    <t>CiCi Erck + Caleb Saner</t>
  </si>
  <si>
    <t>Emily Barker + David Rivers</t>
  </si>
  <si>
    <t>Sarah Beth Salyer + Harrison Bennewitz</t>
  </si>
  <si>
    <t>Logan Brown + Sam Lisanby</t>
  </si>
  <si>
    <t>Malaina Bowker + RJ Kern</t>
  </si>
  <si>
    <t>Cherie Arellano + David Miller</t>
  </si>
  <si>
    <t>Courtney Hopkins + Kevin Black</t>
  </si>
  <si>
    <t>Vittoria Barone + Troy Arriola</t>
  </si>
  <si>
    <t>Caroline Barineau + Dylan Smith</t>
  </si>
  <si>
    <t>Candice Kurth + Leighton Hewell</t>
  </si>
  <si>
    <t>Reagan Harrell + Bryce West - Chapel</t>
  </si>
  <si>
    <t>Hany Santana + Alberto Pando</t>
  </si>
  <si>
    <t>Jessie Owen + Tyler Davey</t>
  </si>
  <si>
    <t>Abigail Orr + Julian Melton</t>
  </si>
  <si>
    <t>Rachel Karzin + Jackson Lair</t>
  </si>
  <si>
    <t>2 hours added for 12/3 - $400 paid via Venmo</t>
  </si>
  <si>
    <t>Addison Means + Watson Persinger</t>
  </si>
  <si>
    <t>Chapel Venue</t>
  </si>
  <si>
    <t>Makenna Messina + Luke Yates</t>
  </si>
  <si>
    <t>Micah Ringenberg + Jordan Fox</t>
  </si>
  <si>
    <t>Lila Bunton + Josiah Mok</t>
  </si>
  <si>
    <t>Sydney Hohmann + Albert Kupchik - Chapel</t>
  </si>
  <si>
    <t>Chloe Drugeot + Bradley Farquharson</t>
  </si>
  <si>
    <t>Olivia Eley + Mason Hancock</t>
  </si>
  <si>
    <t>Makayla Huckaby + Caleb Cook</t>
  </si>
  <si>
    <t>Venue rental discount for friend</t>
  </si>
  <si>
    <t>Sydney Escobar + Austin Ramsey</t>
  </si>
  <si>
    <t>Caleb Blikstad + LeAnna Kehl - Chapel</t>
  </si>
  <si>
    <t>Alexa Kennedy + Cade Granzow</t>
  </si>
  <si>
    <t>Charlee Baker + Williams Ballard</t>
  </si>
  <si>
    <t>Summer Coltrane + Zeke Hutton</t>
  </si>
  <si>
    <t>Rebecca Corzine + Peter McCarthy</t>
  </si>
  <si>
    <t>Alison McClain + Ethan Roose</t>
  </si>
  <si>
    <t>Alexis Ledford + Garrett Welker</t>
  </si>
  <si>
    <t>Sarah Shelby + Wyatt Kmoch</t>
  </si>
  <si>
    <t>Veronika Vasquez + Orlando Garcia</t>
  </si>
  <si>
    <t>Zoe Dillard + Matthew Heard</t>
  </si>
  <si>
    <t>Ashlyn Barrett + Dalton Duer</t>
  </si>
  <si>
    <t>Kara Harrell + Isaac Ziolkowski</t>
  </si>
  <si>
    <t>Keyanna Kramer + Dillon French</t>
  </si>
  <si>
    <t>Lauren Brooks + Mason Walker</t>
  </si>
  <si>
    <t>Abby Owen + Joseph Lunsford</t>
  </si>
  <si>
    <t>Tia Estes + Justin Aguilar</t>
  </si>
  <si>
    <t>Haylea Sledge + Jack Todd</t>
  </si>
  <si>
    <t>Nicole Gonzalez + Sean Dufresne</t>
  </si>
  <si>
    <t>Ella Ryerson + Jacob Goldstein</t>
  </si>
  <si>
    <t>Kyndal Kearns + Jacob Sloan</t>
  </si>
  <si>
    <t>Mckennah Williams + Nate Hendry</t>
  </si>
  <si>
    <t>Abigail Davis + Jackson Thigpen</t>
  </si>
  <si>
    <t xml:space="preserve">Alijah Green + Emmanual Goodloe </t>
  </si>
  <si>
    <t>Olivia Small + Peter Thomas</t>
  </si>
  <si>
    <t>Dawn Evans + Jay Riddick</t>
  </si>
  <si>
    <t>Hannah Ward + Hayden Pearson</t>
  </si>
  <si>
    <t>Kylee Cejka + Caleb Burnett</t>
  </si>
  <si>
    <t>Desiree Carter + Conner Rasberry - Chapel</t>
  </si>
  <si>
    <t>Kaylee Hubbard + Spencer Wishon</t>
  </si>
  <si>
    <t>Melissa Hiner + Corey Swiger - Chapel</t>
  </si>
  <si>
    <t>Andrea Stinson + Cameron Viss</t>
  </si>
  <si>
    <t>Kayla Hansen + Gabriel Macedo</t>
  </si>
  <si>
    <t>Justine Gratton + Jake Mulholland</t>
  </si>
  <si>
    <t>Alexia Hoskins + Dalton True</t>
  </si>
  <si>
    <t>Raley Chadwick + James Blair</t>
  </si>
  <si>
    <t>Chloe Crowder + Kevin Allen</t>
  </si>
  <si>
    <t>Kyrie Stewart + Evan Nix</t>
  </si>
  <si>
    <t>Hannah Van Etten + Adam Stagner</t>
  </si>
  <si>
    <t>Carley Clinard + John White</t>
  </si>
  <si>
    <t>Valerie Wojcik + Isaac Caldwell</t>
  </si>
  <si>
    <t>Faith Mansfield + Luke Stevens</t>
  </si>
  <si>
    <t>Kara Nienhaus + Tanner Tullis</t>
  </si>
  <si>
    <t>Lyndsey Broughton + Will Manners</t>
  </si>
  <si>
    <t>Kacey Arnold + Kevin Farwell</t>
  </si>
  <si>
    <t>Kirsten Plunk + Mason McDonald</t>
  </si>
  <si>
    <t>Name</t>
  </si>
  <si>
    <t>Wedding</t>
  </si>
  <si>
    <t>EOM - Event</t>
  </si>
  <si>
    <t>Day</t>
  </si>
  <si>
    <t>Booking Month/Year</t>
  </si>
  <si>
    <t>EOM - Booking</t>
  </si>
  <si>
    <t>Booking Year</t>
  </si>
  <si>
    <t>Months out Booking</t>
  </si>
  <si>
    <t>Which</t>
  </si>
  <si>
    <t xml:space="preserve">Venue Price </t>
  </si>
  <si>
    <t>Package PROFIT</t>
  </si>
  <si>
    <t xml:space="preserve">Matthew Eisler + Emma Anderson </t>
  </si>
  <si>
    <t>X</t>
  </si>
  <si>
    <t>Caroline Brasfield +  Drew Robertson</t>
  </si>
  <si>
    <t>Cancellations</t>
  </si>
  <si>
    <t>x</t>
  </si>
  <si>
    <t xml:space="preserve">Chris Smith + Norma Garcia </t>
  </si>
  <si>
    <t>Elope overage</t>
  </si>
  <si>
    <t>Daniel Torres + Hedi Munoz</t>
  </si>
  <si>
    <t>Ashley Conser + Andrew Blankinship</t>
  </si>
  <si>
    <t>W</t>
  </si>
  <si>
    <t xml:space="preserve">Mackenzie Lee + Joseph Uselton </t>
  </si>
  <si>
    <t>Matthew Pack + Hannah Caldwell</t>
  </si>
  <si>
    <t xml:space="preserve">Katie Pigg + Carson Richards </t>
  </si>
  <si>
    <t>Carly Hubbard + David Weiser</t>
  </si>
  <si>
    <t>Karmen Drake + Chase Birdwell</t>
  </si>
  <si>
    <t>Chase Roberson + Zoe James</t>
  </si>
  <si>
    <t>Sam Batey + Maddie Perez</t>
  </si>
  <si>
    <t>Jackson Weyant + Emily Normandlin</t>
  </si>
  <si>
    <t xml:space="preserve">Justin Parker + Emily LePlavy </t>
  </si>
  <si>
    <t>Emily Cook + Austin Abbruzzi</t>
  </si>
  <si>
    <t>Maggie Greene + Blaise Dempsey</t>
  </si>
  <si>
    <t>Madelyn Laplant + Murphy Elmore</t>
  </si>
  <si>
    <t>Lance Roby + Ashley Bonk</t>
  </si>
  <si>
    <t>Page Spinoso + Dani Ged</t>
  </si>
  <si>
    <t>Elise Lovell + Drew Hayes</t>
  </si>
  <si>
    <t>Katie Guevarra + Will-Franklin Mason</t>
  </si>
  <si>
    <t>Matt Thompson + Autumn Anderson</t>
  </si>
  <si>
    <t>Trace Adcock + Hallie Pennington</t>
  </si>
  <si>
    <t>Kelly Grace + Duquesne Rahm - Barn</t>
  </si>
  <si>
    <t>Olivia Stanton + Alex Davidson</t>
  </si>
  <si>
    <t>Brittany Breland + James Dunagan</t>
  </si>
  <si>
    <t>Elizabeth Huber + Lenin Casamayor</t>
  </si>
  <si>
    <t>Paige Sensing + Colby Ralls</t>
  </si>
  <si>
    <r>
      <rPr>
        <sz val="11"/>
        <color rgb="FF3C4043"/>
        <rFont val="Docs-Calibri"/>
      </rPr>
      <t>Hannah Anderson + Perry Ford</t>
    </r>
  </si>
  <si>
    <t>Rachel Cole + Josh Shepherd</t>
  </si>
  <si>
    <t>Julie Anne Jacobs + William King</t>
  </si>
  <si>
    <t>Lillian Tingler + Mason Turner</t>
  </si>
  <si>
    <t>Tyler Grider + Bailey Nixon</t>
  </si>
  <si>
    <t>Kyle McManus + Desatnnie Surface</t>
  </si>
  <si>
    <r>
      <rPr>
        <sz val="11"/>
        <color rgb="FF3C4043"/>
        <rFont val="Docs-Calibri"/>
      </rPr>
      <t>Kailey Albright + Ladarius Dixon</t>
    </r>
  </si>
  <si>
    <t xml:space="preserve">Shannon White + Zach Waller </t>
  </si>
  <si>
    <t xml:space="preserve">Mark Oliver + Ivy Heinrich </t>
  </si>
  <si>
    <t xml:space="preserve">Hailey Pruitt + Christopher Anderson </t>
  </si>
  <si>
    <t>Carly Lynn Swearingen + David Prince</t>
  </si>
  <si>
    <t>Morgan Anderson +  Nick Reith</t>
  </si>
  <si>
    <t>Reece Elkins + Austin Allen</t>
  </si>
  <si>
    <t>Brenna Towne + Chance Burge</t>
  </si>
  <si>
    <t>Crystal Rickenbaker + Terry Presson</t>
  </si>
  <si>
    <t>Timothy Appleby + Bailey Morrow</t>
  </si>
  <si>
    <t>Sam Herrmann + Kate Perrey</t>
  </si>
  <si>
    <t xml:space="preserve">Karli Damery + Guilherme Bazil </t>
  </si>
  <si>
    <t>Caroline Pruitt + Chandler Smith - Chapel</t>
  </si>
  <si>
    <t>Hayden Duke + Skylar Lee</t>
  </si>
  <si>
    <t>Samuel Kreulen + Danielle LaCoss</t>
  </si>
  <si>
    <t>Emily Benoit + Jeffrey Wallace</t>
  </si>
  <si>
    <t>Kelsie Wall + Eli Bowen - Chapel</t>
  </si>
  <si>
    <t>Payton Alvord + Cole Schiffhauer</t>
  </si>
  <si>
    <t>Brian Piercer + McKenna Harris</t>
  </si>
  <si>
    <t>Yeongha Oh + Jean Mok</t>
  </si>
  <si>
    <t xml:space="preserve">Stephen Gilliand + Jamie Lee </t>
  </si>
  <si>
    <t xml:space="preserve">Jake Thomas + Elisabeth Fuqua </t>
  </si>
  <si>
    <t>Hannah Herrera + Elijah Herrera - Chapel</t>
  </si>
  <si>
    <t>Chelsea Wilson + Jesse Foley</t>
  </si>
  <si>
    <t>Caitlin Lucia + Tyler McManus</t>
  </si>
  <si>
    <t>Katelin Clark + Elijah Jacobs - Chapel</t>
  </si>
  <si>
    <t>Michael Comer + Alex Israel</t>
  </si>
  <si>
    <t>Taylor Putt + Shakur Jackson</t>
  </si>
  <si>
    <t>Kristyna Murphy + David Stroud</t>
  </si>
  <si>
    <t xml:space="preserve">Alex Warters + Kara Conarton </t>
  </si>
  <si>
    <t xml:space="preserve">Jordan Kirby + Lexi Bonefas </t>
  </si>
  <si>
    <t>Isabel Harris + Roger Dorris</t>
  </si>
  <si>
    <t xml:space="preserve">Sophia Pery + Dylan Olson </t>
  </si>
  <si>
    <t>Natalie Gum + Bryce Schmidt</t>
  </si>
  <si>
    <t xml:space="preserve">Mitchell Roberts + Anna Coles </t>
  </si>
  <si>
    <t>Shelby Whiffen + John Michael Cunningham</t>
  </si>
  <si>
    <t>Leah Brewer + Cameron Dunnam - Chapel</t>
  </si>
  <si>
    <t xml:space="preserve">Sam Fulton + Alexandra Hull </t>
  </si>
  <si>
    <t>Rayana Masters + Vincent Reed</t>
  </si>
  <si>
    <t>Taylor Rambo + Jeremy Sneed</t>
  </si>
  <si>
    <t>Timothy Evans + Maria Cueto</t>
  </si>
  <si>
    <t>Joseph Domenico + Moira Pearcy</t>
  </si>
  <si>
    <t>Jennifer Kerle + Liam Brocious</t>
  </si>
  <si>
    <t>Amanda Martindale + Trenton Ferrell</t>
  </si>
  <si>
    <t>Hadleigh Rhodes + Devin Davila</t>
  </si>
  <si>
    <t>Richard Hurteau + Aubrey Dearstine</t>
  </si>
  <si>
    <t>Savannah Ratcliff + Matthew Channell</t>
  </si>
  <si>
    <t>Brittany Glasby + Nicholas Hamilton</t>
  </si>
  <si>
    <t>Jake Wall + Taylor Wolfe</t>
  </si>
  <si>
    <t>Amanda Ashworth + Nathan Patrick</t>
  </si>
  <si>
    <t>Miranda Monfort + Joshua Lemar</t>
  </si>
  <si>
    <t xml:space="preserve">Sarah Loveless + Riley Lopez </t>
  </si>
  <si>
    <t>Kate Ligon + Michael Speruta</t>
  </si>
  <si>
    <t>Stephanie Barry + Austin Meads</t>
  </si>
  <si>
    <t>Haleigh Stackpole + Justin Stone</t>
  </si>
  <si>
    <t xml:space="preserve">Eiley Miles + Parker Acri </t>
  </si>
  <si>
    <t xml:space="preserve">Kendall Perssico + Cole Huddleston </t>
  </si>
  <si>
    <t>Maliayha Smith + Dawson Adams</t>
  </si>
  <si>
    <t>Olivia Toomer + Lloyd Williams</t>
  </si>
  <si>
    <t>Mali Keyes + Harrison Shook</t>
  </si>
  <si>
    <t>Happy Bowles + Breven Reifsteck</t>
  </si>
  <si>
    <t>Gabriella Garcia Halbig + Avery Irwin</t>
  </si>
  <si>
    <t>Jesslyn Nesbitt's + Hunter Petty</t>
  </si>
  <si>
    <t>Madeline Stephens + Tucker Ford - Chapel</t>
  </si>
  <si>
    <t>Jayne Naylor + Jacob Blanton</t>
  </si>
  <si>
    <t>Jaxon Ward + Carly Ellis</t>
  </si>
  <si>
    <r>
      <rPr>
        <sz val="11"/>
        <color rgb="FF3C4043"/>
        <rFont val="Docs-Calibri"/>
      </rPr>
      <t>Anna Cherry + Tyler Snead</t>
    </r>
  </si>
  <si>
    <t>Natali Vandivier + Moises Canas</t>
  </si>
  <si>
    <r>
      <rPr>
        <sz val="11"/>
        <color rgb="FF3C4043"/>
        <rFont val="Docs-Calibri"/>
      </rPr>
      <t>Megan Novak + Cooper Eldridge</t>
    </r>
  </si>
  <si>
    <t>Alyssa Lopez + Deylon Williams</t>
  </si>
  <si>
    <t>Laura Schumacher + Scott Hanner</t>
  </si>
  <si>
    <r>
      <rPr>
        <sz val="11"/>
        <color rgb="FF3C4043"/>
        <rFont val="Docs-Calibri"/>
      </rPr>
      <t>Stacey Uhm + Chris Cho</t>
    </r>
  </si>
  <si>
    <t>Melissa Ramos + Steven Nguyen</t>
  </si>
  <si>
    <t>Mallie Foutch + Ryan McGee</t>
  </si>
  <si>
    <t>Hannah  + Dakota Walburn - Chapel</t>
  </si>
  <si>
    <t>Sophie Dillon + Michael Lovejoy</t>
  </si>
  <si>
    <t>Dakota Sloan + Alden McGinnis</t>
  </si>
  <si>
    <t>Hailey Brewer + Jayce Morrison</t>
  </si>
  <si>
    <t>Aubrie Smith + Alejandro Reyna</t>
  </si>
  <si>
    <t>Melanie Plunkett + Everhett Lloyd</t>
  </si>
  <si>
    <t>Logan Lawrence + Robert Del Smith</t>
  </si>
  <si>
    <t xml:space="preserve">Emilie Wilson + David Reed </t>
  </si>
  <si>
    <t>Layni Branson + Cedric Johnson</t>
  </si>
  <si>
    <t>Lindsay Simmons + Dillon Massia</t>
  </si>
  <si>
    <t>Robert Hoeffner + Leah Rider</t>
  </si>
  <si>
    <t xml:space="preserve">Mariah Rodriguez + Spencer Earhart </t>
  </si>
  <si>
    <t>Alyssa Freeman + Hunter Dugal</t>
  </si>
  <si>
    <t>Elizabeth Clement + Darrion Purvis</t>
  </si>
  <si>
    <t>Sydnee Grimme + Herschel Chambers</t>
  </si>
  <si>
    <t>Marena Gentry + Cory Gilbert</t>
  </si>
  <si>
    <t>Haleigh Murphey + Adam Clemens</t>
  </si>
  <si>
    <t>Gisel Williams + Tyrus Banks</t>
  </si>
  <si>
    <t>Morgan Anderson + Paul Herbig</t>
  </si>
  <si>
    <t>Nick Ritchie + Jori Poling</t>
  </si>
  <si>
    <t xml:space="preserve">Gracelyn Burris + Wesley Carpenter </t>
  </si>
  <si>
    <t xml:space="preserve">Harley Cole + Zander Kalman </t>
  </si>
  <si>
    <t xml:space="preserve">Maddy Metzer + Justin McGee </t>
  </si>
  <si>
    <t>Marina Hanna + Matthew Murrow</t>
  </si>
  <si>
    <t xml:space="preserve">Jennifer Levene + Eric Roundy </t>
  </si>
  <si>
    <t>Clint Phifer + Peach Malone</t>
  </si>
  <si>
    <t>Charlene Nemecheck + Bennett Jones</t>
  </si>
  <si>
    <t>Andrea Theobald + Stephen Cooper</t>
  </si>
  <si>
    <t>Sophia Uselton + Garret Spencer</t>
  </si>
  <si>
    <r>
      <rPr>
        <sz val="11"/>
        <color rgb="FF3C4043"/>
        <rFont val="Docs-Calibri"/>
      </rPr>
      <t>Kayla Reiner + Tell Walker</t>
    </r>
  </si>
  <si>
    <t>Maddie Angell + Grayson Green</t>
  </si>
  <si>
    <t>Heidi Bevans + Cory Oliver</t>
  </si>
  <si>
    <t>Garrett Wright + Bailee Barnett</t>
  </si>
  <si>
    <t>Kelsi Price + Justin Gregg</t>
  </si>
  <si>
    <t>Alli Williams + Josh Berry</t>
  </si>
  <si>
    <t>Madyson Kohl + Daniel Crane</t>
  </si>
  <si>
    <t xml:space="preserve">Karen Vanbelkum + Tyler Key </t>
  </si>
  <si>
    <t>Jared Lowe + Whitney Spencer</t>
  </si>
  <si>
    <t>Austin Cochran + Meagan Vanderhill</t>
  </si>
  <si>
    <t xml:space="preserve">Vincent Gordon + Brittney Sullivan </t>
  </si>
  <si>
    <t>John Price Mattis + Aubrey Frantz</t>
  </si>
  <si>
    <t>Hunter Baker + Jordan Vick</t>
  </si>
  <si>
    <t>Pierce Hamilton + Macy Helm</t>
  </si>
  <si>
    <t>William Nolan + Cassandra Rooke</t>
  </si>
  <si>
    <t>Patrick Powers + Emma Doud</t>
  </si>
  <si>
    <t>Michael York + Torrie Stellern</t>
  </si>
  <si>
    <t>Cody Enis + Danielle Huynh</t>
  </si>
  <si>
    <t xml:space="preserve">Chase Cashion + Kensey Wetzel </t>
  </si>
  <si>
    <t>Patrick Bates + Jaime Hippe</t>
  </si>
  <si>
    <t>Zachary Doud + Savanna Maue</t>
  </si>
  <si>
    <t>Kurt Gravit + Michelle Benda</t>
  </si>
  <si>
    <t>Adrian Keeley + Ella Weiss</t>
  </si>
  <si>
    <t>Dillon Moore + Megan Steinbuck</t>
  </si>
  <si>
    <t xml:space="preserve">Marck Mallendick + Marc Mallendick </t>
  </si>
  <si>
    <t>Joshua Burkhart + Isabelle Miga</t>
  </si>
  <si>
    <t>Keith Bunn + Delaney Jennings</t>
  </si>
  <si>
    <t>Connor Anderson + Simone Llorens</t>
  </si>
  <si>
    <t xml:space="preserve">Caleb Swank + Gabby Roussos </t>
  </si>
  <si>
    <t xml:space="preserve">Gavin Logazino + Molly Carter Morgan </t>
  </si>
  <si>
    <t>Chris Walton + Alicia Champion</t>
  </si>
  <si>
    <t>Carson Caroll + Leslie Bradley</t>
  </si>
  <si>
    <t>Bryce Hall + Ashley Anderson</t>
  </si>
  <si>
    <t xml:space="preserve">Nic Lamb + Alyson Fotias </t>
  </si>
  <si>
    <t>Todd Carter + Cailie Viau</t>
  </si>
  <si>
    <t xml:space="preserve">Dylan McBrayer + Lauren Marble </t>
  </si>
  <si>
    <t>Daniel Hutchison + Teri Miles</t>
  </si>
  <si>
    <t xml:space="preserve">Charles Williams + Dakota Bolton </t>
  </si>
  <si>
    <t xml:space="preserve"> Joseph Padilla + Callie Easley</t>
  </si>
  <si>
    <t>Caleb Chippeaux + Rebecca Skyes</t>
  </si>
  <si>
    <t xml:space="preserve">Jacob Worsley + Brooke Christy </t>
  </si>
  <si>
    <t xml:space="preserve">Zacc Hutchings + Savanna McEachern </t>
  </si>
  <si>
    <t>Brian Fullee + Katie Smith</t>
  </si>
  <si>
    <t>AJ Carter + Brinna Lavelle</t>
  </si>
  <si>
    <t>Connor Barber + Katie Ruggles</t>
  </si>
  <si>
    <t>Austin Keiser + Katie Poole</t>
  </si>
  <si>
    <t>William Longmore + Aspen Hegarty</t>
  </si>
  <si>
    <t>Seth O. Williams + Lauren Brannon</t>
  </si>
  <si>
    <t xml:space="preserve">Jacob Wells + Mallorie Haley </t>
  </si>
  <si>
    <t xml:space="preserve">Cody Davis + Caitlin Chapman </t>
  </si>
  <si>
    <t>Daniel Holyfield + Katelyn Scharrer</t>
  </si>
  <si>
    <t>Luis Echeverria + Emiliy Myers</t>
  </si>
  <si>
    <t>Dana Lucas + Dylan Texcahua</t>
  </si>
  <si>
    <t xml:space="preserve">Samuel Chaney + Rachel Harrison </t>
  </si>
  <si>
    <t>Drew Rogers + Kristen Marlor</t>
  </si>
  <si>
    <t>Andrew Hawn + Erica Bussell</t>
  </si>
  <si>
    <t>James Johnson + Maggie Killingsworth</t>
  </si>
  <si>
    <t xml:space="preserve">John Davis + Katrina Thornton </t>
  </si>
  <si>
    <t>Victoria Hjelte + Brad Barclay - Barn</t>
  </si>
  <si>
    <t>Madison Puhl + Danny Brewington</t>
  </si>
  <si>
    <t xml:space="preserve">Colby Finch + Ashley Davis </t>
  </si>
  <si>
    <t xml:space="preserve">Rachael Smith + Andrew Sinard </t>
  </si>
  <si>
    <t xml:space="preserve">Riley Dunmyer + Mattie Bell </t>
  </si>
  <si>
    <t>Caleb Gould + Amy Manchester</t>
  </si>
  <si>
    <t>Alex Love + Lacie Chunn</t>
  </si>
  <si>
    <t xml:space="preserve">Blake Stephens + Lexi Briley </t>
  </si>
  <si>
    <t xml:space="preserve">Dustin Loftis + Tiffany James </t>
  </si>
  <si>
    <t xml:space="preserve">Ryan Bottoms + Kayla Boers </t>
  </si>
  <si>
    <t>Austin Smith + Lindsay Pifer</t>
  </si>
  <si>
    <t>Charles McLemore + Amberly Vandevender</t>
  </si>
  <si>
    <t>Parker Alexander + Jolanda Alexander</t>
  </si>
  <si>
    <t>Eliot Herrmann + Ashley Merrell</t>
  </si>
  <si>
    <t>Quinn Heckman  + Rachel Brobeck</t>
  </si>
  <si>
    <t>Nolen Fussell + Sydney Barksdale</t>
  </si>
  <si>
    <t>Justus Price + Kelsea Mauk</t>
  </si>
  <si>
    <t>Jack Wells + Logan Jacobs</t>
  </si>
  <si>
    <t>Matthew Caudill + Teresa Tucker</t>
  </si>
  <si>
    <t xml:space="preserve">Jacob Rivas + Alyssa Troyani </t>
  </si>
  <si>
    <t>Mason Huddleston + Alexis Markham</t>
  </si>
  <si>
    <t>Matthew Mcvoy + Tylar Palk</t>
  </si>
  <si>
    <t>Chas Petrone + Monica McConnaughey</t>
  </si>
  <si>
    <t>Gavin Middleton + Devin Osterhoudt</t>
  </si>
  <si>
    <t>Conner Stewart + Camryn Johnstone</t>
  </si>
  <si>
    <t>Kenny Gregory + Morgan Taylor</t>
  </si>
  <si>
    <t>Jason Britt + Chera Gilmore</t>
  </si>
  <si>
    <t xml:space="preserve">Ryan Tate + Marina Click </t>
  </si>
  <si>
    <t xml:space="preserve">Wyatt Herrick + Mia Gilles </t>
  </si>
  <si>
    <t>Garrett Martinez + Victoria Banks</t>
  </si>
  <si>
    <t>Josh Maudlin + Kristina Duke</t>
  </si>
  <si>
    <t xml:space="preserve">Griffin Nevills + Kaitlyn Sullivan </t>
  </si>
  <si>
    <t>Andrew Boyd + Molly Kiel</t>
  </si>
  <si>
    <t>Luke Meyer + Summer Long</t>
  </si>
  <si>
    <t>Steven Long + Annalise Kozin</t>
  </si>
  <si>
    <t>Hunter Plaster + Jaylee Howard</t>
  </si>
  <si>
    <t xml:space="preserve">Sean Meditz + Sammy McConeghey </t>
  </si>
  <si>
    <t>Foster Zelaya + Kaitlyn DeYoung</t>
  </si>
  <si>
    <t>Garrett Daniels + Gracey Law</t>
  </si>
  <si>
    <t>Samuel Nichol + Hannah Vaughn</t>
  </si>
  <si>
    <t>Tyler Grills + Jen Tackett</t>
  </si>
  <si>
    <t>Austin Van Buskirk + Peyton Kinney</t>
  </si>
  <si>
    <t xml:space="preserve">Jordaan Carpenter + Abby Petersen </t>
  </si>
  <si>
    <t>Devon Higgins + Abby Rial</t>
  </si>
  <si>
    <t xml:space="preserve">Jackson Jordan + Rachel Rhody </t>
  </si>
  <si>
    <t xml:space="preserve">Connor Wright + Alexus Doerr </t>
  </si>
  <si>
    <t>Blake Roberston + Britany Gonzalez</t>
  </si>
  <si>
    <t xml:space="preserve">Cristian Licea + Giovanna Mendoza </t>
  </si>
  <si>
    <t xml:space="preserve">Zac Little + Miranda Lowell </t>
  </si>
  <si>
    <t xml:space="preserve">Josh Adams + Jasmine Swain </t>
  </si>
  <si>
    <t>Daniel Carrasco + Victoria Garrett</t>
  </si>
  <si>
    <t>James Wambold Jr. + Heather Blumer</t>
  </si>
  <si>
    <t>Peyton Lee + Kallie Martindale</t>
  </si>
  <si>
    <t>Justin Brister + Tori Davis</t>
  </si>
  <si>
    <t>Zach Myers + Kourtney Martin</t>
  </si>
  <si>
    <t xml:space="preserve">Brice Gonzalez + Kyria Tamzil </t>
  </si>
  <si>
    <t>William Bain + Presley Harding</t>
  </si>
  <si>
    <t>Colin Powers + Jessica Dewberry</t>
  </si>
  <si>
    <t xml:space="preserve">Stefan Mireles + Ashley Medrano </t>
  </si>
  <si>
    <t>John Golden + Kayela Statom</t>
  </si>
  <si>
    <t xml:space="preserve">Luke Giles + Elizabeth Farris </t>
  </si>
  <si>
    <t>Zander Scott + Hannah Stowe</t>
  </si>
  <si>
    <t>Jordan Halliburton + Emily Smith</t>
  </si>
  <si>
    <t>Collin Fletcher + Hannah Stowe</t>
  </si>
  <si>
    <t>William Wiggins + Jenna DuBray</t>
  </si>
  <si>
    <t>Cameron Scott + Liberty Henson</t>
  </si>
  <si>
    <t>Tim Yost + Jenni Phillips</t>
  </si>
  <si>
    <t>Christopher DeCaney + Alex Conwell</t>
  </si>
  <si>
    <t xml:space="preserve">Kaylor Althoff + Haley Reynolds </t>
  </si>
  <si>
    <t>Michael Wilson + Shayna Sloan</t>
  </si>
  <si>
    <t>Landon Powers + Kaelan Asch</t>
  </si>
  <si>
    <t>Troy Kaiser + Alyssa Cannon</t>
  </si>
  <si>
    <t>Isaiah Booher + Lyndsey Gore</t>
  </si>
  <si>
    <t>Tyler Hoagland + Lindsay Roberts</t>
  </si>
  <si>
    <t>Lathrop Schmidt + Yana Kirnitskaya</t>
  </si>
  <si>
    <t>Cornelia Brank + Camden Johns</t>
  </si>
  <si>
    <t>Jack Scaglione + Bailey Brainerd</t>
  </si>
  <si>
    <t>Patrick Dean + Hannah Morris</t>
  </si>
  <si>
    <t>Ben Evans + Gabby Abadia</t>
  </si>
  <si>
    <t>Jessica Schwinn + Holden Elwood</t>
  </si>
  <si>
    <t>Hunter Hilliard + Corie Brake</t>
  </si>
  <si>
    <t>Andrew Mount + Ashley Eyer</t>
  </si>
  <si>
    <t>Chase Holmes + Molly Hankins</t>
  </si>
  <si>
    <t xml:space="preserve">JR Grubb + Lindsay Lehner </t>
  </si>
  <si>
    <t xml:space="preserve">Austin Webb + Megan Wolter </t>
  </si>
  <si>
    <t>Destin Reynolds + Emy Grubbs</t>
  </si>
  <si>
    <t>Justin Smith + Kelly Hogan</t>
  </si>
  <si>
    <t>Cate Perez + Evan Clark</t>
  </si>
  <si>
    <t xml:space="preserve">Nick Obradovic + Courtney Hoban </t>
  </si>
  <si>
    <t>Ty Cook + Maddie Vurgun</t>
  </si>
  <si>
    <t xml:space="preserve">Bella Scruggs + Mason Wright  </t>
  </si>
  <si>
    <t>Alizee DiPaola + Nick Moll</t>
  </si>
  <si>
    <t>Josh Weckesser + Liv Laws</t>
  </si>
  <si>
    <t>Kerry Evans + Makayla Knight</t>
  </si>
  <si>
    <t>Alex Martinez + Bella Clapham</t>
  </si>
  <si>
    <t>Tyler LaBaume + Haley Lipps</t>
  </si>
  <si>
    <t>Thomas Pope + Brittney Durham</t>
  </si>
  <si>
    <t>Hunter Bastin + Victoria Spencer</t>
  </si>
  <si>
    <t xml:space="preserve">Kyle Perenchio + Tammi Wrobbel </t>
  </si>
  <si>
    <t>Jake Frazier + Cody Dodd</t>
  </si>
  <si>
    <t>Luke Countryman + Haley Wagner</t>
  </si>
  <si>
    <t>Hunter Culp + Alexandra Gase</t>
  </si>
  <si>
    <t>Wolf Denning + Paiten Wolfe</t>
  </si>
  <si>
    <t>Patrick Smutzer + Audrey Toone</t>
  </si>
  <si>
    <t>Ben Decowski + Steph Twomey</t>
  </si>
  <si>
    <t xml:space="preserve">Steven Wallace + Chelsey Satterlee </t>
  </si>
  <si>
    <t xml:space="preserve">Marvin Cruz + Chloe Kuehn </t>
  </si>
  <si>
    <t>Kevin Brewer + Kendyl Reeves</t>
  </si>
  <si>
    <t>Chris Derrick + Jordan Davis</t>
  </si>
  <si>
    <t xml:space="preserve">Callie Swanson + Josh Mastin </t>
  </si>
  <si>
    <t>Houston Hutchinson + Hannah Cox</t>
  </si>
  <si>
    <t>Lauren Peluso + Christian Debay</t>
  </si>
  <si>
    <t>Mikey Wann + Maesey Henington</t>
  </si>
  <si>
    <t>Anna-Claire Weekley + William Faucett</t>
  </si>
  <si>
    <t>Paisley Epps + Ryan Rodriguez</t>
  </si>
  <si>
    <t>Chris Gray + Kayla Emerick</t>
  </si>
  <si>
    <t>Natasha + Kelvin Garcia</t>
  </si>
  <si>
    <t xml:space="preserve">Lauren Morris + Kevin Miller </t>
  </si>
  <si>
    <t>Carlie Richey + Ryan Johnson</t>
  </si>
  <si>
    <t xml:space="preserve">Clay Sturm + Brandi Wiley </t>
  </si>
  <si>
    <t>Mira Suiter + Eli Schantz</t>
  </si>
  <si>
    <t>Madeline Moore + Parker Vickery</t>
  </si>
  <si>
    <t>Dylan Reese + Arabella King</t>
  </si>
  <si>
    <t xml:space="preserve">Chris Conner + Amanda Wooden </t>
  </si>
  <si>
    <t xml:space="preserve">Allie Gardner + Brison Self </t>
  </si>
  <si>
    <t xml:space="preserve">Margeaux Jordan Nelson + Mason Combs </t>
  </si>
  <si>
    <t xml:space="preserve">Kathleen Veguilla's + Kyle Reynolds </t>
  </si>
  <si>
    <t xml:space="preserve">Regan Derryberry + Harry Graves </t>
  </si>
  <si>
    <t>Package</t>
  </si>
  <si>
    <t xml:space="preserve">Adalyn Foster + Nick Owens </t>
  </si>
  <si>
    <t xml:space="preserve">Gracie Vester + Evan Garton </t>
  </si>
  <si>
    <t xml:space="preserve">Celeste Justice +  Brian Curtis </t>
  </si>
  <si>
    <t xml:space="preserve">Lillie Anderson + Marty Trammell </t>
  </si>
  <si>
    <t xml:space="preserve">Raven Edwards + Earnest Hunter </t>
  </si>
  <si>
    <t>Kelsi Price + Justin Gregg - Chapel</t>
  </si>
  <si>
    <t>Kylie Craft + Zach Olshan - Chapel</t>
  </si>
  <si>
    <t xml:space="preserve">Jack Herbert + Sydney Wilson </t>
  </si>
  <si>
    <t xml:space="preserve">Arden Perez + Grant Sargent </t>
  </si>
  <si>
    <t xml:space="preserve">Katie Witt + Westin Fryman </t>
  </si>
  <si>
    <t xml:space="preserve">Tabitha Brown + Chase Sherman </t>
  </si>
  <si>
    <t xml:space="preserve">Jen ORourke + Denton Lomax </t>
  </si>
  <si>
    <t xml:space="preserve">Brooke Cary + Jason Moore </t>
  </si>
  <si>
    <t>Lilian Rivas + Eric Yocum</t>
  </si>
  <si>
    <t>~</t>
  </si>
  <si>
    <t xml:space="preserve">Brooke Goins + Alex Montanez </t>
  </si>
  <si>
    <t xml:space="preserve">Hany Santana + Alberto Pando </t>
  </si>
  <si>
    <t xml:space="preserve">Kylee Cejka + Caleb Burnett </t>
  </si>
  <si>
    <t xml:space="preserve">Keyanna Kramer + Dillon French </t>
  </si>
  <si>
    <t xml:space="preserve">Kirsten Plunk + Mason McDonald </t>
  </si>
  <si>
    <t>ACTUAL</t>
  </si>
  <si>
    <t>ACTUAL FY 2025</t>
  </si>
  <si>
    <t>LTM Apr-26</t>
  </si>
  <si>
    <t>INCOME</t>
  </si>
  <si>
    <t>Sales</t>
  </si>
  <si>
    <t>Uncategorized Income</t>
  </si>
  <si>
    <t>Unapplied Cash Payment Income</t>
  </si>
  <si>
    <t>Total for Income</t>
  </si>
  <si>
    <t>EXPENSES</t>
  </si>
  <si>
    <t>Building Materials</t>
  </si>
  <si>
    <t>Business Tax</t>
  </si>
  <si>
    <t>Cleaning Supplies</t>
  </si>
  <si>
    <t>not recurring</t>
  </si>
  <si>
    <t>Contract Labor</t>
  </si>
  <si>
    <t>Credit Card Payment</t>
  </si>
  <si>
    <t>Decorations</t>
  </si>
  <si>
    <t>Depreciation &amp; Amortization</t>
  </si>
  <si>
    <t>Depreciation Expense</t>
  </si>
  <si>
    <t>Dues &amp; subscriptions</t>
  </si>
  <si>
    <t>Floor Cleaning</t>
  </si>
  <si>
    <t>Fuel/Tractor Fuel</t>
  </si>
  <si>
    <t>Gifts</t>
  </si>
  <si>
    <t>Insurance Expense</t>
  </si>
  <si>
    <t>Net Interest Expense</t>
  </si>
  <si>
    <t>Interest Expense</t>
  </si>
  <si>
    <t>Landscaping Labor</t>
  </si>
  <si>
    <t>Late Fee</t>
  </si>
  <si>
    <t>Office/General Administrative Expenses</t>
  </si>
  <si>
    <t>Office Supplies</t>
  </si>
  <si>
    <t>Payroll Fees</t>
  </si>
  <si>
    <t>Payroll Tax Expenses</t>
  </si>
  <si>
    <t>Pest Control</t>
  </si>
  <si>
    <t>Postage Expense</t>
  </si>
  <si>
    <t>Property Taxes</t>
  </si>
  <si>
    <t>QuickBooks Payments Fees</t>
  </si>
  <si>
    <t>Purchases</t>
  </si>
  <si>
    <t>Personal?</t>
  </si>
  <si>
    <t>Retirement Match</t>
  </si>
  <si>
    <t>WHAT IS THIS?</t>
  </si>
  <si>
    <t>Return Deposit / Returned Deposit</t>
  </si>
  <si>
    <t>Shipping</t>
  </si>
  <si>
    <t>Sound</t>
  </si>
  <si>
    <t>Supplies</t>
  </si>
  <si>
    <t>Telephone Expense</t>
  </si>
  <si>
    <t>Trash Service</t>
  </si>
  <si>
    <t>Uncategorized Expense</t>
  </si>
  <si>
    <t>Website</t>
  </si>
  <si>
    <t>Window Cleaning</t>
  </si>
  <si>
    <t>Total for Expenses</t>
  </si>
  <si>
    <t>Net Operating Income</t>
  </si>
  <si>
    <t>Expenses</t>
  </si>
  <si>
    <t>Profit and Loss</t>
  </si>
  <si>
    <t>January 1-December 31, 2025</t>
  </si>
  <si>
    <t>Distribution account</t>
  </si>
  <si>
    <t>Income</t>
  </si>
  <si>
    <t>Gross Profit</t>
  </si>
  <si>
    <t>Other Expenses</t>
  </si>
  <si>
    <t>Ask My Accountant</t>
  </si>
  <si>
    <t>Reconciliation Discrepancies</t>
  </si>
  <si>
    <t>Total for Other Expenses</t>
  </si>
  <si>
    <t>Net Other Income</t>
  </si>
  <si>
    <t>Net Income</t>
  </si>
  <si>
    <t>Accrual Basis Thursday, March 05, 2026 11:19 PM GMTZ</t>
  </si>
  <si>
    <t>January 1-May 15, 2026</t>
  </si>
  <si>
    <t>Transaction date</t>
  </si>
  <si>
    <t>EOM</t>
  </si>
  <si>
    <t>Transaction type</t>
  </si>
  <si>
    <t>Num</t>
  </si>
  <si>
    <t>Location</t>
  </si>
  <si>
    <t>Class full name</t>
  </si>
  <si>
    <t>Description</t>
  </si>
  <si>
    <t>Item split account</t>
  </si>
  <si>
    <t>Amount</t>
  </si>
  <si>
    <t>Balance</t>
  </si>
  <si>
    <t>Ordinary Income/Expenses</t>
  </si>
  <si>
    <t>01/02/2026</t>
  </si>
  <si>
    <t>Credit Memo</t>
  </si>
  <si>
    <t>6135</t>
  </si>
  <si>
    <t>Kristen Stiefel + Nick Vermilion- Chapel 5/29/26</t>
  </si>
  <si>
    <t>Accounts Receivable</t>
  </si>
  <si>
    <t>01/06/2026</t>
  </si>
  <si>
    <t>Invoice</t>
  </si>
  <si>
    <t>6136</t>
  </si>
  <si>
    <t>Ashlynn Randall + Ben Branlund - Chapel 8/22/26</t>
  </si>
  <si>
    <t>01/08/2026</t>
  </si>
  <si>
    <t>6137</t>
  </si>
  <si>
    <t>Signature Transportation Services</t>
  </si>
  <si>
    <t>01/12/2026</t>
  </si>
  <si>
    <t>6138</t>
  </si>
  <si>
    <t>Mackenzie Tabb + Clayton Baldwin - Chapel 7/24/26</t>
  </si>
  <si>
    <t>6139</t>
  </si>
  <si>
    <t>Alaina Abla + Zane Evers - Chapel 10/13/26</t>
  </si>
  <si>
    <t>6140</t>
  </si>
  <si>
    <t>6142</t>
  </si>
  <si>
    <t>Katelyn Allen + Brandon Gandino - Chapel 10/13/26</t>
  </si>
  <si>
    <t>6143</t>
  </si>
  <si>
    <t>01/14/2026</t>
  </si>
  <si>
    <t>6156</t>
  </si>
  <si>
    <t>Back Alley BBQ</t>
  </si>
  <si>
    <t>6157</t>
  </si>
  <si>
    <t>Zanders</t>
  </si>
  <si>
    <t>01/15/2026</t>
  </si>
  <si>
    <t>6146</t>
  </si>
  <si>
    <t>Samantha Phillips + Josh Stephenson - Chapel 10/2/27</t>
  </si>
  <si>
    <t>6147</t>
  </si>
  <si>
    <t>6148</t>
  </si>
  <si>
    <t>6149</t>
  </si>
  <si>
    <t>6150</t>
  </si>
  <si>
    <t>Raven Edwards + Earnest Hunter - Chapel 4/14/26</t>
  </si>
  <si>
    <t>6151</t>
  </si>
  <si>
    <t>6153</t>
  </si>
  <si>
    <t>Jillian Johnson + Jacob Papantonakis - Chapel 5/8/26</t>
  </si>
  <si>
    <t>6154</t>
  </si>
  <si>
    <t>Grecia Ortiz + Mario Samaniego - Chapel 9/29/26</t>
  </si>
  <si>
    <t>01/21/2026</t>
  </si>
  <si>
    <t>6158</t>
  </si>
  <si>
    <t>Hanna Barnes + Parker Fleming - Chapel 4/18/26</t>
  </si>
  <si>
    <t>6160</t>
  </si>
  <si>
    <t>Zoe Dillard + Matthew Heard - Barn 5/15/27</t>
  </si>
  <si>
    <t>6161</t>
  </si>
  <si>
    <t>6162</t>
  </si>
  <si>
    <t>6163</t>
  </si>
  <si>
    <t>6164</t>
  </si>
  <si>
    <t>Kacey Arnold + Kevin Farwell - Barn 11/5/27</t>
  </si>
  <si>
    <t>6165</t>
  </si>
  <si>
    <t>6166</t>
  </si>
  <si>
    <t>6167</t>
  </si>
  <si>
    <t>6168</t>
  </si>
  <si>
    <t>Logan Brown + Sam Lisanby - Chapel 11/6/26</t>
  </si>
  <si>
    <t>6169</t>
  </si>
  <si>
    <t>Brianna Mickelson + Chuck Heath - Chapel 8/29/26</t>
  </si>
  <si>
    <t>6170</t>
  </si>
  <si>
    <t>Bridget Tindal + Shepherd Jacobs - Chapel 8/28/26</t>
  </si>
  <si>
    <t>6171</t>
  </si>
  <si>
    <t>Cherie Arellano + David Miller - Chapel 11/8/26</t>
  </si>
  <si>
    <t>01/23/2026</t>
  </si>
  <si>
    <t>6172</t>
  </si>
  <si>
    <t>Hannah Ward + Hayden Pearson - Chapel 6/19/27</t>
  </si>
  <si>
    <t>6173</t>
  </si>
  <si>
    <t>6174</t>
  </si>
  <si>
    <t>6175</t>
  </si>
  <si>
    <t>01/27/2026</t>
  </si>
  <si>
    <t>6176</t>
  </si>
  <si>
    <t>Makenna Messina + Luke Yates - Chapel 12/12/26</t>
  </si>
  <si>
    <t>6177</t>
  </si>
  <si>
    <t>6178</t>
  </si>
  <si>
    <t>6179</t>
  </si>
  <si>
    <t>6180</t>
  </si>
  <si>
    <t>01/28/2026</t>
  </si>
  <si>
    <t>6181</t>
  </si>
  <si>
    <t>Tia Estes + Justin Aguilar - Barn 5/29/27</t>
  </si>
  <si>
    <t>6182</t>
  </si>
  <si>
    <t>6183</t>
  </si>
  <si>
    <t>6184</t>
  </si>
  <si>
    <t>02/01/2026</t>
  </si>
  <si>
    <t>M&amp;R23.69</t>
  </si>
  <si>
    <t>adjust for Feb bank statement</t>
  </si>
  <si>
    <t>02/04/2026</t>
  </si>
  <si>
    <t>6185</t>
  </si>
  <si>
    <t>Hany Santana + Alberto Pando - Chapel 11/20/26</t>
  </si>
  <si>
    <t>6186</t>
  </si>
  <si>
    <t>6187</t>
  </si>
  <si>
    <t>6188</t>
  </si>
  <si>
    <t>6189</t>
  </si>
  <si>
    <t>Sara Walker + Jonah Peterson - Chapel 8/15/26</t>
  </si>
  <si>
    <t>6190</t>
  </si>
  <si>
    <t>6191</t>
  </si>
  <si>
    <t>6192</t>
  </si>
  <si>
    <t>6193</t>
  </si>
  <si>
    <t>Sophie Thompson + Jaxon Knight - Chapel 7/31/26</t>
  </si>
  <si>
    <t>6194</t>
  </si>
  <si>
    <t>Alivia Davis + Carter Isenberg - Barn 9/16/26</t>
  </si>
  <si>
    <t>6195</t>
  </si>
  <si>
    <t>Brooke Cary + Jason Moore - Chapel 5/26/26</t>
  </si>
  <si>
    <t>6196</t>
  </si>
  <si>
    <t>6198</t>
  </si>
  <si>
    <t>02/11/2026</t>
  </si>
  <si>
    <t>6199</t>
  </si>
  <si>
    <t>Emily Barker + David Rivers - Barn 10/30/26</t>
  </si>
  <si>
    <t>6216</t>
  </si>
  <si>
    <t>Sarah Shelby + Wyatt Kmoch - Chapel 5/8/27</t>
  </si>
  <si>
    <t>6217</t>
  </si>
  <si>
    <t>6218</t>
  </si>
  <si>
    <t>6219</t>
  </si>
  <si>
    <t>02/17/2026</t>
  </si>
  <si>
    <t>6200</t>
  </si>
  <si>
    <t>Haley Condon + Noah Underwood - Barn 3/28/26</t>
  </si>
  <si>
    <t>6201</t>
  </si>
  <si>
    <t>Emma Dunavant + Case Jones - Chapel 03/10/26</t>
  </si>
  <si>
    <t>02/18/2026</t>
  </si>
  <si>
    <t>6202</t>
  </si>
  <si>
    <t>Peyton Waddell + Ryan Helinger - Chapel 8/29/26</t>
  </si>
  <si>
    <t>6203</t>
  </si>
  <si>
    <t>6204</t>
  </si>
  <si>
    <t>6206</t>
  </si>
  <si>
    <t>6207</t>
  </si>
  <si>
    <t>Kara Jo Harrell + Isaac Ziolkowski - Chapel 5/16/27</t>
  </si>
  <si>
    <t>6208</t>
  </si>
  <si>
    <t>6209</t>
  </si>
  <si>
    <t>6210</t>
  </si>
  <si>
    <t>6211</t>
  </si>
  <si>
    <t>6212</t>
  </si>
  <si>
    <t>Alexia Hoskins + Dalton True - Barn 9/4/27</t>
  </si>
  <si>
    <t>6213</t>
  </si>
  <si>
    <t>6214</t>
  </si>
  <si>
    <t>6215</t>
  </si>
  <si>
    <t>02/20/2026</t>
  </si>
  <si>
    <t>6220</t>
  </si>
  <si>
    <t>02/23/2026</t>
  </si>
  <si>
    <t>6221</t>
  </si>
  <si>
    <t>Shay Latson + Heath Carroll - Chapel 10/6/26</t>
  </si>
  <si>
    <t>6222</t>
  </si>
  <si>
    <t>6223</t>
  </si>
  <si>
    <t>6224</t>
  </si>
  <si>
    <t>Jessie Owen + Tyler Davey - Chapel 11/21/26</t>
  </si>
  <si>
    <t>6225</t>
  </si>
  <si>
    <t>6226</t>
  </si>
  <si>
    <t>02/24/2026</t>
  </si>
  <si>
    <t>6228</t>
  </si>
  <si>
    <t>Anna Wolak + Chase Wright - Barn + Chapel 3/20/26</t>
  </si>
  <si>
    <t>02/25/2026</t>
  </si>
  <si>
    <t>6229</t>
  </si>
  <si>
    <t>Summer Coltrane + Zeke Hutton - Barn 5/1/27</t>
  </si>
  <si>
    <t>6230</t>
  </si>
  <si>
    <t>6231</t>
  </si>
  <si>
    <t>6232</t>
  </si>
  <si>
    <t>6233</t>
  </si>
  <si>
    <t>Raven Hall + Juan Soto - Chapel 8/23/26</t>
  </si>
  <si>
    <t>6234</t>
  </si>
  <si>
    <t>6235</t>
  </si>
  <si>
    <t>6236</t>
  </si>
  <si>
    <t>03/02/2026</t>
  </si>
  <si>
    <t>6237</t>
  </si>
  <si>
    <t>Kylee Cejka + Caleb Burnett - Chapel 6/25/27</t>
  </si>
  <si>
    <t>6238</t>
  </si>
  <si>
    <t>6239</t>
  </si>
  <si>
    <t>6240</t>
  </si>
  <si>
    <t>03/03/2026</t>
  </si>
  <si>
    <t>6241</t>
  </si>
  <si>
    <t>Olivia Eley + Mason Hancock - Chapel 4/16/27</t>
  </si>
  <si>
    <t>6242</t>
  </si>
  <si>
    <t>6243</t>
  </si>
  <si>
    <t>6244</t>
  </si>
  <si>
    <t>03/04/2026</t>
  </si>
  <si>
    <t>6251</t>
  </si>
  <si>
    <t>Teressa Davis + Hudson Partlow - Chapel 8/4/26</t>
  </si>
  <si>
    <t>6252</t>
  </si>
  <si>
    <t>6254</t>
  </si>
  <si>
    <t>6255</t>
  </si>
  <si>
    <t>Margeaux Jordan Nelson + Mason Combs  - Both 3/27/26</t>
  </si>
  <si>
    <t>03/05/2026</t>
  </si>
  <si>
    <t>6245</t>
  </si>
  <si>
    <t>Aubree Loftis + Brody Silvers - Barn 5/14/27</t>
  </si>
  <si>
    <t>6246</t>
  </si>
  <si>
    <t>6247</t>
  </si>
  <si>
    <t>6248</t>
  </si>
  <si>
    <t>03/06/2026</t>
  </si>
  <si>
    <t>6250</t>
  </si>
  <si>
    <t>Brinn Fathauer + Rylan Chalfont - Chapel 4/26/26</t>
  </si>
  <si>
    <t>6256</t>
  </si>
  <si>
    <t>Tabitha Brown + Chase Sherman - Chapel 5/16/26</t>
  </si>
  <si>
    <t>03/09/2026</t>
  </si>
  <si>
    <t>6249</t>
  </si>
  <si>
    <t>Gracie Vester + Evan Garton - Barn 10/24/26</t>
  </si>
  <si>
    <t>03/11/2026</t>
  </si>
  <si>
    <t>6274</t>
  </si>
  <si>
    <t>6275</t>
  </si>
  <si>
    <t>Lillie Anderson + Marty Trammell - Chapel 4/10/26</t>
  </si>
  <si>
    <t>6276</t>
  </si>
  <si>
    <t>Candice Kurthn + Jimmy Hewell - Chapel 11/14/26</t>
  </si>
  <si>
    <t>03/16/2026</t>
  </si>
  <si>
    <t>6277</t>
  </si>
  <si>
    <t>Allie Gardner + Brison Self - Both 3/14/26</t>
  </si>
  <si>
    <t>6278</t>
  </si>
  <si>
    <t>6279</t>
  </si>
  <si>
    <t>Samantha Rooker + Mark Richmond - Chapel 5/17/26</t>
  </si>
  <si>
    <t>03/18/2026</t>
  </si>
  <si>
    <t>6257</t>
  </si>
  <si>
    <t>Wesley Doughty &amp; Tiffany Cervantes (Chapel 5/15/22) cancelled</t>
  </si>
  <si>
    <t>6258</t>
  </si>
  <si>
    <t>6260</t>
  </si>
  <si>
    <t>6261</t>
  </si>
  <si>
    <t>Veronika Vasquez + Orlando Garcia - Chapel 5/14/27</t>
  </si>
  <si>
    <t>6262</t>
  </si>
  <si>
    <t>6263</t>
  </si>
  <si>
    <t>6264</t>
  </si>
  <si>
    <t>6265</t>
  </si>
  <si>
    <t>Lila Bunton + Josiah Mok - Both 4/3/27</t>
  </si>
  <si>
    <t>6266</t>
  </si>
  <si>
    <t>6267</t>
  </si>
  <si>
    <t>6268</t>
  </si>
  <si>
    <t>6269</t>
  </si>
  <si>
    <t>Logan Gish + Honore Kalala - Chapel 6/20/26</t>
  </si>
  <si>
    <t>03/19/2026</t>
  </si>
  <si>
    <t>6280</t>
  </si>
  <si>
    <t>Kylie Craft + Zach Olshan - Chapel 4/24/26</t>
  </si>
  <si>
    <t>03/20/2026</t>
  </si>
  <si>
    <t>6281</t>
  </si>
  <si>
    <t>Joy Seuis + Matt Field - Chapel 6/9/26</t>
  </si>
  <si>
    <t>6283</t>
  </si>
  <si>
    <t>Tyanne Howe + Eli Bogard - Chapel 9/17/27</t>
  </si>
  <si>
    <t>6284</t>
  </si>
  <si>
    <t>6285</t>
  </si>
  <si>
    <t>6286</t>
  </si>
  <si>
    <t>03/23/2026</t>
  </si>
  <si>
    <t>6287</t>
  </si>
  <si>
    <t>Timber Bevins +Justin Bloodworth - Chapel 10/20/26</t>
  </si>
  <si>
    <t>6288</t>
  </si>
  <si>
    <t>03/24/2026</t>
  </si>
  <si>
    <t>6270</t>
  </si>
  <si>
    <t>Andrea Stinson + Cameron Viss - Barn 8/14/27</t>
  </si>
  <si>
    <t>6271</t>
  </si>
  <si>
    <t>6272</t>
  </si>
  <si>
    <t>6273</t>
  </si>
  <si>
    <t>03/25/2026</t>
  </si>
  <si>
    <t>6305</t>
  </si>
  <si>
    <t>Justine Gratton + Jake Mulholland - Chapel 8/28/27</t>
  </si>
  <si>
    <t>6306</t>
  </si>
  <si>
    <t>6307</t>
  </si>
  <si>
    <t>6308</t>
  </si>
  <si>
    <t>6309</t>
  </si>
  <si>
    <t>Olivia Small + Peter Thomas - Chapel 6/13/27</t>
  </si>
  <si>
    <t>6310</t>
  </si>
  <si>
    <t>6311</t>
  </si>
  <si>
    <t>6312</t>
  </si>
  <si>
    <t>03/26/2026</t>
  </si>
  <si>
    <t>6290</t>
  </si>
  <si>
    <t>Kirsten Spilka + Zachary Harrison - Chapel 9/11/26</t>
  </si>
  <si>
    <t>6291</t>
  </si>
  <si>
    <t>6292</t>
  </si>
  <si>
    <t>6293</t>
  </si>
  <si>
    <t>6294</t>
  </si>
  <si>
    <t>Abigail Davis + Jackson Thigpen - Chapel 6/11/27</t>
  </si>
  <si>
    <t>6295</t>
  </si>
  <si>
    <t>6296</t>
  </si>
  <si>
    <t>6298</t>
  </si>
  <si>
    <t>Raley Chadwick + James Blair - Chapel 9/4/27</t>
  </si>
  <si>
    <t>6299</t>
  </si>
  <si>
    <t>6300</t>
  </si>
  <si>
    <t>6301</t>
  </si>
  <si>
    <t>03/30/2026</t>
  </si>
  <si>
    <t>6302</t>
  </si>
  <si>
    <t>Gabriella Mineo + Philip Craig - Barn 10/18/26</t>
  </si>
  <si>
    <t>6303</t>
  </si>
  <si>
    <t>6304</t>
  </si>
  <si>
    <t>04/01/2026</t>
  </si>
  <si>
    <t>6334</t>
  </si>
  <si>
    <t>04/02/2026</t>
  </si>
  <si>
    <t>6335</t>
  </si>
  <si>
    <t>Morgan DeLira + Miller Sale - Chapel 5/23/26</t>
  </si>
  <si>
    <t>6337</t>
  </si>
  <si>
    <t>Arden Perez + Grant Sargent - Chapel 5/1/26</t>
  </si>
  <si>
    <t>04/06/2026</t>
  </si>
  <si>
    <t>6313</t>
  </si>
  <si>
    <t>Hannah Van Etten + Adam Stagner - Barn 9/25/27</t>
  </si>
  <si>
    <t>6314</t>
  </si>
  <si>
    <t>6315</t>
  </si>
  <si>
    <t>6316</t>
  </si>
  <si>
    <t>6317</t>
  </si>
  <si>
    <t>Tabitha McDunn + Bryce Franks - Chapel 6/19/26</t>
  </si>
  <si>
    <t>6318</t>
  </si>
  <si>
    <t>Sydney Hohmann + Albert Kupchik - Chapel 4/9/27</t>
  </si>
  <si>
    <t>6319</t>
  </si>
  <si>
    <t>6320</t>
  </si>
  <si>
    <t>6321</t>
  </si>
  <si>
    <t>6322</t>
  </si>
  <si>
    <t>Caleb Blikstad + LeAnna Kehl - Chapel 4/23/27</t>
  </si>
  <si>
    <t>6323</t>
  </si>
  <si>
    <t>6324</t>
  </si>
  <si>
    <t>6325</t>
  </si>
  <si>
    <t>6326</t>
  </si>
  <si>
    <t>Melissa Hiner + Corey Swiger - Chapel 7/17/27</t>
  </si>
  <si>
    <t>6327</t>
  </si>
  <si>
    <t>6328</t>
  </si>
  <si>
    <t>6329</t>
  </si>
  <si>
    <t>6330</t>
  </si>
  <si>
    <t>Reagan Harrell + Bryce West - Chapel 11/15/26</t>
  </si>
  <si>
    <t>6331</t>
  </si>
  <si>
    <t>6332</t>
  </si>
  <si>
    <t>04/08/2026</t>
  </si>
  <si>
    <t>6338</t>
  </si>
  <si>
    <t>Antoinette Muirhead + Austin Bryant - Chapel 7/12/26</t>
  </si>
  <si>
    <t>6339</t>
  </si>
  <si>
    <t>6340</t>
  </si>
  <si>
    <t>Desiree Carter + Conner Rasberry - Chapel 6/26/27</t>
  </si>
  <si>
    <t>6341</t>
  </si>
  <si>
    <t>6342</t>
  </si>
  <si>
    <t>6343</t>
  </si>
  <si>
    <t>6344</t>
  </si>
  <si>
    <t>Natalie Mayr + Patrick Gago - Chapel 10/10/26</t>
  </si>
  <si>
    <t>04/10/2026</t>
  </si>
  <si>
    <t>6345</t>
  </si>
  <si>
    <t>6346</t>
  </si>
  <si>
    <t>Lilian Rivas + Eric Yocum - Chapel 08/14/26</t>
  </si>
  <si>
    <t>6347</t>
  </si>
  <si>
    <t>04/15/2026</t>
  </si>
  <si>
    <t>6348</t>
  </si>
  <si>
    <t>Kirsten Plunk + Mason McDonald - Chapel 11/6/27</t>
  </si>
  <si>
    <t>6349</t>
  </si>
  <si>
    <t>Sofia Demonakos + Bradley Miller - Chapel 8/30/26</t>
  </si>
  <si>
    <t>04/20/2026</t>
  </si>
  <si>
    <t>6368</t>
  </si>
  <si>
    <t>Carol Jane McKaskle + Nicholas Hayes - Barn 9/4/26</t>
  </si>
  <si>
    <t>6369</t>
  </si>
  <si>
    <t>6371</t>
  </si>
  <si>
    <t>Courtney Hopkins + Kevin Black - Chapel 11/10/26</t>
  </si>
  <si>
    <t>6372</t>
  </si>
  <si>
    <t>6375</t>
  </si>
  <si>
    <t>6377</t>
  </si>
  <si>
    <t>Sydney + Ben Brannum - Chapel 5/24/26</t>
  </si>
  <si>
    <t>04/21/2026</t>
  </si>
  <si>
    <t>6367</t>
  </si>
  <si>
    <t>Nina Chong + Alex Williams - Barn 8/8/26</t>
  </si>
  <si>
    <t>04/22/2026</t>
  </si>
  <si>
    <t>6355</t>
  </si>
  <si>
    <t>Nicole Gonzalez + Sean Dufresne - Chapel 5/30/27</t>
  </si>
  <si>
    <t>6356</t>
  </si>
  <si>
    <t>6357</t>
  </si>
  <si>
    <t>6358</t>
  </si>
  <si>
    <t>6359</t>
  </si>
  <si>
    <t>Chloe Crowder + Kevin Allen - Barn 9/18/27</t>
  </si>
  <si>
    <t>6360</t>
  </si>
  <si>
    <t>6361</t>
  </si>
  <si>
    <t>6362</t>
  </si>
  <si>
    <t>6363</t>
  </si>
  <si>
    <t>Micah Ringenberg + Jordan Fox - Both 3/27/27</t>
  </si>
  <si>
    <t>6364</t>
  </si>
  <si>
    <t>`</t>
  </si>
  <si>
    <t>6365</t>
  </si>
  <si>
    <t>6366</t>
  </si>
  <si>
    <t>6374</t>
  </si>
  <si>
    <t>6378</t>
  </si>
  <si>
    <t>6379</t>
  </si>
  <si>
    <t>Rachel Karzin + Jackson Lair - Chapel 12/4/26</t>
  </si>
  <si>
    <t>6380</t>
  </si>
  <si>
    <t>6381</t>
  </si>
  <si>
    <t>04/23/2026</t>
  </si>
  <si>
    <t>6376</t>
  </si>
  <si>
    <t>Abigail Orr + Julian Melton - Chapel 11/22/26</t>
  </si>
  <si>
    <t>04/27/2026</t>
  </si>
  <si>
    <t>6386</t>
  </si>
  <si>
    <t>6387</t>
  </si>
  <si>
    <t>Kara Nienhaus + Tanner Tullis - Chapel 10/9/27</t>
  </si>
  <si>
    <t>6388</t>
  </si>
  <si>
    <t>6389</t>
  </si>
  <si>
    <t>6390</t>
  </si>
  <si>
    <t>6391</t>
  </si>
  <si>
    <t>Alexis Ledford + Garrett Welker - Barn 5/8/27</t>
  </si>
  <si>
    <t>6392</t>
  </si>
  <si>
    <t>6393</t>
  </si>
  <si>
    <t>6394</t>
  </si>
  <si>
    <t>04/28/2026</t>
  </si>
  <si>
    <t>6350</t>
  </si>
  <si>
    <t>Valerie Wojcik + Issac Caldwell - Chapel 10/08/27</t>
  </si>
  <si>
    <t>6351</t>
  </si>
  <si>
    <t>6352</t>
  </si>
  <si>
    <t>6353</t>
  </si>
  <si>
    <t>6354</t>
  </si>
  <si>
    <t>6383</t>
  </si>
  <si>
    <t>6384</t>
  </si>
  <si>
    <t>Bella Reffit + Levi Martin - Chapel 6/23/26</t>
  </si>
  <si>
    <t>04/29/2026</t>
  </si>
  <si>
    <t>6395</t>
  </si>
  <si>
    <t>Taylor Sanders + Michael Bosher - Chapel 9/25/26</t>
  </si>
  <si>
    <t>05/04/2026</t>
  </si>
  <si>
    <t>6396</t>
  </si>
  <si>
    <t>Kaylin Stalker + Richard Holmes - Chapel  5/7/27</t>
  </si>
  <si>
    <t>6397</t>
  </si>
  <si>
    <t>6398</t>
  </si>
  <si>
    <t>6399</t>
  </si>
  <si>
    <t>6400</t>
  </si>
  <si>
    <t>6401</t>
  </si>
  <si>
    <t>Kayla Hansen + Gabriel Macedo - Chapel 8/27/27</t>
  </si>
  <si>
    <t>6402</t>
  </si>
  <si>
    <t>6403</t>
  </si>
  <si>
    <t>6404</t>
  </si>
  <si>
    <t>6405</t>
  </si>
  <si>
    <t>Cailey Maddox + Evan Pearson - Barn (Micro) 9/20/26</t>
  </si>
  <si>
    <t>6406</t>
  </si>
  <si>
    <t>6408</t>
  </si>
  <si>
    <t>Alison McClain + Ethan Roose - Chapel 5/2/27</t>
  </si>
  <si>
    <t>6409</t>
  </si>
  <si>
    <t>6410</t>
  </si>
  <si>
    <t>6411</t>
  </si>
  <si>
    <t>05/07/2026</t>
  </si>
  <si>
    <t>6412</t>
  </si>
  <si>
    <t>6416</t>
  </si>
  <si>
    <t>Sadie Walker + Josh Cole - Chapel 6/12/26</t>
  </si>
  <si>
    <t>05/08/2026</t>
  </si>
  <si>
    <t>6417</t>
  </si>
  <si>
    <t>Keyanna Kramer + Dillon French - Chapel 5/22/27</t>
  </si>
  <si>
    <t>05/11/2026</t>
  </si>
  <si>
    <t>6418</t>
  </si>
  <si>
    <t>Katherine Russo + Austin Tice - Chapel 6/6/26</t>
  </si>
  <si>
    <t>6419</t>
  </si>
  <si>
    <t>05/13/2026</t>
  </si>
  <si>
    <t>6413</t>
  </si>
  <si>
    <t>Addison Means + Watson Persinger - Both 12/5/26</t>
  </si>
  <si>
    <t>6414</t>
  </si>
  <si>
    <t>Alijah Green + Emmanual Goodloe - Barn 6/12/27</t>
  </si>
  <si>
    <t>6415</t>
  </si>
  <si>
    <t>Kaylee Hubbard + Spencer Wishon Chapel 7/2/27</t>
  </si>
  <si>
    <t>6420</t>
  </si>
  <si>
    <t>Charlee Baker + Will Ballard - chapel 4/30/27</t>
  </si>
  <si>
    <t>Total for Sales</t>
  </si>
  <si>
    <t>Total for Income with sub-accounts</t>
  </si>
  <si>
    <t>Cost of Goods Sold</t>
  </si>
  <si>
    <t>01/07/2026</t>
  </si>
  <si>
    <t>Abby Allen</t>
  </si>
  <si>
    <t>Check 4277</t>
  </si>
  <si>
    <t>Firefly Checking-9598</t>
  </si>
  <si>
    <t>01/26/2026</t>
  </si>
  <si>
    <t>Allegra Printing and Imaging</t>
  </si>
  <si>
    <t>Check 4010</t>
  </si>
  <si>
    <t>Check 4297</t>
  </si>
  <si>
    <t>Check 4021</t>
  </si>
  <si>
    <t>Total for Advertising and Promotion</t>
  </si>
  <si>
    <t>01/16/2026</t>
  </si>
  <si>
    <t>Jo's Custom Cakes + Catering</t>
  </si>
  <si>
    <t>Check 4279</t>
  </si>
  <si>
    <t>01/22/2026</t>
  </si>
  <si>
    <t>Kailey Cakes</t>
  </si>
  <si>
    <t>Check 4009</t>
  </si>
  <si>
    <t>02/09/2026</t>
  </si>
  <si>
    <t>Austin Tallant</t>
  </si>
  <si>
    <t>Check 4013</t>
  </si>
  <si>
    <t>02/13/2026</t>
  </si>
  <si>
    <t>Wildberry Catering</t>
  </si>
  <si>
    <t>Check 4012</t>
  </si>
  <si>
    <t>Check 4298</t>
  </si>
  <si>
    <t>03/12/2026</t>
  </si>
  <si>
    <t>Hometown Catering</t>
  </si>
  <si>
    <t>Check 4294</t>
  </si>
  <si>
    <t>03/13/2026</t>
  </si>
  <si>
    <t>Fox &amp; Fig Photography</t>
  </si>
  <si>
    <t>Check 4052</t>
  </si>
  <si>
    <t>Everyday Fiestas</t>
  </si>
  <si>
    <t>Check 4057</t>
  </si>
  <si>
    <t>Check 4056</t>
  </si>
  <si>
    <t>Check 4027</t>
  </si>
  <si>
    <t>Simply Catering</t>
  </si>
  <si>
    <t>Check 4019</t>
  </si>
  <si>
    <t>03/31/2026</t>
  </si>
  <si>
    <t>EJ 2 Step Catering</t>
  </si>
  <si>
    <t>Check 4028</t>
  </si>
  <si>
    <t>04/03/2026</t>
  </si>
  <si>
    <t>Laura Williams - Neighborhood Floral</t>
  </si>
  <si>
    <t>Check 4029</t>
  </si>
  <si>
    <t>BJ Suter</t>
  </si>
  <si>
    <t>Check 4031</t>
  </si>
  <si>
    <t>Check 4030</t>
  </si>
  <si>
    <t>04/09/2026</t>
  </si>
  <si>
    <t>Grand Central Party Rental</t>
  </si>
  <si>
    <t>Check 4047</t>
  </si>
  <si>
    <t>04/13/2026</t>
  </si>
  <si>
    <t>Teller Check 4065</t>
  </si>
  <si>
    <t>04/16/2026</t>
  </si>
  <si>
    <t>Check 4064</t>
  </si>
  <si>
    <t>Check 4447</t>
  </si>
  <si>
    <t>Check 4446</t>
  </si>
  <si>
    <t>Check 4449</t>
  </si>
  <si>
    <t>The Busy Bride</t>
  </si>
  <si>
    <t>Check 4078</t>
  </si>
  <si>
    <t>05/05/2026</t>
  </si>
  <si>
    <t>Check 4026</t>
  </si>
  <si>
    <t>Kathryn Ada Events</t>
  </si>
  <si>
    <t>Check 4022</t>
  </si>
  <si>
    <t>Check 4080</t>
  </si>
  <si>
    <t>Chris Hensley</t>
  </si>
  <si>
    <t>Check 4079</t>
  </si>
  <si>
    <t>05/06/2026</t>
  </si>
  <si>
    <t>Check 4075</t>
  </si>
  <si>
    <t>Check 4082</t>
  </si>
  <si>
    <t>Total for All-Inclusive Payment for bride</t>
  </si>
  <si>
    <t>?</t>
  </si>
  <si>
    <t>01/20/2026</t>
  </si>
  <si>
    <t>WELLS FARGO AUTO/DRAFT XXXXXXXX7118 JESSICA WILLIAMS</t>
  </si>
  <si>
    <t>Kubota</t>
  </si>
  <si>
    <t>KUBOTA CREDIT/PAYMENT CORY JACOB WILLIAMS</t>
  </si>
  <si>
    <t>Total for Automobile Expense</t>
  </si>
  <si>
    <t>State of Tennessee</t>
  </si>
  <si>
    <t>TNSOS BUSINESS P/TNSOSPMT XXXXXX2791 Firefly Lane</t>
  </si>
  <si>
    <t>TN STATE REVENUE/TN TAP FIREFLY LANE</t>
  </si>
  <si>
    <t>04/17/2026</t>
  </si>
  <si>
    <t>Total for Business Tax</t>
  </si>
  <si>
    <t>Check 4291</t>
  </si>
  <si>
    <t>Total for Charitable Contributions</t>
  </si>
  <si>
    <t>Check 4053</t>
  </si>
  <si>
    <t>Sylvia Water</t>
  </si>
  <si>
    <t>Water Tap for new water line</t>
  </si>
  <si>
    <t>03/27/2026</t>
  </si>
  <si>
    <t>Tidwell and Sons HVAC, LLC</t>
  </si>
  <si>
    <t>Check 4024</t>
  </si>
  <si>
    <t>Check 4023</t>
  </si>
  <si>
    <t>Right Hand Man</t>
  </si>
  <si>
    <t>Check 4058</t>
  </si>
  <si>
    <t>05/01/2026</t>
  </si>
  <si>
    <t>Prestige Marble &amp; Granite</t>
  </si>
  <si>
    <t>Check 4445</t>
  </si>
  <si>
    <t>Total for Construction</t>
  </si>
  <si>
    <t>Check 4274</t>
  </si>
  <si>
    <t>01/05/2026</t>
  </si>
  <si>
    <t>Jessica Hancork</t>
  </si>
  <si>
    <t>Teller Check 4264</t>
  </si>
  <si>
    <t>Check 4268</t>
  </si>
  <si>
    <t>Check 4427</t>
  </si>
  <si>
    <t>Check 4246</t>
  </si>
  <si>
    <t>01/09/2026</t>
  </si>
  <si>
    <t>Check 4006</t>
  </si>
  <si>
    <t>Check 4004</t>
  </si>
  <si>
    <t>Kenneth Howard</t>
  </si>
  <si>
    <t>Check 4003</t>
  </si>
  <si>
    <t>Check 4005</t>
  </si>
  <si>
    <t>Check 4007</t>
  </si>
  <si>
    <t>Julie Stockley</t>
  </si>
  <si>
    <t>Check 4000</t>
  </si>
  <si>
    <t>Check 4008</t>
  </si>
  <si>
    <t>01/13/2026</t>
  </si>
  <si>
    <t>Kedzie Frye</t>
  </si>
  <si>
    <t>Check 4002</t>
  </si>
  <si>
    <t>01/29/2026</t>
  </si>
  <si>
    <t>Check 4001</t>
  </si>
  <si>
    <t>03/10/2026</t>
  </si>
  <si>
    <t>Check 4054</t>
  </si>
  <si>
    <t>Check 4037</t>
  </si>
  <si>
    <t>Check 4040</t>
  </si>
  <si>
    <t>Check 4034</t>
  </si>
  <si>
    <t>Check 4042</t>
  </si>
  <si>
    <t>Check 4041</t>
  </si>
  <si>
    <t>04/07/2026</t>
  </si>
  <si>
    <t>Check 4036</t>
  </si>
  <si>
    <t>Check 4038</t>
  </si>
  <si>
    <t>Check 4035</t>
  </si>
  <si>
    <t>Check 4043</t>
  </si>
  <si>
    <t>Check 4045</t>
  </si>
  <si>
    <t>Check 4044</t>
  </si>
  <si>
    <t>Check 4033</t>
  </si>
  <si>
    <t>Check 4039</t>
  </si>
  <si>
    <t>Sydney Barksdale</t>
  </si>
  <si>
    <t>Check 4048</t>
  </si>
  <si>
    <t>04/14/2026</t>
  </si>
  <si>
    <t>Check 4046</t>
  </si>
  <si>
    <t>Polly Martinez</t>
  </si>
  <si>
    <t>Check 4066</t>
  </si>
  <si>
    <t>Check 4448</t>
  </si>
  <si>
    <t>04/30/2026</t>
  </si>
  <si>
    <t>Teller Check 4074</t>
  </si>
  <si>
    <t>Check 4089</t>
  </si>
  <si>
    <t>Check 4099</t>
  </si>
  <si>
    <t>Check 4090</t>
  </si>
  <si>
    <t>Check 4086</t>
  </si>
  <si>
    <t>Check 4094</t>
  </si>
  <si>
    <t>Check 4098</t>
  </si>
  <si>
    <t>Check 4093</t>
  </si>
  <si>
    <t>Check 4092</t>
  </si>
  <si>
    <t>Check 4085</t>
  </si>
  <si>
    <t>Check 4095</t>
  </si>
  <si>
    <t>Check 4070</t>
  </si>
  <si>
    <t>Check 4083</t>
  </si>
  <si>
    <t>Terrie Starkey</t>
  </si>
  <si>
    <t>Check 4081</t>
  </si>
  <si>
    <t>Jayla Bowker</t>
  </si>
  <si>
    <t>Check 4087</t>
  </si>
  <si>
    <t>Sophia Hatley</t>
  </si>
  <si>
    <t>Check 4073</t>
  </si>
  <si>
    <t>05/12/2026</t>
  </si>
  <si>
    <t>Check 4067</t>
  </si>
  <si>
    <t>Ben Lovett</t>
  </si>
  <si>
    <t>Check 4068</t>
  </si>
  <si>
    <t>Check 4072</t>
  </si>
  <si>
    <t>Check 4126</t>
  </si>
  <si>
    <t>05/14/2026</t>
  </si>
  <si>
    <t>Check 4084</t>
  </si>
  <si>
    <t>Check 4071</t>
  </si>
  <si>
    <t>Check 4032</t>
  </si>
  <si>
    <t>Total for Contract Labor</t>
  </si>
  <si>
    <t>Hobby Lobby</t>
  </si>
  <si>
    <t>POS Purchase With PIN HOBBYLOBBY DICKSON TN 86063102 *****1962 02/11 17:53</t>
  </si>
  <si>
    <t>02/19/2026</t>
  </si>
  <si>
    <t>POS Purchase With PIN HOBBYLOBBY DICKSON TN 86063101 *****1962 02/19 11:18</t>
  </si>
  <si>
    <t>TJ Maxx</t>
  </si>
  <si>
    <t>POS Purchase With PIN TJ MAXX #1038 MOUNT JULIET TN 80257002 *****1962 03/06 18:30</t>
  </si>
  <si>
    <t>Total for Decorations</t>
  </si>
  <si>
    <t>Harrells Floor Care</t>
  </si>
  <si>
    <t>Check 4275</t>
  </si>
  <si>
    <t>Check 4295</t>
  </si>
  <si>
    <t>Check 4059</t>
  </si>
  <si>
    <t>Total for Floor Cleaning</t>
  </si>
  <si>
    <t>Paychex</t>
  </si>
  <si>
    <t>PAYCHEX INC./PAYROLL FIREFLY LANE LLC</t>
  </si>
  <si>
    <t>PAYCHEX TPS/TAXES FIREFLY LANE LLC</t>
  </si>
  <si>
    <t>PAYCHEX-HRS/401(K) FIREFLY LANE LLC</t>
  </si>
  <si>
    <t>PAYCHEX EIB/INVOICE FIREFLY LANE LLC</t>
  </si>
  <si>
    <t>PAYCHEX-HRS/HRS PMT FIREFLY LANE LLC</t>
  </si>
  <si>
    <t>01/30/2026</t>
  </si>
  <si>
    <t>02/03/2026</t>
  </si>
  <si>
    <t>02/12/2026</t>
  </si>
  <si>
    <t>02/26/2026</t>
  </si>
  <si>
    <t>02/27/2026</t>
  </si>
  <si>
    <t>04/24/2026</t>
  </si>
  <si>
    <t>Total for Payroll Expenses</t>
  </si>
  <si>
    <t>RPR&amp;V</t>
  </si>
  <si>
    <t>Check 4284</t>
  </si>
  <si>
    <t>appraisal fees for Mayo</t>
  </si>
  <si>
    <t>RPRV PLC/ACH JESSICA WILLIAMS</t>
  </si>
  <si>
    <t>RPRV PLC ICG FEE/ACH JESSICA WILLIAMS</t>
  </si>
  <si>
    <t>Check 4105</t>
  </si>
  <si>
    <t>Total for Professional Fees</t>
  </si>
  <si>
    <t>Dickson County Trustee</t>
  </si>
  <si>
    <t>Check 4299</t>
  </si>
  <si>
    <t>Total for Property Taxes</t>
  </si>
  <si>
    <t>HB refund: Emily/HB refund: ST-Z1P5E8J3F9A0 HONEYBOOK INC</t>
  </si>
  <si>
    <t>Gina Donato + Jose Cantillo - Chapel 9/11/26</t>
  </si>
  <si>
    <t>Check 4293</t>
  </si>
  <si>
    <t>Carissa Sartor + Sam Fulkerson- Chapel 4/18/26</t>
  </si>
  <si>
    <t>Check 4050</t>
  </si>
  <si>
    <t>HB refund: Kerri/HB refund: ST-U4B2C3L5M5Z4 HONEYBOOK INC</t>
  </si>
  <si>
    <t>HB refund: Kerri/HB refund: ST-T0Z9P6F7O9M1 HONEYBOOK INC</t>
  </si>
  <si>
    <t>HB refund: Kathy/HB refund: ST-Q3V0G6B4Y9H5 HONEYBOOK INC</t>
  </si>
  <si>
    <t>HB refund: Susan/HB refund: ST-R9R4L5T2I4U1 HONEYBOOK INC</t>
  </si>
  <si>
    <t>Total for Refund</t>
  </si>
  <si>
    <t>Internet Transfer To 0669</t>
  </si>
  <si>
    <t>02/05/2026</t>
  </si>
  <si>
    <t>Mobile Deposit</t>
  </si>
  <si>
    <t>Transfer</t>
  </si>
  <si>
    <t>Total for Rent or Lease of Buildings</t>
  </si>
  <si>
    <t>POS Purchase Non-PIN BOBCAT OF DICKSON - 29 DICKSON TN 99999999 *****6991 01/09 11:18</t>
  </si>
  <si>
    <t>England Septic</t>
  </si>
  <si>
    <t>Check 4278</t>
  </si>
  <si>
    <t>Charlotte Hardware</t>
  </si>
  <si>
    <t>Check 4283</t>
  </si>
  <si>
    <t>Lawnmower Man</t>
  </si>
  <si>
    <t>Check 4286</t>
  </si>
  <si>
    <t>Josh Farris</t>
  </si>
  <si>
    <t>Check 4011</t>
  </si>
  <si>
    <t>Justin Booth</t>
  </si>
  <si>
    <t>Check 4014</t>
  </si>
  <si>
    <t>Check 4015</t>
  </si>
  <si>
    <t>Check 4016</t>
  </si>
  <si>
    <t>Fernado</t>
  </si>
  <si>
    <t>Check 4017</t>
  </si>
  <si>
    <t>David Madill</t>
  </si>
  <si>
    <t>Check 4018</t>
  </si>
  <si>
    <t>Stewart Lumber</t>
  </si>
  <si>
    <t>Check 4296</t>
  </si>
  <si>
    <t>Check 4292</t>
  </si>
  <si>
    <t>Check 4055</t>
  </si>
  <si>
    <t>Check 4051</t>
  </si>
  <si>
    <t>Check 4069</t>
  </si>
  <si>
    <t>Lowes/SYF PAYMNT XXXXXXXX3054050 WILLIAMSJESSICA D</t>
  </si>
  <si>
    <t>Check 4125</t>
  </si>
  <si>
    <t>Check 4063</t>
  </si>
  <si>
    <t>Total for Repairs and Maintenance</t>
  </si>
  <si>
    <t>POS Purchase With PIN WAL-MART #0264 DICKSON TN 24026401 *****1962 01/09 09:52</t>
  </si>
  <si>
    <t>Marshall's</t>
  </si>
  <si>
    <t>POS Purchase With PIN MARSHALLS #**** DICKSON TN 69412002 *****1962 02/04 16:38</t>
  </si>
  <si>
    <t>POS Purchase With PIN WAL-MART #0264 DICKSON TN 24026401 *****1962 02/07 16:50</t>
  </si>
  <si>
    <t>POS Purchase With PIN MARSHALLS #**** DICKSON TN 69412002 *****1962 02/19 10:41</t>
  </si>
  <si>
    <t>POS Purchase With PIN WAL WAL-MART #0264 0014 DICKSON TN 02640030 *****1962 02/19 11:56</t>
  </si>
  <si>
    <t>Check 4442</t>
  </si>
  <si>
    <t>Costco</t>
  </si>
  <si>
    <t>POS Purchase With PIN COSTCO WHSE #06 NASHVILLE TN 99063014 *****1962 03/27 12:26</t>
  </si>
  <si>
    <t>POS Purchase With PIN MARSHALLS #**** DICKSON TN 69412002 *****1962 04/02 11:01</t>
  </si>
  <si>
    <t>POS Purchase With PIN MARSHALLS #**** DICKSON TN 69412002 *****1962 04/21 11:00</t>
  </si>
  <si>
    <t>POS Purchase With PIN WAL WAL-MART #0264 0014 DICKSON TN 02640001 *****1962 05/08 11:50</t>
  </si>
  <si>
    <t>Total for Supplies</t>
  </si>
  <si>
    <t>Verizon Wireless</t>
  </si>
  <si>
    <t>VERIZON WIRELESS/PAYMENTS XXXXXXXX3200001 0000000XXXXXXXX3200001</t>
  </si>
  <si>
    <t>03/17/2026</t>
  </si>
  <si>
    <t>Total for Telephone Expense</t>
  </si>
  <si>
    <t>Dickson County Solid Waste</t>
  </si>
  <si>
    <t>POS Purchase Non-PIN DICKSON CO SOLID WASTE DICKSON TN 78140212 *****6991 04/13 05:12</t>
  </si>
  <si>
    <t>POS Purchase Non-PIN DICKSON CO SOLID WASTE DICKSON TN 78140212 *****6991 04/28 02:52</t>
  </si>
  <si>
    <t>POS Purchase Non-PIN DICKSON CO SOLID WASTE DICKSON TN 78140212 *****6991 05/01 06:30</t>
  </si>
  <si>
    <t>Total for Trash Service</t>
  </si>
  <si>
    <t>Dickson Electric Service</t>
  </si>
  <si>
    <t>Check 4282</t>
  </si>
  <si>
    <t>Check 4281</t>
  </si>
  <si>
    <t>Check 4436</t>
  </si>
  <si>
    <t>Check 4280</t>
  </si>
  <si>
    <t>Check 4287</t>
  </si>
  <si>
    <t>Water Authority</t>
  </si>
  <si>
    <t>Check 4289</t>
  </si>
  <si>
    <t>Check 4290</t>
  </si>
  <si>
    <t>Check 4288</t>
  </si>
  <si>
    <t>Check 4441</t>
  </si>
  <si>
    <t>Check 4443</t>
  </si>
  <si>
    <t>Check 4440</t>
  </si>
  <si>
    <t>Check 4439</t>
  </si>
  <si>
    <t>Check 4049</t>
  </si>
  <si>
    <t>Check 4062</t>
  </si>
  <si>
    <t>Check 4061</t>
  </si>
  <si>
    <t>POS Purchase Non-PIN DICKSON ELECTRIC DEPAR DICKSON TN 00000001 *****6991 04/29 02:38</t>
  </si>
  <si>
    <t>POS Purchase Non-PIN DICKSON ELECTRIC DEPAR DICKSON TN 00000001 *****6991 04/29 03:04</t>
  </si>
  <si>
    <t>Check 4101</t>
  </si>
  <si>
    <t>Check 4102</t>
  </si>
  <si>
    <t>Check 4103</t>
  </si>
  <si>
    <t>Total for Utilities</t>
  </si>
  <si>
    <t>JR Wooley</t>
  </si>
  <si>
    <t>Check 4438</t>
  </si>
  <si>
    <t>02/10/2026</t>
  </si>
  <si>
    <t>Check 4285</t>
  </si>
  <si>
    <t>Check 4060</t>
  </si>
  <si>
    <t>Total for Window Cleaning</t>
  </si>
  <si>
    <t>Total for Expenses with sub-accounts</t>
  </si>
  <si>
    <t>Net Ordinary Income</t>
  </si>
  <si>
    <t>Other Income/Expense</t>
  </si>
  <si>
    <t>Other Income</t>
  </si>
  <si>
    <t>Other Expense</t>
  </si>
  <si>
    <t>WH Standard</t>
  </si>
  <si>
    <t>Revenue &amp; Events</t>
  </si>
  <si>
    <t>Region</t>
  </si>
  <si>
    <t>HC</t>
  </si>
  <si>
    <t>HTX</t>
  </si>
  <si>
    <t>ATL</t>
  </si>
  <si>
    <t>Aristide - Flower Mound</t>
  </si>
  <si>
    <t>Aristide - McKinney</t>
  </si>
  <si>
    <t>Chapel at Ana Villa</t>
  </si>
  <si>
    <t>Chapel at Riverwalk</t>
  </si>
  <si>
    <t>Hidden Pines - Highland Village</t>
  </si>
  <si>
    <t>Ashton Gardens - Corinth</t>
  </si>
  <si>
    <t>Monroe Pearson</t>
  </si>
  <si>
    <t>The Milestone - Aubrey</t>
  </si>
  <si>
    <t>The Milestone - Denton</t>
  </si>
  <si>
    <t>The Olana</t>
  </si>
  <si>
    <t>The Olana Design Center</t>
  </si>
  <si>
    <t>Wildwood Inn</t>
  </si>
  <si>
    <t>Aristide - Colleyville</t>
  </si>
  <si>
    <t>Aristide - Mansfield</t>
  </si>
  <si>
    <t>Chapel at Palacios</t>
  </si>
  <si>
    <t>Hayes Hollow - Arlington</t>
  </si>
  <si>
    <t>Hidden Pines - Hurst</t>
  </si>
  <si>
    <t>Hidden Falls</t>
  </si>
  <si>
    <t>Morgan Creek Barn- Dripping Springs</t>
  </si>
  <si>
    <t>The Laiken on Lake Travis</t>
  </si>
  <si>
    <t>The Milestone - Boerne</t>
  </si>
  <si>
    <t>The Milestone - Georgetown</t>
  </si>
  <si>
    <t>The Milestone - New Braunfels</t>
  </si>
  <si>
    <t>The Terrace at Highland Lakes</t>
  </si>
  <si>
    <t>Ashton Gardens - North Houston</t>
  </si>
  <si>
    <t>Ashton Gardens - West Houston</t>
  </si>
  <si>
    <t>Hidden Pines | Lake Houston</t>
  </si>
  <si>
    <t>The Carriage House</t>
  </si>
  <si>
    <t>The Lakota</t>
  </si>
  <si>
    <t>The Milestone - Montgomery</t>
  </si>
  <si>
    <t>Jennings Trace</t>
  </si>
  <si>
    <t>Ashton Gardens - Sugar Hill</t>
  </si>
  <si>
    <t>Firefly Gardens</t>
  </si>
  <si>
    <t>Operational Data</t>
  </si>
  <si>
    <t># Venues</t>
  </si>
  <si>
    <t>Total Event Count</t>
  </si>
  <si>
    <t xml:space="preserve"># Events </t>
  </si>
  <si>
    <t># DJ Events</t>
  </si>
  <si>
    <t># Floral Events</t>
  </si>
  <si>
    <t># Bakery Events</t>
  </si>
  <si>
    <t># Stationery Events</t>
  </si>
  <si>
    <t># Photography Events</t>
  </si>
  <si>
    <t># Events  / Venue</t>
  </si>
  <si>
    <t># DJ Events / Venue</t>
  </si>
  <si>
    <t># Floral Events / Venue</t>
  </si>
  <si>
    <t># Bakery Events / Venue</t>
  </si>
  <si>
    <t># Stationery Events / Venue</t>
  </si>
  <si>
    <t># Photography Events / Venue</t>
  </si>
  <si>
    <t>DJ % of Total</t>
  </si>
  <si>
    <t>Floral % of Total</t>
  </si>
  <si>
    <t>Bakery % of Total</t>
  </si>
  <si>
    <t>Stationery % of Total</t>
  </si>
  <si>
    <t>Photography % of Total</t>
  </si>
  <si>
    <t>Financial Data - MAY 2025</t>
  </si>
  <si>
    <t>DJ Rev / Event</t>
  </si>
  <si>
    <t>Floral Rev / Event</t>
  </si>
  <si>
    <t>Bakery Rev / Event</t>
  </si>
  <si>
    <t>Stationery Rev / Event</t>
  </si>
  <si>
    <t>Photography Rev / Event</t>
  </si>
  <si>
    <t>Other Add On Rev / TOTAL Event</t>
  </si>
  <si>
    <t>Ancillary Rev / TOTAL Event</t>
  </si>
  <si>
    <t>Room Rental Rev / TOTAL Events</t>
  </si>
  <si>
    <t>Food Rev / TOTAL Events</t>
  </si>
  <si>
    <t>Beverage Rev / TOTAL Events</t>
  </si>
  <si>
    <t>Service Charge / TOTAL Events</t>
  </si>
  <si>
    <t>Floral Revenue</t>
  </si>
  <si>
    <t>Photography Revenue</t>
  </si>
  <si>
    <t>DJ Revenue</t>
  </si>
  <si>
    <t>Stationery Revenue</t>
  </si>
  <si>
    <t>Bakery Revenue</t>
  </si>
  <si>
    <t>Luxury Vehicle Revenue</t>
  </si>
  <si>
    <t>Linen Revenue</t>
  </si>
  <si>
    <t>Bridal Revenue</t>
  </si>
  <si>
    <t>Jewelry Revenue</t>
  </si>
  <si>
    <t>Add-On Revenue</t>
  </si>
  <si>
    <t>Suit/Tux Revenue</t>
  </si>
  <si>
    <t>J</t>
  </si>
  <si>
    <t>K</t>
  </si>
  <si>
    <t>L</t>
  </si>
  <si>
    <t>P</t>
  </si>
  <si>
    <t>Q</t>
  </si>
  <si>
    <t>U</t>
  </si>
  <si>
    <t>V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</si>
  <si>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</si>
  <si>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</si>
  <si>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</si>
  <si>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</si>
  <si>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</si>
  <si>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</si>
  <si>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</si>
  <si>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</si>
  <si>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</si>
  <si>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</si>
  <si>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</si>
  <si>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</si>
  <si>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</si>
  <si>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</si>
  <si>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</si>
  <si>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</si>
  <si>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</si>
  <si>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</si>
  <si>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</si>
  <si>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</si>
  <si>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</si>
  <si>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</si>
  <si>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</si>
  <si>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</si>
  <si>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</si>
  <si>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Morgan Creek- Dripping Springs</t>
  </si>
  <si>
    <t>Camp Hosea</t>
  </si>
  <si>
    <t>Wedding Reception Room</t>
  </si>
  <si>
    <t>Venue Revenue Contra - WWE Refunds</t>
  </si>
  <si>
    <t>Alcohol Revenue</t>
  </si>
  <si>
    <t>Bartender Fee</t>
  </si>
  <si>
    <t>Soda Bar</t>
  </si>
  <si>
    <t>Outside Events</t>
  </si>
  <si>
    <t>Casitas Room Revenue</t>
  </si>
  <si>
    <t>Lodging Revenue</t>
  </si>
  <si>
    <t>WWI Lodging Rooms</t>
  </si>
  <si>
    <t>Treehouse Room Revenue</t>
  </si>
  <si>
    <t>HF Lookout Room Revenue</t>
  </si>
  <si>
    <t>Retreat Room Revenue</t>
  </si>
  <si>
    <t>Lodging Late Check-out Fee</t>
  </si>
  <si>
    <t>Venue Deposits</t>
  </si>
  <si>
    <t>Rent Revenue (Holding Co)</t>
  </si>
  <si>
    <t>Facility Lease</t>
  </si>
  <si>
    <t>Security Revenue</t>
  </si>
  <si>
    <t>Financing Revenue</t>
  </si>
  <si>
    <t>Parking Lease</t>
  </si>
  <si>
    <t>Equestrian Revenue</t>
  </si>
  <si>
    <t>Food Contra Reimbursement - All Events</t>
  </si>
  <si>
    <t>Vendor Contra</t>
  </si>
  <si>
    <t>Alcohol - All Events</t>
  </si>
  <si>
    <t>Catering - All Events</t>
  </si>
  <si>
    <t>Additional Venue Hours Staff</t>
  </si>
  <si>
    <t>Net Revenue</t>
  </si>
  <si>
    <t>Cost of goods sold</t>
  </si>
  <si>
    <t>Food Purchases COGS</t>
  </si>
  <si>
    <t>Catering Disposables COGS</t>
  </si>
  <si>
    <t>Floral COGS</t>
  </si>
  <si>
    <t>Photography COGS</t>
  </si>
  <si>
    <t>DJ COGS</t>
  </si>
  <si>
    <t>Stationery COGS</t>
  </si>
  <si>
    <t>Bakery COGS</t>
  </si>
  <si>
    <t>Luxury Vehicle COGS</t>
  </si>
  <si>
    <t>Linen COGS</t>
  </si>
  <si>
    <t>Bridal COGS</t>
  </si>
  <si>
    <t>Jewelry COGS</t>
  </si>
  <si>
    <t>Other ancillary COGS</t>
  </si>
  <si>
    <t>Diamond COGS</t>
  </si>
  <si>
    <t>Security Expense</t>
  </si>
  <si>
    <t>Bar Supplies COGS</t>
  </si>
  <si>
    <t>Lodging COGS</t>
  </si>
  <si>
    <t>Room Maintenance COGS</t>
  </si>
  <si>
    <t>Rooms - Breakfast</t>
  </si>
  <si>
    <t>Rooms - Linens</t>
  </si>
  <si>
    <t>Rooms - Cleaning Supplies</t>
  </si>
  <si>
    <t>WWE COGS</t>
  </si>
  <si>
    <t>Wedding Reception COGS</t>
  </si>
  <si>
    <t>Gross Margin %</t>
  </si>
  <si>
    <t>Sales Team Base Payroll</t>
  </si>
  <si>
    <t>Sales Team Commission/Bonus</t>
  </si>
  <si>
    <t>Planning Salary</t>
  </si>
  <si>
    <t>Planning Hourly</t>
  </si>
  <si>
    <t>Planning Commission/Bonus</t>
  </si>
  <si>
    <t>Operations Team Base Payroll</t>
  </si>
  <si>
    <t>Operations Team Bonus</t>
  </si>
  <si>
    <t>Maintenance Payroll</t>
  </si>
  <si>
    <t>Maintenance Hourly</t>
  </si>
  <si>
    <t>Contractor - Maid</t>
  </si>
  <si>
    <t>Contractor - Maintenance</t>
  </si>
  <si>
    <t>Contractor - Landscaping</t>
  </si>
  <si>
    <t>Housekeeping Payroll</t>
  </si>
  <si>
    <t>Executive Base Payroll</t>
  </si>
  <si>
    <t>Executive Bonus</t>
  </si>
  <si>
    <t>Accounting Team Base Payroll</t>
  </si>
  <si>
    <t>Accounting Team Bonus</t>
  </si>
  <si>
    <t>Business Dev Payroll</t>
  </si>
  <si>
    <t>Contractor - Accounting/Bookkeeping</t>
  </si>
  <si>
    <t>Marketing Team Base Payroll</t>
  </si>
  <si>
    <t>Marketing Team Bonus</t>
  </si>
  <si>
    <t>Training Team Base Payroll</t>
  </si>
  <si>
    <t>Training Team Bonus</t>
  </si>
  <si>
    <t>Legal Base Payroll</t>
  </si>
  <si>
    <t>Contractor - Bar</t>
  </si>
  <si>
    <t>Contractor - Kitchen Temp</t>
  </si>
  <si>
    <t>Chef Salary</t>
  </si>
  <si>
    <t>BC/Server Payroll</t>
  </si>
  <si>
    <t>Contractor - BC/Server</t>
  </si>
  <si>
    <t>F&amp;B Bar Payroll</t>
  </si>
  <si>
    <t>Kitchen Hourly</t>
  </si>
  <si>
    <t>F&amp;B Director Payroll</t>
  </si>
  <si>
    <t>F&amp;B Director Bonus</t>
  </si>
  <si>
    <t>Floral Payroll</t>
  </si>
  <si>
    <t>Photography Payroll</t>
  </si>
  <si>
    <t>DJ Payroll</t>
  </si>
  <si>
    <t>Bakery Payroll</t>
  </si>
  <si>
    <t>Stationery Payroll</t>
  </si>
  <si>
    <t>Contractor - Wedding</t>
  </si>
  <si>
    <t>Driver Payroll</t>
  </si>
  <si>
    <t>FICA &amp; Medicare Tax</t>
  </si>
  <si>
    <t>Health/Dental Premium</t>
  </si>
  <si>
    <t>Payroll Processing Fee</t>
  </si>
  <si>
    <t>401(k) Retirement Match</t>
  </si>
  <si>
    <t>TX Unemp Tax Expense</t>
  </si>
  <si>
    <t>GA Unemp Tax Expense</t>
  </si>
  <si>
    <t>Futa Tax Expense</t>
  </si>
  <si>
    <t>Georgia Employee Tax Withholding</t>
  </si>
  <si>
    <t>Front Desk Payroll</t>
  </si>
  <si>
    <t>In-Training Payroll</t>
  </si>
  <si>
    <t>Landscape Payroll</t>
  </si>
  <si>
    <t>Construction Manager Payroll</t>
  </si>
  <si>
    <t>Labor</t>
  </si>
  <si>
    <t>Payroll Expense</t>
  </si>
  <si>
    <t>Payroll %</t>
  </si>
  <si>
    <t>Advertising</t>
  </si>
  <si>
    <t>Marketing Materials</t>
  </si>
  <si>
    <t>Dues and Subscriptions</t>
  </si>
  <si>
    <t>Referral Program</t>
  </si>
  <si>
    <t>Grounds Maintenance</t>
  </si>
  <si>
    <t>Building Repairs/Maintenance</t>
  </si>
  <si>
    <t>Equipment Rental</t>
  </si>
  <si>
    <t>Equipment Repairs</t>
  </si>
  <si>
    <t>Exterminator Expense</t>
  </si>
  <si>
    <t>Janitorial Expense</t>
  </si>
  <si>
    <t>Pool Expense</t>
  </si>
  <si>
    <t>Electric</t>
  </si>
  <si>
    <t>Water</t>
  </si>
  <si>
    <t>Telephone/Cable/Internet</t>
  </si>
  <si>
    <t>Waste</t>
  </si>
  <si>
    <t>Gas (Heating/Propane)</t>
  </si>
  <si>
    <t>Furniture, Fixtures &amp; Equipment Under $5,000.00</t>
  </si>
  <si>
    <t>Postage and Delivery</t>
  </si>
  <si>
    <t>Computer Software</t>
  </si>
  <si>
    <t>Computer Hardware</t>
  </si>
  <si>
    <t>Automobile Service (Inspection, Registration, etc.)</t>
  </si>
  <si>
    <t>Automobile Gas/Fuel</t>
  </si>
  <si>
    <t>Automobile Parking/Tolls</t>
  </si>
  <si>
    <t>Employee Trips, Parties and Rewards</t>
  </si>
  <si>
    <t>Recruiting</t>
  </si>
  <si>
    <t>Guest Experience Enhancement</t>
  </si>
  <si>
    <t>Professional Development</t>
  </si>
  <si>
    <t>Background Check Fee</t>
  </si>
  <si>
    <t>Property Tax</t>
  </si>
  <si>
    <t>State Tax</t>
  </si>
  <si>
    <t>MB Gross Receipts Tax (6.7%)</t>
  </si>
  <si>
    <t>Mixed Beverage Sales Tax</t>
  </si>
  <si>
    <t>Travel</t>
  </si>
  <si>
    <t>Meals</t>
  </si>
  <si>
    <t>Professional Management Fees</t>
  </si>
  <si>
    <t>Credit Card Disc. Charges</t>
  </si>
  <si>
    <t>Bad Debts</t>
  </si>
  <si>
    <t>Cash Over/Short</t>
  </si>
  <si>
    <t>Finance Charge</t>
  </si>
  <si>
    <t>Bank Service Charges</t>
  </si>
  <si>
    <t>Linen Expense</t>
  </si>
  <si>
    <t>Closing Costs</t>
  </si>
  <si>
    <t>Licenses and Permits</t>
  </si>
  <si>
    <t>POA Fees</t>
  </si>
  <si>
    <t>Uniforms</t>
  </si>
  <si>
    <t>Printing and Reproduction</t>
  </si>
  <si>
    <t>Dry Cleaning</t>
  </si>
  <si>
    <t>Contributions</t>
  </si>
  <si>
    <t>Donations</t>
  </si>
  <si>
    <t>Insurance:Automobile - Keith &amp; Sarah's Vehicles</t>
  </si>
  <si>
    <t>Insurance:Lender Required Life</t>
  </si>
  <si>
    <t>Miscellaneous Expense</t>
  </si>
  <si>
    <t>BOD Expenses</t>
  </si>
  <si>
    <t>Opex %</t>
  </si>
  <si>
    <t>Net income</t>
  </si>
  <si>
    <t>Net income %</t>
  </si>
  <si>
    <t>Type</t>
  </si>
  <si>
    <t>Venues</t>
  </si>
  <si>
    <t>District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</si>
  <si>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</si>
  <si>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</si>
  <si>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</si>
  <si>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</si>
  <si>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</si>
  <si>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</si>
  <si>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</si>
  <si>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</si>
  <si>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</si>
  <si>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</si>
  <si>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</si>
  <si>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Venue Count - Events</t>
  </si>
  <si>
    <t>DFW E</t>
  </si>
  <si>
    <t>DFW N</t>
  </si>
  <si>
    <t>DFW S</t>
  </si>
  <si>
    <t>Events with Ancillary</t>
  </si>
  <si>
    <t>Total Event Count - Sat</t>
  </si>
  <si>
    <t>Total Event Count - Sun</t>
  </si>
  <si>
    <t>Total Event Count - Fri</t>
  </si>
  <si>
    <t>Total Event Count - Weekday</t>
  </si>
  <si>
    <t>Category</t>
  </si>
  <si>
    <t>L1</t>
  </si>
  <si>
    <t>L2</t>
  </si>
  <si>
    <t>Contractor Payroll</t>
  </si>
  <si>
    <t>Depreciation and Amortization</t>
  </si>
  <si>
    <t>Other Non-Operating Income / (Expense)</t>
  </si>
  <si>
    <t>Income Tax Expense</t>
  </si>
  <si>
    <t>Marketing</t>
  </si>
  <si>
    <t>Maintenance</t>
  </si>
  <si>
    <t>Taxes</t>
  </si>
  <si>
    <t>Interest Income</t>
  </si>
  <si>
    <t>Interest</t>
  </si>
  <si>
    <t>Loan Interest</t>
  </si>
  <si>
    <t>D&amp;A</t>
  </si>
  <si>
    <t>Amortization Expense</t>
  </si>
  <si>
    <t>G/L on Sale of Fixed Asset</t>
  </si>
  <si>
    <t>Non-Operating</t>
  </si>
  <si>
    <t>Federal Tax</t>
  </si>
  <si>
    <t>Income Tax</t>
  </si>
  <si>
    <t>Timing</t>
  </si>
  <si>
    <t>Close Date</t>
  </si>
  <si>
    <t>Y -2</t>
  </si>
  <si>
    <t>Y -1</t>
  </si>
  <si>
    <t>Y0</t>
  </si>
  <si>
    <t>LTM May-27</t>
  </si>
  <si>
    <t>LTM May-28</t>
  </si>
  <si>
    <t>LTM May-29</t>
  </si>
  <si>
    <t>Notes:</t>
  </si>
  <si>
    <t>Mid-month close, most recent LTM available is LTM Apr-26 but first full year of ownership is LTM May-27</t>
  </si>
  <si>
    <t>PF Events</t>
  </si>
  <si>
    <t>Annual - Rev Analysis</t>
  </si>
  <si>
    <t>Monthly - P&amp;L</t>
  </si>
  <si>
    <t>Annual - P&amp;L</t>
  </si>
  <si>
    <t>Events Summary</t>
  </si>
  <si>
    <t>All inclusive</t>
  </si>
  <si>
    <t>elopement</t>
  </si>
  <si>
    <t>cancelled</t>
  </si>
  <si>
    <t>EBITDA Y4+ Growth Rate</t>
  </si>
  <si>
    <t>Exit Multiple</t>
  </si>
  <si>
    <t>Exit Year</t>
  </si>
  <si>
    <t>Cash In</t>
  </si>
  <si>
    <t>Sale of Business</t>
  </si>
  <si>
    <t>Total Cash In</t>
  </si>
  <si>
    <t>Cash Out</t>
  </si>
  <si>
    <t>Principal</t>
  </si>
  <si>
    <t>Interest / Rent</t>
  </si>
  <si>
    <t>Total Cash Out</t>
  </si>
  <si>
    <t>Net Cash In / (Out)</t>
  </si>
  <si>
    <t>Cumulative Cash In / (Out)</t>
  </si>
  <si>
    <t>Implied Creation Multiple</t>
  </si>
  <si>
    <t>Monthly Average</t>
  </si>
  <si>
    <t>Original</t>
  </si>
  <si>
    <t>Revised</t>
  </si>
  <si>
    <t>Per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</si>
</sst>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#,##0_);\(#,##0\);\-_)"/>
    <numFmt numFmtId="165" formatCode="&quot;$&quot;#,##0.0_);\(&quot;$&quot;#,##0.0\);\-_)"/>
    <numFmt numFmtId="166" formatCode="&quot;$&quot;#,##0_);\(&quot;$&quot;#,##0\);\-_)"/>
    <numFmt numFmtId="167" formatCode="0%_);\(0%\);\-_)"/>
    <numFmt numFmtId="168" formatCode="[$-409]mmm\-yy"/>
    <numFmt numFmtId="169" formatCode="&quot;Y&quot;#"/>
    <numFmt numFmtId="170" formatCode="#"/>
    <numFmt numFmtId="171" formatCode="0.0\x_);\(0.0\x\);\-_)"/>
    <numFmt numFmtId="172" formatCode="0.0\x_);&quot;NM&quot;;\-_)"/>
    <numFmt numFmtId="173" formatCode="0.0%"/>
    <numFmt numFmtId="174" formatCode="&quot;$&quot;#,##0.00_);\(&quot;$&quot;#,##0.00\);\-_)"/>
    <numFmt numFmtId="175" formatCode="#,##0.00_);\(#,##0.00\);\-_)"/>
    <numFmt numFmtId="176" formatCode="&quot;$&quot;#,##0"/>
    <numFmt numFmtId="177" formatCode="&quot;$&quot;#,##0.00"/>
    <numFmt numFmtId="178" formatCode="mm/dd/yyyy"/>
    <numFmt numFmtId="179" formatCode="\$#,##0.00"/>
    <numFmt numFmtId="180" formatCode="#,##0.0_);\(#,##0.0\)"/>
    <numFmt numFmtId="181" formatCode="#,##0.0_);\(#,##0.0\);\-_)"/>
    <numFmt numFmtId="182" formatCode="&quot;$&quot;#,##0.0_);\(&quot;$&quot;#,##0.0\)"/>
    <numFmt numFmtId="183" formatCode="&quot;Y&quot;0"/>
    <numFmt numFmtId="184" formatCode="0.00\x_);\(0.00\x\);\-_)"/>
  </numFmts>
  <fonts count="132">
    <font>
      <sz val="11"/>
      <color theme="1"/>
      <name val="Aptos Narrow"/>
      <scheme val="minor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0000CC"/>
      <name val="Aptos Narrow"/>
      <family val="2"/>
    </font>
    <font>
      <sz val="11"/>
      <color rgb="FF006600"/>
      <name val="Aptos Narrow"/>
      <family val="2"/>
    </font>
    <font>
      <i/>
      <sz val="11"/>
      <color rgb="FF7F7F7F"/>
      <name val="Aptos Narrow"/>
      <family val="2"/>
    </font>
    <font>
      <i/>
      <sz val="11"/>
      <color theme="9"/>
      <name val="Aptos Narrow"/>
      <family val="2"/>
    </font>
    <font>
      <b/>
      <sz val="11"/>
      <color theme="1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sz val="11"/>
      <name val="Aptos Narrow"/>
      <family val="2"/>
    </font>
    <font>
      <u/>
      <sz val="11"/>
      <color theme="1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1"/>
      <name val="Aptos Narrow"/>
      <family val="2"/>
    </font>
    <font>
      <sz val="8"/>
      <color theme="1"/>
      <name val="Aptos Narrow"/>
      <family val="2"/>
    </font>
    <font>
      <i/>
      <sz val="9"/>
      <color theme="1"/>
      <name val="Aptos Narrow"/>
      <family val="2"/>
    </font>
    <font>
      <b/>
      <u/>
      <sz val="11"/>
      <color theme="1"/>
      <name val="Aptos Narrow"/>
      <family val="2"/>
    </font>
    <font>
      <sz val="9"/>
      <color theme="1"/>
      <name val="Aptos Narrow"/>
      <family val="2"/>
    </font>
    <font>
      <sz val="11"/>
      <color rgb="FF0000FF"/>
      <name val="Aptos Narrow"/>
      <family val="2"/>
    </font>
    <font>
      <b/>
      <sz val="9"/>
      <color theme="5"/>
      <name val="Aptos Narrow"/>
      <family val="2"/>
    </font>
    <font>
      <i/>
      <sz val="9"/>
      <color theme="0"/>
      <name val="Aptos Narrow"/>
      <family val="2"/>
    </font>
    <font>
      <b/>
      <u/>
      <sz val="11"/>
      <color theme="0"/>
      <name val="Aptos Narrow"/>
      <family val="2"/>
    </font>
    <font>
      <i/>
      <sz val="11"/>
      <color theme="1"/>
      <name val="Aptos Narrow"/>
      <family val="2"/>
    </font>
    <font>
      <i/>
      <sz val="9"/>
      <color theme="5"/>
      <name val="Aptos Narrow"/>
      <family val="2"/>
    </font>
    <font>
      <b/>
      <sz val="11"/>
      <color rgb="FF0000FF"/>
      <name val="Aptos Narrow"/>
      <family val="2"/>
    </font>
    <font>
      <u/>
      <sz val="11"/>
      <color theme="1"/>
      <name val="Aptos Narrow"/>
      <family val="2"/>
    </font>
    <font>
      <b/>
      <i/>
      <u/>
      <sz val="11"/>
      <color theme="1"/>
      <name val="Aptos Narrow"/>
      <family val="2"/>
    </font>
    <font>
      <i/>
      <sz val="8"/>
      <color theme="1"/>
      <name val="Aptos Narrow"/>
      <family val="2"/>
    </font>
    <font>
      <b/>
      <u/>
      <sz val="11"/>
      <color theme="0"/>
      <name val="Aptos Narrow"/>
      <family val="2"/>
    </font>
    <font>
      <b/>
      <u/>
      <sz val="9"/>
      <color theme="0"/>
      <name val="Aptos Narrow"/>
      <family val="2"/>
    </font>
    <font>
      <b/>
      <u/>
      <sz val="11"/>
      <color theme="0"/>
      <name val="Aptos Narrow"/>
      <family val="2"/>
    </font>
    <font>
      <b/>
      <sz val="11"/>
      <color rgb="FF006600"/>
      <name val="Aptos Narrow"/>
      <family val="2"/>
    </font>
    <font>
      <i/>
      <sz val="11"/>
      <color rgb="FF006600"/>
      <name val="Aptos Narrow"/>
      <family val="2"/>
    </font>
    <font>
      <i/>
      <sz val="11"/>
      <color rgb="FF0000FF"/>
      <name val="Aptos Narrow"/>
      <family val="2"/>
    </font>
    <font>
      <b/>
      <sz val="11"/>
      <color rgb="FFFF0000"/>
      <name val="Aptos Narrow"/>
      <family val="2"/>
    </font>
    <font>
      <b/>
      <u/>
      <sz val="11"/>
      <color theme="1"/>
      <name val="Aptos Narrow"/>
      <family val="2"/>
    </font>
    <font>
      <sz val="11"/>
      <color rgb="FFFF0000"/>
      <name val="Aptos Narrow"/>
      <family val="2"/>
    </font>
    <font>
      <b/>
      <i/>
      <sz val="9"/>
      <color theme="1"/>
      <name val="Aptos Narrow"/>
      <family val="2"/>
    </font>
    <font>
      <b/>
      <i/>
      <sz val="9"/>
      <color theme="0"/>
      <name val="Aptos Narrow"/>
      <family val="2"/>
    </font>
    <font>
      <b/>
      <u/>
      <sz val="11"/>
      <color rgb="FF0000FF"/>
      <name val="Aptos Narrow"/>
      <family val="2"/>
    </font>
    <font>
      <b/>
      <i/>
      <sz val="9"/>
      <color rgb="FFFF0000"/>
      <name val="Aptos Narrow"/>
      <family val="2"/>
    </font>
    <font>
      <b/>
      <u/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sz val="11"/>
      <color theme="1"/>
      <name val="Aptos Narrow"/>
      <family val="2"/>
    </font>
    <font>
      <sz val="8"/>
      <color rgb="FF7F7F7F"/>
      <name val="Aptos Narrow"/>
      <family val="2"/>
    </font>
    <font>
      <i/>
      <sz val="8"/>
      <color rgb="FF7F7F7F"/>
      <name val="Aptos Narrow"/>
      <family val="2"/>
    </font>
    <font>
      <b/>
      <i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0"/>
      <name val="Aptos Narrow"/>
      <family val="2"/>
    </font>
    <font>
      <b/>
      <i/>
      <u/>
      <sz val="11"/>
      <color theme="0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4"/>
      <color theme="1"/>
      <name val="Arial"/>
      <family val="2"/>
    </font>
    <font>
      <sz val="12"/>
      <color theme="1"/>
      <name val="Aptos Narrow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i/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6"/>
      <color rgb="FFFFFFFF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sz val="12"/>
      <color rgb="FF674EA7"/>
      <name val="Arial"/>
      <family val="2"/>
    </font>
    <font>
      <sz val="10"/>
      <color theme="1"/>
      <name val="Arial"/>
      <family val="2"/>
    </font>
    <font>
      <sz val="12"/>
      <color rgb="FFB7B7B7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1F1F1F"/>
      <name val="Arial"/>
      <family val="2"/>
    </font>
    <font>
      <i/>
      <sz val="10"/>
      <color theme="1"/>
      <name val="Aptos Narrow"/>
      <family val="2"/>
    </font>
    <font>
      <i/>
      <sz val="10"/>
      <color theme="1"/>
      <name val="Arial"/>
      <family val="2"/>
    </font>
    <font>
      <sz val="10"/>
      <color rgb="FF0000FF"/>
      <name val="Aptos Narrow"/>
      <family val="2"/>
    </font>
    <font>
      <sz val="11"/>
      <color rgb="FF3C4043"/>
      <name val="Calibri"/>
      <family val="2"/>
    </font>
    <font>
      <i/>
      <sz val="11"/>
      <color rgb="FF000000"/>
      <name val="Calibri"/>
      <family val="2"/>
    </font>
    <font>
      <b/>
      <u/>
      <sz val="10"/>
      <color theme="1"/>
      <name val="Arial"/>
      <family val="2"/>
    </font>
    <font>
      <sz val="10"/>
      <color rgb="FF0066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u/>
      <sz val="11"/>
      <color theme="0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0"/>
      <name val="Aptos Narrow"/>
      <family val="2"/>
    </font>
    <font>
      <sz val="10"/>
      <color theme="0"/>
      <name val="Aptos Narrow"/>
      <family val="2"/>
    </font>
    <font>
      <i/>
      <sz val="8"/>
      <color rgb="FF0000FF"/>
      <name val="Aptos Narrow"/>
      <family val="2"/>
    </font>
    <font>
      <b/>
      <u/>
      <sz val="11"/>
      <color theme="0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sz val="11"/>
      <color rgb="FF000000"/>
      <name val="Aptos Narrow"/>
      <family val="2"/>
    </font>
    <font>
      <sz val="9"/>
      <color theme="0"/>
      <name val="Aptos Narrow"/>
      <family val="2"/>
    </font>
    <font>
      <b/>
      <u/>
      <sz val="11"/>
      <color theme="0"/>
      <name val="Aptos Narrow"/>
      <family val="2"/>
    </font>
    <font>
      <sz val="11"/>
      <color rgb="FF3C4043"/>
      <name val="Docs-Calibri"/>
    </font>
    <font>
      <i/>
      <sz val="11"/>
      <color theme="1"/>
      <name val="Aptos Narrow"/>
      <family val="2"/>
    </font>
    <font>
      <sz val="11"/>
      <name val="Aptos Narrow"/>
      <family val="2"/>
      <scheme val="minor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</font>
    <font>
      <b/>
      <sz val="11"/>
      <color theme="0"/>
      <name val="Aptos Narrow"/>
      <family val="2"/>
    </font>
    <font>
      <b/>
      <i/>
      <sz val="11"/>
      <color theme="1"/>
      <name val="Aptos Narrow"/>
      <family val="2"/>
    </font>
    <font>
      <b/>
      <sz val="11"/>
      <color rgb="FF0066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3333FF"/>
      <name val="Aptos Narrow"/>
      <family val="2"/>
    </font>
    <font>
      <i/>
      <sz val="11"/>
      <name val="Aptos Narrow"/>
      <family val="2"/>
    </font>
    <font>
      <sz val="11"/>
      <color rgb="FF3333FF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CC"/>
        <bgColor rgb="FFFFFFCC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EFF6F9"/>
        <bgColor rgb="FFEFF6F9"/>
      </patternFill>
    </fill>
    <fill>
      <patternFill patternType="solid">
        <fgColor theme="4"/>
        <bgColor theme="4"/>
      </patternFill>
    </fill>
    <fill>
      <patternFill patternType="solid">
        <fgColor rgb="FFE7E7E7"/>
        <bgColor rgb="FFE7E7E7"/>
      </patternFill>
    </fill>
    <fill>
      <patternFill patternType="solid">
        <fgColor rgb="FFCAE7E0"/>
        <bgColor rgb="FFCAE7E0"/>
      </patternFill>
    </fill>
    <fill>
      <patternFill patternType="solid">
        <fgColor rgb="FF96C4D7"/>
        <bgColor rgb="FF96C4D7"/>
      </patternFill>
    </fill>
    <fill>
      <patternFill patternType="solid">
        <fgColor theme="8"/>
        <bgColor theme="8"/>
      </patternFill>
    </fill>
    <fill>
      <patternFill patternType="solid">
        <fgColor rgb="FFE4F3EF"/>
        <bgColor rgb="FFE4F3E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1F4E79"/>
        <bgColor rgb="FF1F4E79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D0E9EA"/>
        <bgColor rgb="FFD0E9EA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rgb="FFEFF6F9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dotted">
        <color rgb="FFFF0000"/>
      </right>
      <top style="thin">
        <color theme="5"/>
      </top>
      <bottom style="thin">
        <color theme="5"/>
      </bottom>
      <diagonal/>
    </border>
    <border>
      <left/>
      <right style="dotted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5"/>
      </bottom>
      <diagonal/>
    </border>
    <border>
      <left/>
      <right style="dotted">
        <color rgb="FFFF0000"/>
      </right>
      <top/>
      <bottom/>
      <diagonal/>
    </border>
    <border>
      <left/>
      <right style="dotted">
        <color rgb="FFFF0000"/>
      </right>
      <top style="thin">
        <color rgb="FF7F7F7F"/>
      </top>
      <bottom style="thin">
        <color rgb="FF7F7F7F"/>
      </bottom>
      <diagonal/>
    </border>
    <border>
      <left/>
      <right style="dotted">
        <color rgb="FFFF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E4F3EF"/>
      </top>
      <bottom style="thin">
        <color rgb="FFE4F3EF"/>
      </bottom>
      <diagonal/>
    </border>
    <border>
      <left/>
      <right/>
      <top style="thin">
        <color rgb="FFD3EAEC"/>
      </top>
      <bottom style="thin">
        <color rgb="FFD3EAE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left"/>
    </xf>
    <xf numFmtId="164" fontId="5" fillId="3" borderId="1" xfId="0" applyNumberFormat="1" applyFont="1" applyFill="1" applyBorder="1"/>
    <xf numFmtId="165" fontId="3" fillId="0" borderId="0" xfId="0" applyNumberFormat="1" applyFont="1"/>
    <xf numFmtId="167" fontId="5" fillId="3" borderId="1" xfId="0" applyNumberFormat="1" applyFont="1" applyFill="1" applyBorder="1"/>
    <xf numFmtId="166" fontId="5" fillId="3" borderId="1" xfId="0" applyNumberFormat="1" applyFont="1" applyFill="1" applyBorder="1"/>
    <xf numFmtId="168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9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/>
    <xf numFmtId="0" fontId="9" fillId="4" borderId="1" xfId="0" applyFont="1" applyFill="1" applyBorder="1" applyAlignment="1">
      <alignment horizontal="center"/>
    </xf>
    <xf numFmtId="0" fontId="12" fillId="0" borderId="0" xfId="0" applyFont="1"/>
    <xf numFmtId="168" fontId="14" fillId="4" borderId="1" xfId="0" applyNumberFormat="1" applyFont="1" applyFill="1" applyBorder="1" applyAlignment="1">
      <alignment horizontal="center"/>
    </xf>
    <xf numFmtId="0" fontId="15" fillId="4" borderId="1" xfId="0" quotePrefix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64" fontId="3" fillId="0" borderId="0" xfId="0" applyNumberFormat="1" applyFont="1"/>
    <xf numFmtId="164" fontId="5" fillId="0" borderId="0" xfId="0" applyNumberFormat="1" applyFont="1" applyAlignment="1">
      <alignment horizontal="center"/>
    </xf>
    <xf numFmtId="164" fontId="8" fillId="0" borderId="0" xfId="0" applyNumberFormat="1" applyFont="1"/>
    <xf numFmtId="166" fontId="5" fillId="0" borderId="0" xfId="0" applyNumberFormat="1" applyFont="1" applyAlignment="1">
      <alignment horizontal="center"/>
    </xf>
    <xf numFmtId="166" fontId="8" fillId="0" borderId="0" xfId="0" applyNumberFormat="1" applyFont="1"/>
    <xf numFmtId="166" fontId="3" fillId="0" borderId="0" xfId="0" applyNumberFormat="1" applyFont="1" applyAlignment="1">
      <alignment horizontal="center"/>
    </xf>
    <xf numFmtId="0" fontId="18" fillId="0" borderId="0" xfId="0" applyFont="1"/>
    <xf numFmtId="0" fontId="19" fillId="0" borderId="2" xfId="0" applyFont="1" applyBorder="1"/>
    <xf numFmtId="0" fontId="20" fillId="0" borderId="0" xfId="0" applyFont="1"/>
    <xf numFmtId="0" fontId="21" fillId="0" borderId="0" xfId="0" applyFont="1"/>
    <xf numFmtId="10" fontId="22" fillId="3" borderId="6" xfId="0" applyNumberFormat="1" applyFont="1" applyFill="1" applyBorder="1"/>
    <xf numFmtId="0" fontId="23" fillId="0" borderId="0" xfId="0" applyFont="1" applyAlignment="1">
      <alignment horizontal="left"/>
    </xf>
    <xf numFmtId="166" fontId="5" fillId="3" borderId="6" xfId="0" applyNumberFormat="1" applyFont="1" applyFill="1" applyBorder="1" applyAlignment="1">
      <alignment horizontal="right"/>
    </xf>
    <xf numFmtId="0" fontId="24" fillId="4" borderId="1" xfId="0" applyFont="1" applyFill="1" applyBorder="1" applyAlignment="1">
      <alignment horizontal="left" vertical="top"/>
    </xf>
    <xf numFmtId="0" fontId="25" fillId="4" borderId="1" xfId="0" applyFont="1" applyFill="1" applyBorder="1" applyAlignment="1">
      <alignment horizontal="center" wrapText="1"/>
    </xf>
    <xf numFmtId="0" fontId="8" fillId="5" borderId="7" xfId="0" applyFont="1" applyFill="1" applyBorder="1" applyAlignment="1">
      <alignment horizontal="left"/>
    </xf>
    <xf numFmtId="5" fontId="8" fillId="5" borderId="7" xfId="0" applyNumberFormat="1" applyFont="1" applyFill="1" applyBorder="1"/>
    <xf numFmtId="0" fontId="26" fillId="0" borderId="0" xfId="0" applyFont="1"/>
    <xf numFmtId="166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166" fontId="3" fillId="6" borderId="1" xfId="0" applyNumberFormat="1" applyFont="1" applyFill="1" applyBorder="1"/>
    <xf numFmtId="166" fontId="22" fillId="0" borderId="0" xfId="0" applyNumberFormat="1" applyFont="1"/>
    <xf numFmtId="0" fontId="8" fillId="7" borderId="8" xfId="0" applyFont="1" applyFill="1" applyBorder="1"/>
    <xf numFmtId="166" fontId="28" fillId="3" borderId="8" xfId="0" applyNumberFormat="1" applyFont="1" applyFill="1" applyBorder="1" applyAlignment="1">
      <alignment horizontal="right"/>
    </xf>
    <xf numFmtId="166" fontId="8" fillId="8" borderId="8" xfId="0" applyNumberFormat="1" applyFont="1" applyFill="1" applyBorder="1" applyAlignment="1">
      <alignment horizontal="right"/>
    </xf>
    <xf numFmtId="0" fontId="2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0" fillId="0" borderId="0" xfId="0" quotePrefix="1" applyFont="1"/>
    <xf numFmtId="166" fontId="8" fillId="0" borderId="0" xfId="0" applyNumberFormat="1" applyFont="1" applyAlignment="1">
      <alignment horizontal="right"/>
    </xf>
    <xf numFmtId="0" fontId="26" fillId="0" borderId="9" xfId="0" applyFont="1" applyBorder="1" applyAlignment="1">
      <alignment horizontal="left"/>
    </xf>
    <xf numFmtId="171" fontId="3" fillId="0" borderId="9" xfId="0" applyNumberFormat="1" applyFont="1" applyBorder="1"/>
    <xf numFmtId="0" fontId="26" fillId="0" borderId="0" xfId="0" applyFont="1" applyAlignment="1">
      <alignment horizontal="left"/>
    </xf>
    <xf numFmtId="171" fontId="3" fillId="0" borderId="0" xfId="0" applyNumberFormat="1" applyFont="1"/>
    <xf numFmtId="0" fontId="8" fillId="9" borderId="7" xfId="0" applyFont="1" applyFill="1" applyBorder="1" applyAlignment="1">
      <alignment horizontal="left"/>
    </xf>
    <xf numFmtId="5" fontId="8" fillId="9" borderId="7" xfId="0" applyNumberFormat="1" applyFont="1" applyFill="1" applyBorder="1"/>
    <xf numFmtId="172" fontId="3" fillId="0" borderId="0" xfId="0" applyNumberFormat="1" applyFont="1" applyAlignment="1">
      <alignment horizontal="right"/>
    </xf>
    <xf numFmtId="173" fontId="8" fillId="0" borderId="0" xfId="0" applyNumberFormat="1" applyFont="1" applyAlignment="1">
      <alignment horizontal="right" vertical="top"/>
    </xf>
    <xf numFmtId="171" fontId="8" fillId="0" borderId="0" xfId="0" applyNumberFormat="1" applyFont="1" applyAlignment="1">
      <alignment horizontal="right" vertical="top"/>
    </xf>
    <xf numFmtId="9" fontId="3" fillId="0" borderId="0" xfId="0" applyNumberFormat="1" applyFont="1"/>
    <xf numFmtId="0" fontId="31" fillId="0" borderId="0" xfId="0" applyFont="1"/>
    <xf numFmtId="168" fontId="3" fillId="0" borderId="0" xfId="0" applyNumberFormat="1" applyFont="1"/>
    <xf numFmtId="167" fontId="8" fillId="0" borderId="0" xfId="0" applyNumberFormat="1" applyFont="1"/>
    <xf numFmtId="168" fontId="3" fillId="0" borderId="0" xfId="0" applyNumberFormat="1" applyFont="1" applyAlignment="1">
      <alignment horizontal="left"/>
    </xf>
    <xf numFmtId="0" fontId="3" fillId="6" borderId="1" xfId="0" applyFont="1" applyFill="1" applyBorder="1"/>
    <xf numFmtId="167" fontId="3" fillId="0" borderId="0" xfId="0" applyNumberFormat="1" applyFont="1"/>
    <xf numFmtId="0" fontId="22" fillId="3" borderId="1" xfId="0" applyFont="1" applyFill="1" applyBorder="1"/>
    <xf numFmtId="0" fontId="19" fillId="0" borderId="0" xfId="0" applyFont="1"/>
    <xf numFmtId="0" fontId="22" fillId="0" borderId="0" xfId="0" applyFont="1"/>
    <xf numFmtId="0" fontId="21" fillId="0" borderId="2" xfId="0" applyFont="1" applyBorder="1"/>
    <xf numFmtId="0" fontId="33" fillId="2" borderId="1" xfId="0" applyFont="1" applyFill="1" applyBorder="1" applyAlignment="1">
      <alignment horizontal="center"/>
    </xf>
    <xf numFmtId="168" fontId="34" fillId="2" borderId="1" xfId="0" applyNumberFormat="1" applyFont="1" applyFill="1" applyBorder="1" applyAlignment="1">
      <alignment horizontal="center"/>
    </xf>
    <xf numFmtId="0" fontId="8" fillId="7" borderId="10" xfId="0" applyFont="1" applyFill="1" applyBorder="1" applyAlignment="1">
      <alignment horizontal="left"/>
    </xf>
    <xf numFmtId="164" fontId="35" fillId="7" borderId="10" xfId="0" applyNumberFormat="1" applyFont="1" applyFill="1" applyBorder="1"/>
    <xf numFmtId="164" fontId="28" fillId="7" borderId="10" xfId="0" applyNumberFormat="1" applyFont="1" applyFill="1" applyBorder="1" applyAlignment="1">
      <alignment horizontal="right"/>
    </xf>
    <xf numFmtId="164" fontId="35" fillId="0" borderId="0" xfId="0" applyNumberFormat="1" applyFont="1" applyAlignment="1">
      <alignment horizontal="center"/>
    </xf>
    <xf numFmtId="164" fontId="8" fillId="7" borderId="10" xfId="0" applyNumberFormat="1" applyFont="1" applyFill="1" applyBorder="1"/>
    <xf numFmtId="164" fontId="8" fillId="7" borderId="11" xfId="0" applyNumberFormat="1" applyFont="1" applyFill="1" applyBorder="1"/>
    <xf numFmtId="166" fontId="26" fillId="6" borderId="1" xfId="0" applyNumberFormat="1" applyFont="1" applyFill="1" applyBorder="1"/>
    <xf numFmtId="166" fontId="26" fillId="0" borderId="0" xfId="0" applyNumberFormat="1" applyFont="1"/>
    <xf numFmtId="164" fontId="5" fillId="0" borderId="0" xfId="0" applyNumberFormat="1" applyFont="1"/>
    <xf numFmtId="164" fontId="5" fillId="0" borderId="12" xfId="0" applyNumberFormat="1" applyFont="1" applyBorder="1"/>
    <xf numFmtId="166" fontId="5" fillId="0" borderId="0" xfId="0" applyNumberFormat="1" applyFont="1"/>
    <xf numFmtId="164" fontId="36" fillId="0" borderId="0" xfId="0" applyNumberFormat="1" applyFont="1"/>
    <xf numFmtId="9" fontId="36" fillId="0" borderId="0" xfId="0" applyNumberFormat="1" applyFont="1"/>
    <xf numFmtId="164" fontId="36" fillId="0" borderId="0" xfId="0" applyNumberFormat="1" applyFont="1" applyAlignment="1">
      <alignment horizontal="center"/>
    </xf>
    <xf numFmtId="9" fontId="26" fillId="0" borderId="0" xfId="0" applyNumberFormat="1" applyFont="1"/>
    <xf numFmtId="9" fontId="26" fillId="0" borderId="12" xfId="0" applyNumberFormat="1" applyFont="1" applyBorder="1"/>
    <xf numFmtId="166" fontId="36" fillId="0" borderId="0" xfId="0" applyNumberFormat="1" applyFont="1"/>
    <xf numFmtId="9" fontId="37" fillId="3" borderId="13" xfId="0" applyNumberFormat="1" applyFont="1" applyFill="1" applyBorder="1"/>
    <xf numFmtId="164" fontId="35" fillId="7" borderId="10" xfId="0" applyNumberFormat="1" applyFont="1" applyFill="1" applyBorder="1" applyAlignment="1">
      <alignment horizontal="right"/>
    </xf>
    <xf numFmtId="173" fontId="37" fillId="3" borderId="13" xfId="0" applyNumberFormat="1" applyFont="1" applyFill="1" applyBorder="1"/>
    <xf numFmtId="164" fontId="3" fillId="0" borderId="12" xfId="0" applyNumberFormat="1" applyFont="1" applyBorder="1"/>
    <xf numFmtId="164" fontId="22" fillId="3" borderId="13" xfId="0" applyNumberFormat="1" applyFont="1" applyFill="1" applyBorder="1"/>
    <xf numFmtId="167" fontId="3" fillId="6" borderId="1" xfId="0" applyNumberFormat="1" applyFont="1" applyFill="1" applyBorder="1"/>
    <xf numFmtId="164" fontId="5" fillId="6" borderId="1" xfId="0" applyNumberFormat="1" applyFont="1" applyFill="1" applyBorder="1"/>
    <xf numFmtId="0" fontId="8" fillId="10" borderId="10" xfId="0" applyFont="1" applyFill="1" applyBorder="1" applyAlignment="1">
      <alignment horizontal="left"/>
    </xf>
    <xf numFmtId="164" fontId="35" fillId="10" borderId="10" xfId="0" applyNumberFormat="1" applyFont="1" applyFill="1" applyBorder="1"/>
    <xf numFmtId="164" fontId="8" fillId="10" borderId="10" xfId="0" applyNumberFormat="1" applyFont="1" applyFill="1" applyBorder="1"/>
    <xf numFmtId="164" fontId="8" fillId="10" borderId="11" xfId="0" applyNumberFormat="1" applyFont="1" applyFill="1" applyBorder="1"/>
    <xf numFmtId="164" fontId="8" fillId="10" borderId="14" xfId="0" applyNumberFormat="1" applyFont="1" applyFill="1" applyBorder="1"/>
    <xf numFmtId="9" fontId="26" fillId="0" borderId="0" xfId="0" applyNumberFormat="1" applyFont="1" applyAlignment="1">
      <alignment horizontal="left"/>
    </xf>
    <xf numFmtId="164" fontId="3" fillId="6" borderId="1" xfId="0" applyNumberFormat="1" applyFont="1" applyFill="1" applyBorder="1"/>
    <xf numFmtId="164" fontId="3" fillId="6" borderId="15" xfId="0" applyNumberFormat="1" applyFont="1" applyFill="1" applyBorder="1"/>
    <xf numFmtId="164" fontId="38" fillId="7" borderId="10" xfId="0" applyNumberFormat="1" applyFont="1" applyFill="1" applyBorder="1"/>
    <xf numFmtId="0" fontId="8" fillId="11" borderId="10" xfId="0" applyFont="1" applyFill="1" applyBorder="1" applyAlignment="1">
      <alignment horizontal="left"/>
    </xf>
    <xf numFmtId="164" fontId="8" fillId="11" borderId="10" xfId="0" applyNumberFormat="1" applyFont="1" applyFill="1" applyBorder="1"/>
    <xf numFmtId="164" fontId="8" fillId="11" borderId="11" xfId="0" applyNumberFormat="1" applyFont="1" applyFill="1" applyBorder="1"/>
    <xf numFmtId="164" fontId="35" fillId="11" borderId="10" xfId="0" applyNumberFormat="1" applyFont="1" applyFill="1" applyBorder="1"/>
    <xf numFmtId="167" fontId="8" fillId="11" borderId="10" xfId="0" applyNumberFormat="1" applyFont="1" applyFill="1" applyBorder="1"/>
    <xf numFmtId="164" fontId="3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74" fontId="22" fillId="6" borderId="1" xfId="0" applyNumberFormat="1" applyFont="1" applyFill="1" applyBorder="1"/>
    <xf numFmtId="164" fontId="40" fillId="0" borderId="0" xfId="0" applyNumberFormat="1" applyFont="1"/>
    <xf numFmtId="164" fontId="22" fillId="0" borderId="0" xfId="0" applyNumberFormat="1" applyFont="1"/>
    <xf numFmtId="0" fontId="19" fillId="0" borderId="0" xfId="0" quotePrefix="1" applyFont="1"/>
    <xf numFmtId="167" fontId="22" fillId="0" borderId="0" xfId="0" applyNumberFormat="1" applyFont="1"/>
    <xf numFmtId="0" fontId="8" fillId="6" borderId="7" xfId="0" applyFont="1" applyFill="1" applyBorder="1" applyAlignment="1">
      <alignment horizontal="left"/>
    </xf>
    <xf numFmtId="166" fontId="8" fillId="6" borderId="7" xfId="0" applyNumberFormat="1" applyFont="1" applyFill="1" applyBorder="1"/>
    <xf numFmtId="166" fontId="8" fillId="0" borderId="0" xfId="0" applyNumberFormat="1" applyFont="1" applyAlignment="1">
      <alignment horizontal="center"/>
    </xf>
    <xf numFmtId="166" fontId="8" fillId="6" borderId="16" xfId="0" applyNumberFormat="1" applyFont="1" applyFill="1" applyBorder="1"/>
    <xf numFmtId="164" fontId="8" fillId="6" borderId="7" xfId="0" applyNumberFormat="1" applyFont="1" applyFill="1" applyBorder="1"/>
    <xf numFmtId="167" fontId="22" fillId="6" borderId="1" xfId="0" applyNumberFormat="1" applyFont="1" applyFill="1" applyBorder="1"/>
    <xf numFmtId="0" fontId="8" fillId="0" borderId="2" xfId="0" applyFont="1" applyBorder="1"/>
    <xf numFmtId="164" fontId="8" fillId="0" borderId="2" xfId="0" applyNumberFormat="1" applyFont="1" applyBorder="1"/>
    <xf numFmtId="164" fontId="8" fillId="0" borderId="0" xfId="0" applyNumberFormat="1" applyFont="1" applyAlignment="1">
      <alignment horizontal="center"/>
    </xf>
    <xf numFmtId="164" fontId="8" fillId="0" borderId="17" xfId="0" applyNumberFormat="1" applyFont="1" applyBorder="1"/>
    <xf numFmtId="167" fontId="8" fillId="0" borderId="2" xfId="0" applyNumberFormat="1" applyFont="1" applyBorder="1"/>
    <xf numFmtId="167" fontId="8" fillId="6" borderId="7" xfId="0" applyNumberFormat="1" applyFont="1" applyFill="1" applyBorder="1"/>
    <xf numFmtId="165" fontId="40" fillId="0" borderId="0" xfId="0" applyNumberFormat="1" applyFont="1"/>
    <xf numFmtId="166" fontId="8" fillId="0" borderId="2" xfId="0" applyNumberFormat="1" applyFont="1" applyBorder="1"/>
    <xf numFmtId="166" fontId="8" fillId="0" borderId="17" xfId="0" applyNumberFormat="1" applyFont="1" applyBorder="1"/>
    <xf numFmtId="166" fontId="19" fillId="0" borderId="0" xfId="0" applyNumberFormat="1" applyFont="1"/>
    <xf numFmtId="166" fontId="40" fillId="0" borderId="0" xfId="0" applyNumberFormat="1" applyFont="1"/>
    <xf numFmtId="166" fontId="3" fillId="0" borderId="12" xfId="0" applyNumberFormat="1" applyFont="1" applyBorder="1"/>
    <xf numFmtId="0" fontId="3" fillId="0" borderId="12" xfId="0" applyFont="1" applyBorder="1"/>
    <xf numFmtId="164" fontId="3" fillId="0" borderId="0" xfId="0" applyNumberFormat="1" applyFont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0" fontId="41" fillId="0" borderId="0" xfId="0" applyFont="1"/>
    <xf numFmtId="166" fontId="8" fillId="7" borderId="10" xfId="0" applyNumberFormat="1" applyFont="1" applyFill="1" applyBorder="1"/>
    <xf numFmtId="166" fontId="8" fillId="7" borderId="11" xfId="0" applyNumberFormat="1" applyFont="1" applyFill="1" applyBorder="1"/>
    <xf numFmtId="167" fontId="8" fillId="7" borderId="10" xfId="0" applyNumberFormat="1" applyFont="1" applyFill="1" applyBorder="1"/>
    <xf numFmtId="0" fontId="42" fillId="4" borderId="1" xfId="0" applyFont="1" applyFill="1" applyBorder="1" applyAlignment="1">
      <alignment horizontal="left" vertical="top"/>
    </xf>
    <xf numFmtId="0" fontId="43" fillId="2" borderId="1" xfId="0" applyFont="1" applyFill="1" applyBorder="1" applyAlignment="1">
      <alignment horizontal="center" wrapText="1"/>
    </xf>
    <xf numFmtId="164" fontId="22" fillId="6" borderId="1" xfId="0" applyNumberFormat="1" applyFont="1" applyFill="1" applyBorder="1"/>
    <xf numFmtId="0" fontId="26" fillId="6" borderId="1" xfId="0" applyFont="1" applyFill="1" applyBorder="1"/>
    <xf numFmtId="0" fontId="8" fillId="0" borderId="2" xfId="0" applyFont="1" applyBorder="1" applyAlignment="1">
      <alignment horizontal="left"/>
    </xf>
    <xf numFmtId="164" fontId="8" fillId="6" borderId="18" xfId="0" applyNumberFormat="1" applyFont="1" applyFill="1" applyBorder="1"/>
    <xf numFmtId="0" fontId="8" fillId="6" borderId="1" xfId="0" applyFont="1" applyFill="1" applyBorder="1"/>
    <xf numFmtId="164" fontId="35" fillId="0" borderId="0" xfId="0" applyNumberFormat="1" applyFont="1"/>
    <xf numFmtId="164" fontId="44" fillId="0" borderId="0" xfId="0" applyNumberFormat="1" applyFont="1"/>
    <xf numFmtId="166" fontId="5" fillId="6" borderId="1" xfId="0" applyNumberFormat="1" applyFont="1" applyFill="1" applyBorder="1"/>
    <xf numFmtId="166" fontId="8" fillId="6" borderId="18" xfId="0" applyNumberFormat="1" applyFont="1" applyFill="1" applyBorder="1"/>
    <xf numFmtId="165" fontId="3" fillId="6" borderId="1" xfId="0" applyNumberFormat="1" applyFont="1" applyFill="1" applyBorder="1"/>
    <xf numFmtId="165" fontId="8" fillId="6" borderId="18" xfId="0" applyNumberFormat="1" applyFont="1" applyFill="1" applyBorder="1"/>
    <xf numFmtId="165" fontId="8" fillId="0" borderId="2" xfId="0" applyNumberFormat="1" applyFont="1" applyBorder="1"/>
    <xf numFmtId="0" fontId="45" fillId="12" borderId="1" xfId="0" applyFont="1" applyFill="1" applyBorder="1"/>
    <xf numFmtId="164" fontId="46" fillId="12" borderId="1" xfId="0" applyNumberFormat="1" applyFont="1" applyFill="1" applyBorder="1"/>
    <xf numFmtId="164" fontId="48" fillId="12" borderId="1" xfId="0" applyNumberFormat="1" applyFont="1" applyFill="1" applyBorder="1" applyAlignment="1">
      <alignment horizontal="center"/>
    </xf>
    <xf numFmtId="164" fontId="49" fillId="12" borderId="1" xfId="0" applyNumberFormat="1" applyFont="1" applyFill="1" applyBorder="1" applyAlignment="1">
      <alignment horizontal="center"/>
    </xf>
    <xf numFmtId="164" fontId="50" fillId="0" borderId="0" xfId="0" applyNumberFormat="1" applyFont="1" applyAlignment="1">
      <alignment horizontal="center"/>
    </xf>
    <xf numFmtId="164" fontId="51" fillId="0" borderId="0" xfId="0" applyNumberFormat="1" applyFont="1" applyAlignment="1">
      <alignment horizontal="center"/>
    </xf>
    <xf numFmtId="167" fontId="5" fillId="6" borderId="1" xfId="0" applyNumberFormat="1" applyFont="1" applyFill="1" applyBorder="1"/>
    <xf numFmtId="164" fontId="36" fillId="6" borderId="1" xfId="0" applyNumberFormat="1" applyFont="1" applyFill="1" applyBorder="1"/>
    <xf numFmtId="167" fontId="5" fillId="0" borderId="0" xfId="0" applyNumberFormat="1" applyFont="1"/>
    <xf numFmtId="164" fontId="52" fillId="0" borderId="0" xfId="0" applyNumberFormat="1" applyFont="1"/>
    <xf numFmtId="165" fontId="5" fillId="0" borderId="0" xfId="0" applyNumberFormat="1" applyFont="1"/>
    <xf numFmtId="0" fontId="8" fillId="13" borderId="10" xfId="0" applyFont="1" applyFill="1" applyBorder="1"/>
    <xf numFmtId="164" fontId="8" fillId="13" borderId="10" xfId="0" applyNumberFormat="1" applyFont="1" applyFill="1" applyBorder="1"/>
    <xf numFmtId="167" fontId="8" fillId="13" borderId="10" xfId="0" applyNumberFormat="1" applyFont="1" applyFill="1" applyBorder="1"/>
    <xf numFmtId="0" fontId="46" fillId="12" borderId="19" xfId="0" applyFont="1" applyFill="1" applyBorder="1"/>
    <xf numFmtId="164" fontId="46" fillId="12" borderId="19" xfId="0" applyNumberFormat="1" applyFont="1" applyFill="1" applyBorder="1"/>
    <xf numFmtId="164" fontId="53" fillId="12" borderId="19" xfId="0" applyNumberFormat="1" applyFont="1" applyFill="1" applyBorder="1"/>
    <xf numFmtId="0" fontId="54" fillId="2" borderId="1" xfId="0" applyFont="1" applyFill="1" applyBorder="1"/>
    <xf numFmtId="164" fontId="46" fillId="2" borderId="1" xfId="0" applyNumberFormat="1" applyFont="1" applyFill="1" applyBorder="1"/>
    <xf numFmtId="164" fontId="56" fillId="2" borderId="1" xfId="0" applyNumberFormat="1" applyFont="1" applyFill="1" applyBorder="1" applyAlignment="1">
      <alignment horizontal="center"/>
    </xf>
    <xf numFmtId="164" fontId="57" fillId="2" borderId="1" xfId="0" applyNumberFormat="1" applyFont="1" applyFill="1" applyBorder="1" applyAlignment="1">
      <alignment horizontal="center"/>
    </xf>
    <xf numFmtId="164" fontId="26" fillId="0" borderId="0" xfId="0" applyNumberFormat="1" applyFont="1"/>
    <xf numFmtId="165" fontId="5" fillId="6" borderId="1" xfId="0" applyNumberFormat="1" applyFont="1" applyFill="1" applyBorder="1"/>
    <xf numFmtId="0" fontId="8" fillId="7" borderId="10" xfId="0" applyFont="1" applyFill="1" applyBorder="1"/>
    <xf numFmtId="0" fontId="58" fillId="0" borderId="0" xfId="0" applyFont="1"/>
    <xf numFmtId="165" fontId="26" fillId="0" borderId="0" xfId="0" applyNumberFormat="1" applyFont="1"/>
    <xf numFmtId="175" fontId="3" fillId="0" borderId="0" xfId="0" applyNumberFormat="1" applyFont="1"/>
    <xf numFmtId="0" fontId="46" fillId="2" borderId="20" xfId="0" applyFont="1" applyFill="1" applyBorder="1"/>
    <xf numFmtId="166" fontId="46" fillId="2" borderId="20" xfId="0" applyNumberFormat="1" applyFont="1" applyFill="1" applyBorder="1"/>
    <xf numFmtId="164" fontId="53" fillId="2" borderId="20" xfId="0" applyNumberFormat="1" applyFont="1" applyFill="1" applyBorder="1"/>
    <xf numFmtId="164" fontId="3" fillId="6" borderId="18" xfId="0" applyNumberFormat="1" applyFont="1" applyFill="1" applyBorder="1"/>
    <xf numFmtId="164" fontId="28" fillId="3" borderId="18" xfId="0" applyNumberFormat="1" applyFont="1" applyFill="1" applyBorder="1"/>
    <xf numFmtId="167" fontId="22" fillId="3" borderId="1" xfId="0" applyNumberFormat="1" applyFont="1" applyFill="1" applyBorder="1"/>
    <xf numFmtId="164" fontId="52" fillId="0" borderId="0" xfId="0" quotePrefix="1" applyNumberFormat="1" applyFont="1"/>
    <xf numFmtId="165" fontId="22" fillId="3" borderId="1" xfId="0" applyNumberFormat="1" applyFont="1" applyFill="1" applyBorder="1"/>
    <xf numFmtId="165" fontId="5" fillId="3" borderId="1" xfId="0" applyNumberFormat="1" applyFont="1" applyFill="1" applyBorder="1"/>
    <xf numFmtId="168" fontId="6" fillId="0" borderId="0" xfId="0" applyNumberFormat="1" applyFont="1"/>
    <xf numFmtId="0" fontId="59" fillId="0" borderId="0" xfId="0" applyFont="1"/>
    <xf numFmtId="0" fontId="60" fillId="0" borderId="2" xfId="0" applyFont="1" applyBorder="1"/>
    <xf numFmtId="0" fontId="59" fillId="0" borderId="2" xfId="0" applyFont="1" applyBorder="1"/>
    <xf numFmtId="165" fontId="59" fillId="0" borderId="2" xfId="0" applyNumberFormat="1" applyFont="1" applyBorder="1"/>
    <xf numFmtId="0" fontId="60" fillId="0" borderId="0" xfId="0" applyFont="1"/>
    <xf numFmtId="0" fontId="61" fillId="4" borderId="1" xfId="0" applyFont="1" applyFill="1" applyBorder="1" applyAlignment="1">
      <alignment horizontal="center"/>
    </xf>
    <xf numFmtId="165" fontId="62" fillId="4" borderId="1" xfId="0" applyNumberFormat="1" applyFont="1" applyFill="1" applyBorder="1" applyAlignment="1">
      <alignment horizontal="center"/>
    </xf>
    <xf numFmtId="0" fontId="6" fillId="0" borderId="0" xfId="0" applyFont="1"/>
    <xf numFmtId="170" fontId="36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0" fontId="37" fillId="0" borderId="0" xfId="0" applyFont="1"/>
    <xf numFmtId="169" fontId="3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3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65" fillId="12" borderId="1" xfId="0" applyFont="1" applyFill="1" applyBorder="1" applyAlignment="1">
      <alignment horizontal="center"/>
    </xf>
    <xf numFmtId="0" fontId="3" fillId="14" borderId="1" xfId="0" applyFont="1" applyFill="1" applyBorder="1"/>
    <xf numFmtId="9" fontId="3" fillId="14" borderId="1" xfId="0" applyNumberFormat="1" applyFont="1" applyFill="1" applyBorder="1"/>
    <xf numFmtId="0" fontId="66" fillId="0" borderId="0" xfId="0" applyFont="1" applyAlignment="1">
      <alignment horizontal="center"/>
    </xf>
    <xf numFmtId="0" fontId="66" fillId="0" borderId="0" xfId="0" applyFont="1"/>
    <xf numFmtId="0" fontId="67" fillId="0" borderId="0" xfId="0" applyFont="1" applyAlignment="1">
      <alignment horizontal="center"/>
    </xf>
    <xf numFmtId="0" fontId="68" fillId="0" borderId="0" xfId="0" applyFont="1"/>
    <xf numFmtId="0" fontId="66" fillId="15" borderId="21" xfId="0" applyFont="1" applyFill="1" applyBorder="1" applyAlignment="1">
      <alignment horizontal="center"/>
    </xf>
    <xf numFmtId="0" fontId="66" fillId="15" borderId="18" xfId="0" applyFont="1" applyFill="1" applyBorder="1" applyAlignment="1">
      <alignment horizontal="center"/>
    </xf>
    <xf numFmtId="0" fontId="66" fillId="15" borderId="18" xfId="0" applyFont="1" applyFill="1" applyBorder="1"/>
    <xf numFmtId="0" fontId="66" fillId="15" borderId="22" xfId="0" applyFont="1" applyFill="1" applyBorder="1" applyAlignment="1">
      <alignment horizontal="center"/>
    </xf>
    <xf numFmtId="0" fontId="67" fillId="0" borderId="0" xfId="0" applyFont="1"/>
    <xf numFmtId="0" fontId="67" fillId="0" borderId="23" xfId="0" applyFont="1" applyBorder="1"/>
    <xf numFmtId="176" fontId="67" fillId="0" borderId="0" xfId="0" applyNumberFormat="1" applyFont="1" applyAlignment="1">
      <alignment horizontal="center"/>
    </xf>
    <xf numFmtId="177" fontId="67" fillId="0" borderId="0" xfId="0" applyNumberFormat="1" applyFont="1" applyAlignment="1">
      <alignment horizontal="center"/>
    </xf>
    <xf numFmtId="176" fontId="66" fillId="16" borderId="1" xfId="0" applyNumberFormat="1" applyFont="1" applyFill="1" applyBorder="1" applyAlignment="1">
      <alignment horizontal="center"/>
    </xf>
    <xf numFmtId="0" fontId="67" fillId="0" borderId="24" xfId="0" applyFont="1" applyBorder="1" applyAlignment="1">
      <alignment horizontal="center"/>
    </xf>
    <xf numFmtId="177" fontId="66" fillId="16" borderId="1" xfId="0" applyNumberFormat="1" applyFont="1" applyFill="1" applyBorder="1" applyAlignment="1">
      <alignment horizontal="center"/>
    </xf>
    <xf numFmtId="0" fontId="67" fillId="0" borderId="25" xfId="0" applyFont="1" applyBorder="1"/>
    <xf numFmtId="176" fontId="67" fillId="0" borderId="26" xfId="0" applyNumberFormat="1" applyFont="1" applyBorder="1" applyAlignment="1">
      <alignment horizontal="center"/>
    </xf>
    <xf numFmtId="0" fontId="67" fillId="0" borderId="26" xfId="0" applyFont="1" applyBorder="1"/>
    <xf numFmtId="0" fontId="67" fillId="0" borderId="26" xfId="0" applyFont="1" applyBorder="1" applyAlignment="1">
      <alignment horizontal="center"/>
    </xf>
    <xf numFmtId="177" fontId="66" fillId="16" borderId="27" xfId="0" applyNumberFormat="1" applyFont="1" applyFill="1" applyBorder="1" applyAlignment="1">
      <alignment horizontal="center"/>
    </xf>
    <xf numFmtId="0" fontId="67" fillId="0" borderId="28" xfId="0" applyFont="1" applyBorder="1" applyAlignment="1">
      <alignment horizontal="center"/>
    </xf>
    <xf numFmtId="176" fontId="66" fillId="0" borderId="0" xfId="0" applyNumberFormat="1" applyFont="1" applyAlignment="1">
      <alignment horizontal="center"/>
    </xf>
    <xf numFmtId="0" fontId="67" fillId="0" borderId="0" xfId="0" applyFont="1" applyAlignment="1">
      <alignment horizontal="left"/>
    </xf>
    <xf numFmtId="0" fontId="67" fillId="0" borderId="29" xfId="0" applyFont="1" applyBorder="1"/>
    <xf numFmtId="0" fontId="67" fillId="0" borderId="30" xfId="0" applyFont="1" applyBorder="1" applyAlignment="1">
      <alignment horizontal="center"/>
    </xf>
    <xf numFmtId="0" fontId="67" fillId="0" borderId="31" xfId="0" applyFont="1" applyBorder="1" applyAlignment="1">
      <alignment horizontal="left"/>
    </xf>
    <xf numFmtId="177" fontId="67" fillId="0" borderId="32" xfId="0" applyNumberFormat="1" applyFont="1" applyBorder="1" applyAlignment="1">
      <alignment horizontal="center"/>
    </xf>
    <xf numFmtId="0" fontId="67" fillId="0" borderId="25" xfId="0" applyFont="1" applyBorder="1" applyAlignment="1">
      <alignment horizontal="left"/>
    </xf>
    <xf numFmtId="177" fontId="67" fillId="0" borderId="28" xfId="0" applyNumberFormat="1" applyFont="1" applyBorder="1" applyAlignment="1">
      <alignment horizontal="center"/>
    </xf>
    <xf numFmtId="0" fontId="67" fillId="0" borderId="31" xfId="0" applyFont="1" applyBorder="1"/>
    <xf numFmtId="177" fontId="66" fillId="16" borderId="22" xfId="0" applyNumberFormat="1" applyFont="1" applyFill="1" applyBorder="1" applyAlignment="1">
      <alignment horizontal="center"/>
    </xf>
    <xf numFmtId="177" fontId="66" fillId="16" borderId="33" xfId="0" applyNumberFormat="1" applyFont="1" applyFill="1" applyBorder="1" applyAlignment="1">
      <alignment horizontal="center"/>
    </xf>
    <xf numFmtId="37" fontId="3" fillId="0" borderId="0" xfId="0" applyNumberFormat="1" applyFont="1"/>
    <xf numFmtId="0" fontId="69" fillId="0" borderId="0" xfId="0" applyFont="1" applyAlignment="1">
      <alignment horizontal="center" wrapText="1"/>
    </xf>
    <xf numFmtId="0" fontId="70" fillId="0" borderId="0" xfId="0" applyFont="1" applyAlignment="1">
      <alignment wrapText="1"/>
    </xf>
    <xf numFmtId="0" fontId="71" fillId="0" borderId="0" xfId="0" applyFont="1" applyAlignment="1">
      <alignment wrapText="1"/>
    </xf>
    <xf numFmtId="0" fontId="70" fillId="17" borderId="1" xfId="0" applyFont="1" applyFill="1" applyBorder="1"/>
    <xf numFmtId="0" fontId="70" fillId="14" borderId="1" xfId="0" applyFont="1" applyFill="1" applyBorder="1" applyAlignment="1">
      <alignment wrapText="1"/>
    </xf>
    <xf numFmtId="0" fontId="71" fillId="14" borderId="1" xfId="0" applyFont="1" applyFill="1" applyBorder="1" applyAlignment="1">
      <alignment wrapText="1"/>
    </xf>
    <xf numFmtId="168" fontId="71" fillId="14" borderId="1" xfId="0" applyNumberFormat="1" applyFont="1" applyFill="1" applyBorder="1" applyAlignment="1">
      <alignment wrapText="1"/>
    </xf>
    <xf numFmtId="44" fontId="71" fillId="14" borderId="1" xfId="0" applyNumberFormat="1" applyFont="1" applyFill="1" applyBorder="1" applyAlignment="1">
      <alignment wrapText="1"/>
    </xf>
    <xf numFmtId="44" fontId="71" fillId="0" borderId="0" xfId="0" applyNumberFormat="1" applyFont="1" applyAlignment="1">
      <alignment wrapText="1"/>
    </xf>
    <xf numFmtId="44" fontId="71" fillId="18" borderId="1" xfId="0" quotePrefix="1" applyNumberFormat="1" applyFont="1" applyFill="1" applyBorder="1" applyAlignment="1">
      <alignment wrapText="1"/>
    </xf>
    <xf numFmtId="0" fontId="71" fillId="14" borderId="1" xfId="0" applyFont="1" applyFill="1" applyBorder="1" applyAlignment="1">
      <alignment horizontal="left" wrapText="1"/>
    </xf>
    <xf numFmtId="44" fontId="3" fillId="14" borderId="1" xfId="0" applyNumberFormat="1" applyFont="1" applyFill="1" applyBorder="1" applyAlignment="1">
      <alignment wrapText="1"/>
    </xf>
    <xf numFmtId="44" fontId="71" fillId="18" borderId="1" xfId="0" applyNumberFormat="1" applyFont="1" applyFill="1" applyBorder="1" applyAlignment="1">
      <alignment wrapText="1"/>
    </xf>
    <xf numFmtId="168" fontId="72" fillId="14" borderId="1" xfId="0" applyNumberFormat="1" applyFont="1" applyFill="1" applyBorder="1" applyAlignment="1">
      <alignment wrapText="1"/>
    </xf>
    <xf numFmtId="44" fontId="3" fillId="0" borderId="0" xfId="0" applyNumberFormat="1" applyFont="1" applyAlignment="1">
      <alignment wrapText="1"/>
    </xf>
    <xf numFmtId="37" fontId="70" fillId="0" borderId="0" xfId="0" applyNumberFormat="1" applyFont="1" applyAlignment="1">
      <alignment wrapText="1"/>
    </xf>
    <xf numFmtId="0" fontId="73" fillId="0" borderId="0" xfId="0" applyFont="1"/>
    <xf numFmtId="0" fontId="70" fillId="0" borderId="0" xfId="0" applyFont="1"/>
    <xf numFmtId="0" fontId="74" fillId="0" borderId="0" xfId="0" applyFont="1" applyAlignment="1">
      <alignment wrapText="1"/>
    </xf>
    <xf numFmtId="0" fontId="74" fillId="0" borderId="0" xfId="0" applyFont="1"/>
    <xf numFmtId="168" fontId="70" fillId="0" borderId="0" xfId="0" applyNumberFormat="1" applyFont="1" applyAlignment="1">
      <alignment wrapText="1"/>
    </xf>
    <xf numFmtId="14" fontId="3" fillId="0" borderId="0" xfId="0" applyNumberFormat="1" applyFont="1"/>
    <xf numFmtId="0" fontId="75" fillId="19" borderId="34" xfId="0" applyFont="1" applyFill="1" applyBorder="1" applyAlignment="1">
      <alignment horizontal="left"/>
    </xf>
    <xf numFmtId="0" fontId="75" fillId="19" borderId="35" xfId="0" applyFont="1" applyFill="1" applyBorder="1" applyAlignment="1">
      <alignment horizontal="center" wrapText="1"/>
    </xf>
    <xf numFmtId="0" fontId="75" fillId="19" borderId="36" xfId="0" applyFont="1" applyFill="1" applyBorder="1" applyAlignment="1">
      <alignment horizontal="center" wrapText="1"/>
    </xf>
    <xf numFmtId="0" fontId="76" fillId="19" borderId="37" xfId="0" applyFont="1" applyFill="1" applyBorder="1" applyAlignment="1">
      <alignment horizontal="center" wrapText="1"/>
    </xf>
    <xf numFmtId="0" fontId="76" fillId="19" borderId="38" xfId="0" applyFont="1" applyFill="1" applyBorder="1" applyAlignment="1">
      <alignment horizontal="center" wrapText="1"/>
    </xf>
    <xf numFmtId="17" fontId="77" fillId="20" borderId="39" xfId="0" applyNumberFormat="1" applyFont="1" applyFill="1" applyBorder="1" applyAlignment="1">
      <alignment horizontal="center" wrapText="1"/>
    </xf>
    <xf numFmtId="0" fontId="77" fillId="20" borderId="40" xfId="0" applyFont="1" applyFill="1" applyBorder="1" applyAlignment="1">
      <alignment horizontal="center" wrapText="1"/>
    </xf>
    <xf numFmtId="9" fontId="77" fillId="20" borderId="40" xfId="0" applyNumberFormat="1" applyFont="1" applyFill="1" applyBorder="1" applyAlignment="1">
      <alignment horizontal="center" wrapText="1"/>
    </xf>
    <xf numFmtId="0" fontId="78" fillId="20" borderId="40" xfId="0" applyFont="1" applyFill="1" applyBorder="1" applyAlignment="1">
      <alignment horizontal="center" wrapText="1"/>
    </xf>
    <xf numFmtId="0" fontId="79" fillId="20" borderId="40" xfId="0" applyFont="1" applyFill="1" applyBorder="1" applyAlignment="1">
      <alignment wrapText="1"/>
    </xf>
    <xf numFmtId="0" fontId="80" fillId="20" borderId="40" xfId="0" applyFont="1" applyFill="1" applyBorder="1" applyAlignment="1">
      <alignment horizontal="center" wrapText="1"/>
    </xf>
    <xf numFmtId="3" fontId="3" fillId="0" borderId="0" xfId="0" applyNumberFormat="1" applyFont="1"/>
    <xf numFmtId="9" fontId="8" fillId="0" borderId="2" xfId="0" applyNumberFormat="1" applyFont="1" applyBorder="1"/>
    <xf numFmtId="3" fontId="8" fillId="0" borderId="2" xfId="0" applyNumberFormat="1" applyFont="1" applyBorder="1"/>
    <xf numFmtId="0" fontId="81" fillId="0" borderId="0" xfId="0" applyFont="1"/>
    <xf numFmtId="14" fontId="81" fillId="0" borderId="0" xfId="0" applyNumberFormat="1" applyFont="1" applyAlignment="1">
      <alignment horizontal="left"/>
    </xf>
    <xf numFmtId="14" fontId="81" fillId="0" borderId="0" xfId="0" applyNumberFormat="1" applyFont="1" applyAlignment="1">
      <alignment horizontal="right"/>
    </xf>
    <xf numFmtId="0" fontId="82" fillId="0" borderId="0" xfId="0" applyFont="1"/>
    <xf numFmtId="176" fontId="82" fillId="0" borderId="0" xfId="0" applyNumberFormat="1" applyFont="1" applyAlignment="1">
      <alignment horizontal="left"/>
    </xf>
    <xf numFmtId="177" fontId="79" fillId="0" borderId="0" xfId="0" applyNumberFormat="1" applyFont="1"/>
    <xf numFmtId="14" fontId="79" fillId="0" borderId="0" xfId="0" applyNumberFormat="1" applyFont="1"/>
    <xf numFmtId="177" fontId="81" fillId="0" borderId="0" xfId="0" applyNumberFormat="1" applyFont="1" applyAlignment="1">
      <alignment horizontal="right"/>
    </xf>
    <xf numFmtId="0" fontId="83" fillId="21" borderId="1" xfId="0" applyFont="1" applyFill="1" applyBorder="1"/>
    <xf numFmtId="177" fontId="81" fillId="0" borderId="0" xfId="0" applyNumberFormat="1" applyFont="1"/>
    <xf numFmtId="0" fontId="81" fillId="0" borderId="0" xfId="0" applyFont="1" applyAlignment="1">
      <alignment horizontal="left"/>
    </xf>
    <xf numFmtId="177" fontId="67" fillId="0" borderId="0" xfId="0" applyNumberFormat="1" applyFont="1"/>
    <xf numFmtId="0" fontId="84" fillId="0" borderId="13" xfId="0" applyFont="1" applyBorder="1" applyAlignment="1">
      <alignment horizontal="center" vertical="center"/>
    </xf>
    <xf numFmtId="44" fontId="84" fillId="0" borderId="13" xfId="0" applyNumberFormat="1" applyFont="1" applyBorder="1" applyAlignment="1">
      <alignment horizontal="center" vertical="center"/>
    </xf>
    <xf numFmtId="178" fontId="84" fillId="0" borderId="13" xfId="0" applyNumberFormat="1" applyFont="1" applyBorder="1" applyAlignment="1">
      <alignment horizontal="center" vertical="center"/>
    </xf>
    <xf numFmtId="177" fontId="3" fillId="0" borderId="0" xfId="0" applyNumberFormat="1" applyFont="1"/>
    <xf numFmtId="0" fontId="3" fillId="0" borderId="0" xfId="0" applyFont="1" applyAlignment="1">
      <alignment horizontal="right"/>
    </xf>
    <xf numFmtId="0" fontId="85" fillId="22" borderId="41" xfId="0" applyFont="1" applyFill="1" applyBorder="1" applyAlignment="1">
      <alignment horizontal="left" vertical="center"/>
    </xf>
    <xf numFmtId="0" fontId="85" fillId="22" borderId="42" xfId="0" applyFont="1" applyFill="1" applyBorder="1" applyAlignment="1">
      <alignment horizontal="center" vertical="center"/>
    </xf>
    <xf numFmtId="0" fontId="85" fillId="22" borderId="42" xfId="0" applyFont="1" applyFill="1" applyBorder="1" applyAlignment="1">
      <alignment horizontal="left" vertical="center"/>
    </xf>
    <xf numFmtId="0" fontId="85" fillId="23" borderId="42" xfId="0" applyFont="1" applyFill="1" applyBorder="1" applyAlignment="1">
      <alignment horizontal="center" vertical="center"/>
    </xf>
    <xf numFmtId="0" fontId="85" fillId="23" borderId="1" xfId="0" applyFont="1" applyFill="1" applyBorder="1" applyAlignment="1">
      <alignment horizontal="left" vertical="center"/>
    </xf>
    <xf numFmtId="0" fontId="85" fillId="22" borderId="13" xfId="0" applyFont="1" applyFill="1" applyBorder="1" applyAlignment="1">
      <alignment horizontal="center" vertical="center"/>
    </xf>
    <xf numFmtId="0" fontId="85" fillId="4" borderId="13" xfId="0" applyFont="1" applyFill="1" applyBorder="1" applyAlignment="1">
      <alignment horizontal="center" vertical="center"/>
    </xf>
    <xf numFmtId="0" fontId="85" fillId="23" borderId="13" xfId="0" applyFont="1" applyFill="1" applyBorder="1" applyAlignment="1">
      <alignment horizontal="center" vertical="center"/>
    </xf>
    <xf numFmtId="0" fontId="85" fillId="23" borderId="1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 vertical="center" wrapText="1"/>
    </xf>
    <xf numFmtId="44" fontId="86" fillId="0" borderId="13" xfId="0" applyNumberFormat="1" applyFont="1" applyBorder="1" applyAlignment="1">
      <alignment horizontal="center" vertical="center"/>
    </xf>
    <xf numFmtId="44" fontId="86" fillId="0" borderId="13" xfId="0" applyNumberFormat="1" applyFont="1" applyBorder="1" applyAlignment="1">
      <alignment horizontal="left" vertical="center"/>
    </xf>
    <xf numFmtId="44" fontId="86" fillId="0" borderId="0" xfId="0" applyNumberFormat="1" applyFont="1" applyAlignment="1">
      <alignment horizontal="center" vertical="center"/>
    </xf>
    <xf numFmtId="44" fontId="3" fillId="0" borderId="0" xfId="0" applyNumberFormat="1" applyFont="1"/>
    <xf numFmtId="0" fontId="87" fillId="21" borderId="1" xfId="0" applyFont="1" applyFill="1" applyBorder="1" applyAlignment="1">
      <alignment horizontal="center"/>
    </xf>
    <xf numFmtId="6" fontId="84" fillId="0" borderId="13" xfId="0" applyNumberFormat="1" applyFont="1" applyBorder="1" applyAlignment="1">
      <alignment horizontal="center" vertical="center"/>
    </xf>
    <xf numFmtId="44" fontId="84" fillId="24" borderId="13" xfId="0" applyNumberFormat="1" applyFont="1" applyFill="1" applyBorder="1" applyAlignment="1">
      <alignment horizontal="center" vertical="center"/>
    </xf>
    <xf numFmtId="44" fontId="86" fillId="24" borderId="13" xfId="0" applyNumberFormat="1" applyFont="1" applyFill="1" applyBorder="1" applyAlignment="1">
      <alignment horizontal="left" vertical="center"/>
    </xf>
    <xf numFmtId="0" fontId="84" fillId="24" borderId="13" xfId="0" applyFont="1" applyFill="1" applyBorder="1" applyAlignment="1">
      <alignment horizontal="center" vertical="center"/>
    </xf>
    <xf numFmtId="178" fontId="84" fillId="24" borderId="13" xfId="0" applyNumberFormat="1" applyFont="1" applyFill="1" applyBorder="1" applyAlignment="1">
      <alignment horizontal="center" vertical="center"/>
    </xf>
    <xf numFmtId="44" fontId="86" fillId="24" borderId="13" xfId="0" applyNumberFormat="1" applyFont="1" applyFill="1" applyBorder="1" applyAlignment="1">
      <alignment horizontal="center" vertical="center"/>
    </xf>
    <xf numFmtId="44" fontId="86" fillId="24" borderId="1" xfId="0" applyNumberFormat="1" applyFont="1" applyFill="1" applyBorder="1" applyAlignment="1">
      <alignment horizontal="center" vertical="center"/>
    </xf>
    <xf numFmtId="0" fontId="81" fillId="25" borderId="1" xfId="0" applyFont="1" applyFill="1" applyBorder="1"/>
    <xf numFmtId="0" fontId="67" fillId="25" borderId="1" xfId="0" applyFont="1" applyFill="1" applyBorder="1"/>
    <xf numFmtId="177" fontId="88" fillId="0" borderId="0" xfId="0" applyNumberFormat="1" applyFont="1"/>
    <xf numFmtId="14" fontId="82" fillId="0" borderId="0" xfId="0" applyNumberFormat="1" applyFont="1" applyAlignment="1">
      <alignment horizontal="right"/>
    </xf>
    <xf numFmtId="1" fontId="82" fillId="0" borderId="0" xfId="0" applyNumberFormat="1" applyFont="1" applyAlignment="1">
      <alignment horizontal="right"/>
    </xf>
    <xf numFmtId="0" fontId="79" fillId="0" borderId="0" xfId="0" applyFont="1"/>
    <xf numFmtId="177" fontId="79" fillId="0" borderId="0" xfId="0" applyNumberFormat="1" applyFont="1" applyAlignment="1">
      <alignment horizontal="right"/>
    </xf>
    <xf numFmtId="177" fontId="89" fillId="0" borderId="0" xfId="0" applyNumberFormat="1" applyFont="1" applyAlignment="1">
      <alignment horizontal="right"/>
    </xf>
    <xf numFmtId="176" fontId="90" fillId="0" borderId="0" xfId="0" applyNumberFormat="1" applyFont="1"/>
    <xf numFmtId="177" fontId="90" fillId="0" borderId="0" xfId="0" applyNumberFormat="1" applyFont="1"/>
    <xf numFmtId="177" fontId="89" fillId="0" borderId="0" xfId="0" applyNumberFormat="1" applyFont="1"/>
    <xf numFmtId="0" fontId="91" fillId="20" borderId="1" xfId="0" applyFont="1" applyFill="1" applyBorder="1" applyAlignment="1">
      <alignment horizontal="left"/>
    </xf>
    <xf numFmtId="177" fontId="92" fillId="0" borderId="0" xfId="0" applyNumberFormat="1" applyFont="1" applyAlignment="1">
      <alignment horizontal="right"/>
    </xf>
    <xf numFmtId="0" fontId="91" fillId="20" borderId="1" xfId="0" applyFont="1" applyFill="1" applyBorder="1"/>
    <xf numFmtId="178" fontId="81" fillId="0" borderId="0" xfId="0" applyNumberFormat="1" applyFont="1" applyAlignment="1">
      <alignment horizontal="right"/>
    </xf>
    <xf numFmtId="177" fontId="92" fillId="0" borderId="0" xfId="0" applyNumberFormat="1" applyFont="1"/>
    <xf numFmtId="0" fontId="89" fillId="0" borderId="0" xfId="0" applyFont="1"/>
    <xf numFmtId="0" fontId="81" fillId="0" borderId="0" xfId="0" applyFont="1" applyAlignment="1">
      <alignment horizontal="right"/>
    </xf>
    <xf numFmtId="0" fontId="92" fillId="0" borderId="0" xfId="0" applyFont="1" applyAlignment="1">
      <alignment horizontal="right"/>
    </xf>
    <xf numFmtId="0" fontId="40" fillId="0" borderId="0" xfId="0" applyFont="1"/>
    <xf numFmtId="0" fontId="93" fillId="0" borderId="0" xfId="0" applyFont="1"/>
    <xf numFmtId="164" fontId="79" fillId="0" borderId="0" xfId="0" applyNumberFormat="1" applyFont="1" applyAlignment="1">
      <alignment horizontal="right"/>
    </xf>
    <xf numFmtId="164" fontId="94" fillId="0" borderId="0" xfId="0" applyNumberFormat="1" applyFont="1" applyAlignment="1">
      <alignment horizontal="right"/>
    </xf>
    <xf numFmtId="0" fontId="95" fillId="0" borderId="2" xfId="0" applyFont="1" applyBorder="1"/>
    <xf numFmtId="164" fontId="95" fillId="0" borderId="2" xfId="0" applyNumberFormat="1" applyFont="1" applyBorder="1" applyAlignment="1">
      <alignment horizontal="right"/>
    </xf>
    <xf numFmtId="164" fontId="79" fillId="14" borderId="1" xfId="0" applyNumberFormat="1" applyFont="1" applyFill="1" applyBorder="1" applyAlignment="1">
      <alignment horizontal="right"/>
    </xf>
    <xf numFmtId="0" fontId="3" fillId="25" borderId="1" xfId="0" applyFont="1" applyFill="1" applyBorder="1" applyAlignment="1">
      <alignment horizontal="left"/>
    </xf>
    <xf numFmtId="0" fontId="3" fillId="25" borderId="1" xfId="0" applyFont="1" applyFill="1" applyBorder="1"/>
    <xf numFmtId="0" fontId="79" fillId="25" borderId="1" xfId="0" applyFont="1" applyFill="1" applyBorder="1"/>
    <xf numFmtId="164" fontId="79" fillId="25" borderId="1" xfId="0" applyNumberFormat="1" applyFont="1" applyFill="1" applyBorder="1" applyAlignment="1">
      <alignment horizontal="right"/>
    </xf>
    <xf numFmtId="0" fontId="40" fillId="0" borderId="0" xfId="0" applyFont="1" applyAlignment="1">
      <alignment horizontal="left"/>
    </xf>
    <xf numFmtId="0" fontId="95" fillId="6" borderId="1" xfId="0" applyFont="1" applyFill="1" applyBorder="1"/>
    <xf numFmtId="164" fontId="95" fillId="6" borderId="1" xfId="0" applyNumberFormat="1" applyFont="1" applyFill="1" applyBorder="1" applyAlignment="1">
      <alignment horizontal="right"/>
    </xf>
    <xf numFmtId="0" fontId="79" fillId="0" borderId="0" xfId="0" applyFont="1" applyAlignment="1">
      <alignment vertical="center"/>
    </xf>
    <xf numFmtId="0" fontId="96" fillId="0" borderId="0" xfId="0" applyFont="1" applyAlignment="1">
      <alignment horizontal="center" wrapText="1"/>
    </xf>
    <xf numFmtId="0" fontId="95" fillId="0" borderId="0" xfId="0" applyFont="1" applyAlignment="1">
      <alignment horizontal="center" wrapText="1"/>
    </xf>
    <xf numFmtId="0" fontId="97" fillId="0" borderId="26" xfId="0" applyFont="1" applyBorder="1" applyAlignment="1">
      <alignment horizontal="center" wrapText="1"/>
    </xf>
    <xf numFmtId="168" fontId="70" fillId="0" borderId="0" xfId="0" applyNumberFormat="1" applyFont="1"/>
    <xf numFmtId="0" fontId="71" fillId="0" borderId="0" xfId="0" applyFont="1" applyAlignment="1">
      <alignment horizontal="left" wrapText="1"/>
    </xf>
    <xf numFmtId="4" fontId="71" fillId="0" borderId="0" xfId="0" applyNumberFormat="1" applyFont="1" applyAlignment="1">
      <alignment wrapText="1"/>
    </xf>
    <xf numFmtId="0" fontId="98" fillId="0" borderId="0" xfId="0" applyFont="1" applyAlignment="1">
      <alignment horizontal="left" wrapText="1"/>
    </xf>
    <xf numFmtId="179" fontId="98" fillId="0" borderId="2" xfId="0" applyNumberFormat="1" applyFont="1" applyBorder="1" applyAlignment="1">
      <alignment wrapText="1"/>
    </xf>
    <xf numFmtId="39" fontId="70" fillId="0" borderId="0" xfId="0" applyNumberFormat="1" applyFont="1"/>
    <xf numFmtId="180" fontId="67" fillId="0" borderId="0" xfId="0" applyNumberFormat="1" applyFont="1"/>
    <xf numFmtId="0" fontId="99" fillId="0" borderId="0" xfId="0" applyFont="1"/>
    <xf numFmtId="0" fontId="100" fillId="0" borderId="0" xfId="0" applyFont="1" applyAlignment="1">
      <alignment horizontal="left" wrapText="1"/>
    </xf>
    <xf numFmtId="180" fontId="66" fillId="0" borderId="2" xfId="0" applyNumberFormat="1" applyFont="1" applyBorder="1"/>
    <xf numFmtId="0" fontId="71" fillId="0" borderId="0" xfId="0" applyFont="1" applyAlignment="1">
      <alignment horizontal="center" wrapText="1"/>
    </xf>
    <xf numFmtId="168" fontId="71" fillId="0" borderId="0" xfId="0" applyNumberFormat="1" applyFont="1" applyAlignment="1">
      <alignment wrapText="1"/>
    </xf>
    <xf numFmtId="0" fontId="70" fillId="14" borderId="1" xfId="0" applyFont="1" applyFill="1" applyBorder="1"/>
    <xf numFmtId="4" fontId="98" fillId="0" borderId="2" xfId="0" applyNumberFormat="1" applyFont="1" applyBorder="1" applyAlignment="1">
      <alignment wrapText="1"/>
    </xf>
    <xf numFmtId="0" fontId="26" fillId="0" borderId="2" xfId="0" applyFont="1" applyBorder="1"/>
    <xf numFmtId="0" fontId="19" fillId="0" borderId="0" xfId="0" applyFont="1" applyAlignment="1">
      <alignment horizontal="center"/>
    </xf>
    <xf numFmtId="181" fontId="3" fillId="0" borderId="0" xfId="0" applyNumberFormat="1" applyFont="1"/>
    <xf numFmtId="181" fontId="3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182" fontId="3" fillId="0" borderId="0" xfId="0" applyNumberFormat="1" applyFont="1"/>
    <xf numFmtId="182" fontId="3" fillId="0" borderId="0" xfId="0" applyNumberFormat="1" applyFont="1" applyAlignment="1">
      <alignment horizontal="center"/>
    </xf>
    <xf numFmtId="7" fontId="3" fillId="0" borderId="0" xfId="0" applyNumberFormat="1" applyFont="1"/>
    <xf numFmtId="7" fontId="3" fillId="0" borderId="0" xfId="0" applyNumberFormat="1" applyFont="1" applyAlignment="1">
      <alignment horizontal="center"/>
    </xf>
    <xf numFmtId="16" fontId="102" fillId="0" borderId="0" xfId="0" applyNumberFormat="1" applyFont="1" applyAlignment="1">
      <alignment horizontal="right"/>
    </xf>
    <xf numFmtId="16" fontId="103" fillId="0" borderId="0" xfId="0" applyNumberFormat="1" applyFont="1" applyAlignment="1">
      <alignment horizontal="center"/>
    </xf>
    <xf numFmtId="5" fontId="22" fillId="0" borderId="0" xfId="0" applyNumberFormat="1" applyFont="1"/>
    <xf numFmtId="5" fontId="22" fillId="0" borderId="0" xfId="0" applyNumberFormat="1" applyFont="1" applyAlignment="1">
      <alignment horizontal="center"/>
    </xf>
    <xf numFmtId="5" fontId="5" fillId="0" borderId="0" xfId="0" applyNumberFormat="1" applyFont="1" applyAlignment="1">
      <alignment horizontal="righ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46" fillId="26" borderId="1" xfId="0" applyFont="1" applyFill="1" applyBorder="1" applyAlignment="1">
      <alignment horizontal="center" wrapText="1"/>
    </xf>
    <xf numFmtId="0" fontId="104" fillId="0" borderId="0" xfId="0" applyFont="1" applyAlignment="1">
      <alignment horizontal="left"/>
    </xf>
    <xf numFmtId="0" fontId="79" fillId="25" borderId="1" xfId="0" applyFont="1" applyFill="1" applyBorder="1" applyAlignment="1">
      <alignment horizontal="left"/>
    </xf>
    <xf numFmtId="176" fontId="3" fillId="25" borderId="1" xfId="0" applyNumberFormat="1" applyFont="1" applyFill="1" applyBorder="1"/>
    <xf numFmtId="0" fontId="97" fillId="0" borderId="2" xfId="0" applyFont="1" applyBorder="1"/>
    <xf numFmtId="0" fontId="79" fillId="0" borderId="0" xfId="0" applyFont="1" applyAlignment="1">
      <alignment horizontal="left"/>
    </xf>
    <xf numFmtId="176" fontId="3" fillId="0" borderId="0" xfId="0" applyNumberFormat="1" applyFont="1"/>
    <xf numFmtId="0" fontId="97" fillId="0" borderId="0" xfId="0" applyFont="1"/>
    <xf numFmtId="0" fontId="95" fillId="0" borderId="2" xfId="0" applyFont="1" applyBorder="1" applyAlignment="1">
      <alignment horizontal="left"/>
    </xf>
    <xf numFmtId="176" fontId="3" fillId="0" borderId="2" xfId="0" applyNumberFormat="1" applyFont="1" applyBorder="1"/>
    <xf numFmtId="0" fontId="95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176" fontId="8" fillId="0" borderId="2" xfId="0" applyNumberFormat="1" applyFont="1" applyBorder="1"/>
    <xf numFmtId="176" fontId="8" fillId="0" borderId="0" xfId="0" applyNumberFormat="1" applyFont="1"/>
    <xf numFmtId="176" fontId="95" fillId="0" borderId="2" xfId="0" applyNumberFormat="1" applyFont="1" applyBorder="1" applyAlignment="1">
      <alignment horizontal="left"/>
    </xf>
    <xf numFmtId="176" fontId="105" fillId="0" borderId="43" xfId="0" applyNumberFormat="1" applyFont="1" applyBorder="1" applyAlignment="1">
      <alignment horizontal="left"/>
    </xf>
    <xf numFmtId="176" fontId="8" fillId="0" borderId="43" xfId="0" applyNumberFormat="1" applyFont="1" applyBorder="1"/>
    <xf numFmtId="0" fontId="66" fillId="0" borderId="31" xfId="0" applyFont="1" applyBorder="1"/>
    <xf numFmtId="0" fontId="66" fillId="0" borderId="2" xfId="0" applyFont="1" applyBorder="1"/>
    <xf numFmtId="0" fontId="66" fillId="0" borderId="2" xfId="0" applyFont="1" applyBorder="1" applyAlignment="1">
      <alignment horizontal="left"/>
    </xf>
    <xf numFmtId="0" fontId="66" fillId="0" borderId="32" xfId="0" applyFont="1" applyBorder="1"/>
    <xf numFmtId="0" fontId="66" fillId="0" borderId="2" xfId="0" applyFont="1" applyBorder="1" applyAlignment="1">
      <alignment horizontal="center"/>
    </xf>
    <xf numFmtId="0" fontId="66" fillId="0" borderId="31" xfId="0" applyFont="1" applyBorder="1" applyAlignment="1">
      <alignment horizontal="center"/>
    </xf>
    <xf numFmtId="0" fontId="66" fillId="0" borderId="32" xfId="0" applyFont="1" applyBorder="1" applyAlignment="1">
      <alignment horizontal="center"/>
    </xf>
    <xf numFmtId="0" fontId="106" fillId="4" borderId="1" xfId="0" applyFont="1" applyFill="1" applyBorder="1"/>
    <xf numFmtId="0" fontId="66" fillId="0" borderId="25" xfId="0" applyFont="1" applyBorder="1"/>
    <xf numFmtId="0" fontId="66" fillId="0" borderId="26" xfId="0" applyFont="1" applyBorder="1"/>
    <xf numFmtId="0" fontId="66" fillId="0" borderId="26" xfId="0" applyFont="1" applyBorder="1" applyAlignment="1">
      <alignment horizontal="left"/>
    </xf>
    <xf numFmtId="0" fontId="66" fillId="0" borderId="28" xfId="0" applyFont="1" applyBorder="1"/>
    <xf numFmtId="0" fontId="66" fillId="0" borderId="25" xfId="0" applyFont="1" applyBorder="1" applyAlignment="1">
      <alignment horizontal="center"/>
    </xf>
    <xf numFmtId="0" fontId="66" fillId="0" borderId="26" xfId="0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0" fontId="107" fillId="4" borderId="1" xfId="0" applyFont="1" applyFill="1" applyBorder="1"/>
    <xf numFmtId="0" fontId="79" fillId="0" borderId="24" xfId="0" applyFont="1" applyBorder="1"/>
    <xf numFmtId="0" fontId="67" fillId="0" borderId="23" xfId="0" applyFont="1" applyBorder="1" applyAlignment="1">
      <alignment horizontal="center"/>
    </xf>
    <xf numFmtId="0" fontId="79" fillId="0" borderId="0" xfId="0" applyFont="1" applyAlignment="1">
      <alignment horizontal="center" wrapText="1"/>
    </xf>
    <xf numFmtId="0" fontId="79" fillId="0" borderId="0" xfId="0" applyFont="1" applyAlignment="1">
      <alignment wrapText="1"/>
    </xf>
    <xf numFmtId="0" fontId="67" fillId="0" borderId="44" xfId="0" applyFont="1" applyBorder="1"/>
    <xf numFmtId="177" fontId="67" fillId="0" borderId="45" xfId="0" applyNumberFormat="1" applyFont="1" applyBorder="1"/>
    <xf numFmtId="0" fontId="79" fillId="0" borderId="45" xfId="0" applyFont="1" applyBorder="1" applyAlignment="1">
      <alignment horizontal="left"/>
    </xf>
    <xf numFmtId="0" fontId="79" fillId="0" borderId="45" xfId="0" applyFont="1" applyBorder="1"/>
    <xf numFmtId="0" fontId="67" fillId="0" borderId="46" xfId="0" applyFont="1" applyBorder="1"/>
    <xf numFmtId="0" fontId="67" fillId="0" borderId="45" xfId="0" applyFont="1" applyBorder="1" applyAlignment="1">
      <alignment horizontal="center"/>
    </xf>
    <xf numFmtId="0" fontId="67" fillId="0" borderId="44" xfId="0" applyFont="1" applyBorder="1" applyAlignment="1">
      <alignment horizontal="center"/>
    </xf>
    <xf numFmtId="0" fontId="67" fillId="0" borderId="46" xfId="0" applyFont="1" applyBorder="1" applyAlignment="1">
      <alignment horizontal="center"/>
    </xf>
    <xf numFmtId="0" fontId="66" fillId="0" borderId="23" xfId="0" applyFont="1" applyBorder="1" applyAlignment="1">
      <alignment horizontal="center"/>
    </xf>
    <xf numFmtId="0" fontId="66" fillId="0" borderId="24" xfId="0" applyFont="1" applyBorder="1" applyAlignment="1">
      <alignment horizontal="center"/>
    </xf>
    <xf numFmtId="0" fontId="66" fillId="0" borderId="45" xfId="0" applyFont="1" applyBorder="1" applyAlignment="1">
      <alignment horizontal="center"/>
    </xf>
    <xf numFmtId="0" fontId="66" fillId="0" borderId="44" xfId="0" applyFont="1" applyBorder="1" applyAlignment="1">
      <alignment horizontal="center"/>
    </xf>
    <xf numFmtId="0" fontId="66" fillId="0" borderId="46" xfId="0" applyFont="1" applyBorder="1" applyAlignment="1">
      <alignment horizontal="center"/>
    </xf>
    <xf numFmtId="177" fontId="67" fillId="0" borderId="26" xfId="0" applyNumberFormat="1" applyFont="1" applyBorder="1"/>
    <xf numFmtId="0" fontId="79" fillId="0" borderId="26" xfId="0" applyFont="1" applyBorder="1" applyAlignment="1">
      <alignment horizontal="left"/>
    </xf>
    <xf numFmtId="0" fontId="79" fillId="0" borderId="26" xfId="0" applyFont="1" applyBorder="1"/>
    <xf numFmtId="0" fontId="67" fillId="0" borderId="28" xfId="0" applyFont="1" applyBorder="1"/>
    <xf numFmtId="0" fontId="79" fillId="0" borderId="23" xfId="0" applyFont="1" applyBorder="1"/>
    <xf numFmtId="0" fontId="79" fillId="0" borderId="23" xfId="0" applyFont="1" applyBorder="1" applyAlignment="1">
      <alignment horizontal="center"/>
    </xf>
    <xf numFmtId="0" fontId="79" fillId="0" borderId="24" xfId="0" applyFont="1" applyBorder="1" applyAlignment="1">
      <alignment horizontal="center"/>
    </xf>
    <xf numFmtId="0" fontId="79" fillId="0" borderId="44" xfId="0" applyFont="1" applyBorder="1"/>
    <xf numFmtId="177" fontId="79" fillId="0" borderId="45" xfId="0" applyNumberFormat="1" applyFont="1" applyBorder="1"/>
    <xf numFmtId="0" fontId="79" fillId="0" borderId="46" xfId="0" applyFont="1" applyBorder="1"/>
    <xf numFmtId="0" fontId="79" fillId="0" borderId="45" xfId="0" applyFont="1" applyBorder="1" applyAlignment="1">
      <alignment horizontal="center"/>
    </xf>
    <xf numFmtId="0" fontId="79" fillId="0" borderId="44" xfId="0" applyFont="1" applyBorder="1" applyAlignment="1">
      <alignment horizontal="center"/>
    </xf>
    <xf numFmtId="0" fontId="79" fillId="0" borderId="46" xfId="0" applyFont="1" applyBorder="1" applyAlignment="1">
      <alignment horizontal="center"/>
    </xf>
    <xf numFmtId="0" fontId="22" fillId="0" borderId="0" xfId="0" applyFont="1" applyAlignment="1">
      <alignment horizontal="right"/>
    </xf>
    <xf numFmtId="14" fontId="22" fillId="3" borderId="13" xfId="0" applyNumberFormat="1" applyFont="1" applyFill="1" applyBorder="1" applyAlignment="1">
      <alignment horizontal="right"/>
    </xf>
    <xf numFmtId="0" fontId="22" fillId="3" borderId="13" xfId="0" applyFont="1" applyFill="1" applyBorder="1" applyAlignment="1">
      <alignment horizontal="right"/>
    </xf>
    <xf numFmtId="0" fontId="53" fillId="0" borderId="0" xfId="0" applyFont="1"/>
    <xf numFmtId="0" fontId="111" fillId="5" borderId="1" xfId="0" applyFont="1" applyFill="1" applyBorder="1" applyAlignment="1">
      <alignment horizontal="center"/>
    </xf>
    <xf numFmtId="0" fontId="112" fillId="5" borderId="1" xfId="0" applyFont="1" applyFill="1" applyBorder="1" applyAlignment="1">
      <alignment horizontal="center" wrapText="1"/>
    </xf>
    <xf numFmtId="169" fontId="113" fillId="5" borderId="1" xfId="0" applyNumberFormat="1" applyFont="1" applyFill="1" applyBorder="1" applyAlignment="1">
      <alignment horizontal="center" wrapText="1"/>
    </xf>
    <xf numFmtId="0" fontId="114" fillId="0" borderId="0" xfId="0" applyFont="1"/>
    <xf numFmtId="10" fontId="22" fillId="0" borderId="0" xfId="0" applyNumberFormat="1" applyFont="1"/>
    <xf numFmtId="171" fontId="22" fillId="3" borderId="6" xfId="0" applyNumberFormat="1" applyFont="1" applyFill="1" applyBorder="1"/>
    <xf numFmtId="164" fontId="22" fillId="3" borderId="6" xfId="0" applyNumberFormat="1" applyFont="1" applyFill="1" applyBorder="1"/>
    <xf numFmtId="0" fontId="24" fillId="0" borderId="0" xfId="0" applyFont="1" applyAlignment="1">
      <alignment horizontal="left" vertical="top"/>
    </xf>
    <xf numFmtId="0" fontId="115" fillId="4" borderId="1" xfId="0" applyFont="1" applyFill="1" applyBorder="1" applyAlignment="1">
      <alignment horizontal="left" vertical="top"/>
    </xf>
    <xf numFmtId="183" fontId="116" fillId="4" borderId="1" xfId="0" applyNumberFormat="1" applyFont="1" applyFill="1" applyBorder="1" applyAlignment="1">
      <alignment horizontal="center"/>
    </xf>
    <xf numFmtId="0" fontId="8" fillId="12" borderId="10" xfId="0" applyFont="1" applyFill="1" applyBorder="1"/>
    <xf numFmtId="0" fontId="21" fillId="12" borderId="10" xfId="0" applyFont="1" applyFill="1" applyBorder="1"/>
    <xf numFmtId="0" fontId="3" fillId="12" borderId="10" xfId="0" applyFont="1" applyFill="1" applyBorder="1"/>
    <xf numFmtId="166" fontId="3" fillId="0" borderId="2" xfId="0" applyNumberFormat="1" applyFont="1" applyBorder="1"/>
    <xf numFmtId="0" fontId="8" fillId="13" borderId="1" xfId="0" applyFont="1" applyFill="1" applyBorder="1"/>
    <xf numFmtId="166" fontId="8" fillId="13" borderId="1" xfId="0" applyNumberFormat="1" applyFont="1" applyFill="1" applyBorder="1"/>
    <xf numFmtId="0" fontId="8" fillId="25" borderId="1" xfId="0" applyFont="1" applyFill="1" applyBorder="1"/>
    <xf numFmtId="166" fontId="8" fillId="25" borderId="1" xfId="0" applyNumberFormat="1" applyFont="1" applyFill="1" applyBorder="1"/>
    <xf numFmtId="184" fontId="8" fillId="13" borderId="1" xfId="0" applyNumberFormat="1" applyFont="1" applyFill="1" applyBorder="1" applyAlignment="1">
      <alignment horizontal="right"/>
    </xf>
    <xf numFmtId="0" fontId="46" fillId="4" borderId="21" xfId="0" applyFont="1" applyFill="1" applyBorder="1"/>
    <xf numFmtId="9" fontId="46" fillId="4" borderId="22" xfId="0" applyNumberFormat="1" applyFont="1" applyFill="1" applyBorder="1" applyAlignment="1">
      <alignment horizontal="right"/>
    </xf>
    <xf numFmtId="0" fontId="46" fillId="4" borderId="48" xfId="0" applyFont="1" applyFill="1" applyBorder="1"/>
    <xf numFmtId="171" fontId="46" fillId="4" borderId="33" xfId="0" applyNumberFormat="1" applyFont="1" applyFill="1" applyBorder="1"/>
    <xf numFmtId="0" fontId="118" fillId="0" borderId="2" xfId="0" applyFont="1" applyBorder="1"/>
    <xf numFmtId="1" fontId="118" fillId="0" borderId="2" xfId="0" applyNumberFormat="1" applyFont="1" applyBorder="1"/>
    <xf numFmtId="0" fontId="119" fillId="0" borderId="0" xfId="0" applyFont="1"/>
    <xf numFmtId="0" fontId="120" fillId="0" borderId="0" xfId="0" applyFont="1"/>
    <xf numFmtId="0" fontId="121" fillId="0" borderId="0" xfId="0" applyFont="1"/>
    <xf numFmtId="169" fontId="8" fillId="0" borderId="0" xfId="0" applyNumberFormat="1" applyFont="1" applyAlignment="1">
      <alignment horizontal="left"/>
    </xf>
    <xf numFmtId="0" fontId="32" fillId="2" borderId="3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0" fontId="124" fillId="28" borderId="0" xfId="0" applyFont="1" applyFill="1" applyAlignment="1">
      <alignment horizontal="left"/>
    </xf>
    <xf numFmtId="164" fontId="125" fillId="28" borderId="0" xfId="0" applyNumberFormat="1" applyFont="1" applyFill="1"/>
    <xf numFmtId="0" fontId="122" fillId="28" borderId="0" xfId="0" applyFont="1" applyFill="1"/>
    <xf numFmtId="0" fontId="124" fillId="29" borderId="0" xfId="0" applyFont="1" applyFill="1" applyAlignment="1">
      <alignment horizontal="left"/>
    </xf>
    <xf numFmtId="164" fontId="125" fillId="29" borderId="0" xfId="0" applyNumberFormat="1" applyFont="1" applyFill="1"/>
    <xf numFmtId="0" fontId="122" fillId="29" borderId="0" xfId="0" applyFont="1" applyFill="1"/>
    <xf numFmtId="0" fontId="123" fillId="0" borderId="0" xfId="0" applyFont="1"/>
    <xf numFmtId="0" fontId="126" fillId="0" borderId="0" xfId="0" applyFont="1" applyAlignment="1">
      <alignment horizontal="left"/>
    </xf>
    <xf numFmtId="164" fontId="127" fillId="0" borderId="0" xfId="0" applyNumberFormat="1" applyFont="1"/>
    <xf numFmtId="1" fontId="0" fillId="0" borderId="0" xfId="0" applyNumberFormat="1"/>
    <xf numFmtId="164" fontId="0" fillId="0" borderId="0" xfId="0" applyNumberFormat="1"/>
    <xf numFmtId="164" fontId="128" fillId="10" borderId="10" xfId="0" applyNumberFormat="1" applyFont="1" applyFill="1" applyBorder="1"/>
    <xf numFmtId="164" fontId="3" fillId="30" borderId="0" xfId="0" applyNumberFormat="1" applyFont="1" applyFill="1"/>
    <xf numFmtId="173" fontId="26" fillId="0" borderId="0" xfId="0" applyNumberFormat="1" applyFont="1"/>
    <xf numFmtId="0" fontId="11" fillId="0" borderId="5" xfId="0" applyFont="1" applyBorder="1"/>
    <xf numFmtId="164" fontId="129" fillId="31" borderId="10" xfId="0" applyNumberFormat="1" applyFont="1" applyFill="1" applyBorder="1"/>
    <xf numFmtId="173" fontId="130" fillId="0" borderId="5" xfId="0" applyNumberFormat="1" applyFont="1" applyBorder="1"/>
    <xf numFmtId="0" fontId="59" fillId="0" borderId="18" xfId="0" applyFont="1" applyBorder="1"/>
    <xf numFmtId="165" fontId="62" fillId="4" borderId="5" xfId="0" applyNumberFormat="1" applyFont="1" applyFill="1" applyBorder="1" applyAlignment="1">
      <alignment horizontal="center"/>
    </xf>
    <xf numFmtId="164" fontId="131" fillId="32" borderId="49" xfId="0" applyNumberFormat="1" applyFont="1" applyFill="1" applyBorder="1"/>
    <xf numFmtId="164" fontId="3" fillId="33" borderId="0" xfId="0" applyNumberFormat="1" applyFont="1" applyFill="1"/>
    <xf numFmtId="0" fontId="32" fillId="2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  <xf numFmtId="0" fontId="13" fillId="4" borderId="3" xfId="0" applyFont="1" applyFill="1" applyBorder="1" applyAlignment="1">
      <alignment horizontal="center"/>
    </xf>
    <xf numFmtId="168" fontId="10" fillId="4" borderId="3" xfId="0" applyNumberFormat="1" applyFont="1" applyFill="1" applyBorder="1" applyAlignment="1">
      <alignment horizontal="center"/>
    </xf>
    <xf numFmtId="164" fontId="47" fillId="12" borderId="3" xfId="0" applyNumberFormat="1" applyFont="1" applyFill="1" applyBorder="1" applyAlignment="1">
      <alignment horizontal="center"/>
    </xf>
    <xf numFmtId="164" fontId="55" fillId="2" borderId="3" xfId="0" applyNumberFormat="1" applyFont="1" applyFill="1" applyBorder="1" applyAlignment="1">
      <alignment horizontal="center"/>
    </xf>
    <xf numFmtId="0" fontId="64" fillId="12" borderId="3" xfId="0" applyFont="1" applyFill="1" applyBorder="1" applyAlignment="1">
      <alignment horizontal="center"/>
    </xf>
    <xf numFmtId="0" fontId="101" fillId="4" borderId="3" xfId="0" applyFont="1" applyFill="1" applyBorder="1" applyAlignment="1">
      <alignment horizontal="center" wrapText="1"/>
    </xf>
    <xf numFmtId="0" fontId="110" fillId="5" borderId="3" xfId="0" applyFont="1" applyFill="1" applyBorder="1" applyAlignment="1">
      <alignment horizontal="center"/>
    </xf>
    <xf numFmtId="0" fontId="108" fillId="3" borderId="29" xfId="0" applyFont="1" applyFill="1" applyBorder="1" applyAlignment="1">
      <alignment horizontal="center" wrapText="1"/>
    </xf>
    <xf numFmtId="0" fontId="11" fillId="0" borderId="47" xfId="0" applyFont="1" applyBorder="1"/>
    <xf numFmtId="0" fontId="11" fillId="0" borderId="30" xfId="0" applyFont="1" applyBorder="1"/>
    <xf numFmtId="0" fontId="109" fillId="27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none"/>
      </fill>
    </dxf>
  </dxfs>
  <tableStyles count="0" defaultTableStyle="TableStyleMedium2" defaultPivotStyle="PivotStyleLight16"/>
  <colors>
    <mruColors>
      <color rgb="FFFFFFCC"/>
      <color rgb="FF3333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'Date Booked Summary'!$Z$19:$Z$49</c:f>
              <c:numCache>
                <c:formatCode>0%</c:formatCode>
                <c:ptCount val="31"/>
                <c:pt idx="0">
                  <c:v>0</c:v>
                </c:pt>
                <c:pt idx="1">
                  <c:v>2.242152466367713E-3</c:v>
                </c:pt>
                <c:pt idx="2">
                  <c:v>6.7264573991031393E-3</c:v>
                </c:pt>
                <c:pt idx="3">
                  <c:v>8.9686098654708519E-3</c:v>
                </c:pt>
                <c:pt idx="4">
                  <c:v>1.3452914798206279E-2</c:v>
                </c:pt>
                <c:pt idx="5">
                  <c:v>1.5695067264573991E-2</c:v>
                </c:pt>
                <c:pt idx="6">
                  <c:v>3.1390134529147982E-2</c:v>
                </c:pt>
                <c:pt idx="7">
                  <c:v>4.4843049327354258E-2</c:v>
                </c:pt>
                <c:pt idx="8">
                  <c:v>2.914798206278027E-2</c:v>
                </c:pt>
                <c:pt idx="9">
                  <c:v>6.2780269058295965E-2</c:v>
                </c:pt>
                <c:pt idx="10">
                  <c:v>6.726457399103139E-2</c:v>
                </c:pt>
                <c:pt idx="11">
                  <c:v>8.744394618834081E-2</c:v>
                </c:pt>
                <c:pt idx="12">
                  <c:v>9.8654708520179366E-2</c:v>
                </c:pt>
                <c:pt idx="13">
                  <c:v>9.8654708520179366E-2</c:v>
                </c:pt>
                <c:pt idx="14">
                  <c:v>8.2959641255605385E-2</c:v>
                </c:pt>
                <c:pt idx="15">
                  <c:v>8.0717488789237665E-2</c:v>
                </c:pt>
                <c:pt idx="16">
                  <c:v>5.6053811659192827E-2</c:v>
                </c:pt>
                <c:pt idx="17">
                  <c:v>2.6905829596412557E-2</c:v>
                </c:pt>
                <c:pt idx="18">
                  <c:v>5.3811659192825115E-2</c:v>
                </c:pt>
                <c:pt idx="19">
                  <c:v>2.4663677130044841E-2</c:v>
                </c:pt>
                <c:pt idx="20">
                  <c:v>2.4663677130044841E-2</c:v>
                </c:pt>
                <c:pt idx="21">
                  <c:v>3.1390134529147982E-2</c:v>
                </c:pt>
                <c:pt idx="22">
                  <c:v>8.9686098654708519E-3</c:v>
                </c:pt>
                <c:pt idx="23">
                  <c:v>1.3452914798206279E-2</c:v>
                </c:pt>
                <c:pt idx="24">
                  <c:v>6.7264573991031393E-3</c:v>
                </c:pt>
                <c:pt idx="25">
                  <c:v>6.7264573991031393E-3</c:v>
                </c:pt>
                <c:pt idx="27">
                  <c:v>6.7264573991031393E-3</c:v>
                </c:pt>
                <c:pt idx="28">
                  <c:v>4.4843049327354259E-3</c:v>
                </c:pt>
                <c:pt idx="29">
                  <c:v>2.242152466367713E-3</c:v>
                </c:pt>
                <c:pt idx="30">
                  <c:v>2.242152466367713E-3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4-47E9-93F7-B3AA1C06D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579450"/>
        <c:axId val="2022333140"/>
      </c:lineChart>
      <c:catAx>
        <c:axId val="1217579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333140"/>
        <c:crosses val="autoZero"/>
        <c:auto val="1"/>
        <c:lblAlgn val="ctr"/>
        <c:lblOffset val="100"/>
        <c:noMultiLvlLbl val="1"/>
      </c:catAx>
      <c:valAx>
        <c:axId val="2022333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57945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'Date Booked Summary'!$AF$19:$AF$49</c:f>
              <c:numCache>
                <c:formatCode>0%</c:formatCode>
                <c:ptCount val="31"/>
                <c:pt idx="0">
                  <c:v>2.4390243902439025E-2</c:v>
                </c:pt>
                <c:pt idx="1">
                  <c:v>7.3170731707317069E-2</c:v>
                </c:pt>
                <c:pt idx="2">
                  <c:v>4.878048780487805E-2</c:v>
                </c:pt>
                <c:pt idx="3">
                  <c:v>0.10975609756097561</c:v>
                </c:pt>
                <c:pt idx="4">
                  <c:v>0.13414634146341464</c:v>
                </c:pt>
                <c:pt idx="5">
                  <c:v>4.878048780487805E-2</c:v>
                </c:pt>
                <c:pt idx="6">
                  <c:v>9.7560975609756101E-2</c:v>
                </c:pt>
                <c:pt idx="7">
                  <c:v>0.14634146341463414</c:v>
                </c:pt>
                <c:pt idx="8">
                  <c:v>3.6585365853658534E-2</c:v>
                </c:pt>
                <c:pt idx="9">
                  <c:v>7.3170731707317069E-2</c:v>
                </c:pt>
                <c:pt idx="10">
                  <c:v>3.6585365853658534E-2</c:v>
                </c:pt>
                <c:pt idx="11">
                  <c:v>6.097560975609756E-2</c:v>
                </c:pt>
                <c:pt idx="12">
                  <c:v>3.6585365853658534E-2</c:v>
                </c:pt>
                <c:pt idx="13">
                  <c:v>1.2195121951219513E-2</c:v>
                </c:pt>
                <c:pt idx="14">
                  <c:v>0</c:v>
                </c:pt>
                <c:pt idx="15">
                  <c:v>3.6585365853658534E-2</c:v>
                </c:pt>
                <c:pt idx="16">
                  <c:v>1.2195121951219513E-2</c:v>
                </c:pt>
                <c:pt idx="17">
                  <c:v>1.2195121951219513E-2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2-46B6-A4DF-F3E2DE3FA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52279"/>
        <c:axId val="1201619103"/>
      </c:lineChart>
      <c:catAx>
        <c:axId val="2079052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1619103"/>
        <c:crosses val="autoZero"/>
        <c:auto val="1"/>
        <c:lblAlgn val="ctr"/>
        <c:lblOffset val="100"/>
        <c:noMultiLvlLbl val="1"/>
      </c:catAx>
      <c:valAx>
        <c:axId val="1201619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905227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123825</xdr:colOff>
      <xdr:row>66</xdr:row>
      <xdr:rowOff>76200</xdr:rowOff>
    </xdr:from>
    <xdr:ext cx="9525000" cy="34194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104775</xdr:colOff>
      <xdr:row>80</xdr:row>
      <xdr:rowOff>76200</xdr:rowOff>
    </xdr:from>
    <xdr:ext cx="10496550" cy="3638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171450</xdr:colOff>
      <xdr:row>2</xdr:row>
      <xdr:rowOff>38100</xdr:rowOff>
    </xdr:from>
    <xdr:ext cx="3829050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441000" y="3584738"/>
          <a:ext cx="3810000" cy="390525"/>
        </a:xfrm>
        <a:prstGeom prst="rect">
          <a:avLst/>
        </a:prstGeom>
        <a:solidFill>
          <a:srgbClr val="FFC000"/>
        </a:solidFill>
        <a:ln w="19050" cap="flat" cmpd="sng">
          <a:solidFill>
            <a:srgbClr val="646769"/>
          </a:solidFill>
          <a:prstDash val="solid"/>
          <a:miter lim="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Update &amp; Check months / month categorizations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238125</xdr:colOff>
      <xdr:row>1</xdr:row>
      <xdr:rowOff>9525</xdr:rowOff>
    </xdr:from>
    <xdr:ext cx="8334375" cy="1514475"/>
    <xdr:graphicFrame macro="">
      <xdr:nvGraphicFramePr>
        <xdr:cNvPr id="1235181371" name="Chart 1">
          <a:extLst>
            <a:ext uri="{FF2B5EF4-FFF2-40B4-BE49-F238E27FC236}">
              <a16:creationId xmlns:a16="http://schemas.microsoft.com/office/drawing/2014/main" id="{00000000-0008-0000-0900-00003B5F9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29</xdr:col>
      <xdr:colOff>76200</xdr:colOff>
      <xdr:row>1</xdr:row>
      <xdr:rowOff>38100</xdr:rowOff>
    </xdr:from>
    <xdr:ext cx="8315325" cy="1514475"/>
    <xdr:graphicFrame macro="">
      <xdr:nvGraphicFramePr>
        <xdr:cNvPr id="956305637" name="Chart 2">
          <a:extLst>
            <a:ext uri="{FF2B5EF4-FFF2-40B4-BE49-F238E27FC236}">
              <a16:creationId xmlns:a16="http://schemas.microsoft.com/office/drawing/2014/main" id="{00000000-0008-0000-0900-0000E5100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1628775</xdr:colOff>
      <xdr:row>32</xdr:row>
      <xdr:rowOff>171450</xdr:rowOff>
    </xdr:from>
    <xdr:ext cx="7953375" cy="39528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FF6F9"/>
      </a:accent1>
      <a:accent2>
        <a:srgbClr val="1A939B"/>
      </a:accent2>
      <a:accent3>
        <a:srgbClr val="D0E9EA"/>
      </a:accent3>
      <a:accent4>
        <a:srgbClr val="92CDD0"/>
      </a:accent4>
      <a:accent5>
        <a:srgbClr val="7DC5B4"/>
      </a:accent5>
      <a:accent6>
        <a:srgbClr val="C4C4C4"/>
      </a:accent6>
      <a:hlink>
        <a:srgbClr val="2998E3"/>
      </a:hlink>
      <a:folHlink>
        <a:srgbClr val="2998E3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R1000"/>
  <sheetViews>
    <sheetView workbookViewId="0"/>
  </sheetViews>
  <sheetFormatPr defaultColWidth="12.54296875" defaultRowHeight="15" customHeight="1"/>
  <cols>
    <col min="1" max="1" width="19.7265625" customWidth="1"/>
    <col min="2" max="26" width="8.54296875" customWidth="1"/>
  </cols>
  <sheetData>
    <row r="1" spans="1:18" ht="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8" ht="14.5">
      <c r="A2" s="3" t="s">
        <v>14</v>
      </c>
      <c r="B2" s="4"/>
      <c r="C2" s="4"/>
      <c r="D2" s="5"/>
      <c r="E2" s="6"/>
      <c r="F2" s="6"/>
      <c r="G2" s="6"/>
      <c r="H2" s="6"/>
      <c r="I2" s="6"/>
      <c r="J2" s="6"/>
      <c r="K2" s="6"/>
      <c r="O2" s="7"/>
      <c r="Q2" s="3" t="s">
        <v>15</v>
      </c>
      <c r="R2" s="3" t="s">
        <v>16</v>
      </c>
    </row>
    <row r="3" spans="1:18" ht="14.5">
      <c r="A3" s="8" t="s">
        <v>17</v>
      </c>
      <c r="B3" s="9">
        <f>'Adj. P&amp;L'!$CD$11</f>
        <v>1506</v>
      </c>
      <c r="C3" s="9">
        <f>'Adj. P&amp;L'!CD35+'Adj. P&amp;L'!CD40</f>
        <v>190</v>
      </c>
      <c r="D3" s="10">
        <f t="shared" ref="D3:D5" si="0">J3/C3</f>
        <v>10.333761584803755</v>
      </c>
      <c r="E3" s="11">
        <f>('Revenue Analysis - Total'!G44+'Revenue Analysis - Total'!G30)/('Revenue Analysis - Total'!G43+'Revenue Analysis - Total'!G29)</f>
        <v>0.3</v>
      </c>
      <c r="F3" s="11">
        <f>('Revenue Analysis - Total'!G31+'Revenue Analysis - Total'!G45)/('Revenue Analysis - Total'!G43+'Revenue Analysis - Total'!G29)</f>
        <v>0</v>
      </c>
      <c r="G3" s="12">
        <f>SUM('Adj. P&amp;L'!CD43:CD44,'Adj. P&amp;L'!CD50:CD53)</f>
        <v>1200.1098314606741</v>
      </c>
      <c r="H3" s="12">
        <f>'Adj. P&amp;L'!CD46+'Adj. P&amp;L'!CD117</f>
        <v>241.85</v>
      </c>
      <c r="I3" s="12">
        <f>SUM('Adj. P&amp;L'!CD47:CD49,'Adj. P&amp;L'!CD118)</f>
        <v>521.45486965203941</v>
      </c>
      <c r="J3" s="7">
        <f t="shared" ref="J3:J5" si="1">SUM(G3:I3)</f>
        <v>1963.4147011127134</v>
      </c>
      <c r="K3" s="12">
        <f>-('Adj. P&amp;L'!CD58+'Adj. P&amp;L'!CD60)</f>
        <v>161.50825063330294</v>
      </c>
      <c r="L3" s="12">
        <f>-('Adj. P&amp;L'!CD65)</f>
        <v>646.64874706693899</v>
      </c>
      <c r="M3" s="12">
        <f>-'Adj. P&amp;L'!CD80</f>
        <v>419.07763084831566</v>
      </c>
      <c r="N3" s="12">
        <f>-'Adj. P&amp;L'!CD99</f>
        <v>304.64108198281792</v>
      </c>
      <c r="O3" s="7">
        <f t="shared" ref="O3:O5" si="2">J3-SUM(L3:N3)</f>
        <v>593.04724121464074</v>
      </c>
      <c r="Q3" s="7">
        <f>'Adj. P&amp;L'!CD55-J3</f>
        <v>0</v>
      </c>
      <c r="R3" s="7">
        <f>'Adj. P&amp;L'!CD101-O3</f>
        <v>0</v>
      </c>
    </row>
    <row r="4" spans="1:18" ht="14.5">
      <c r="A4" s="8" t="s">
        <v>18</v>
      </c>
      <c r="B4" s="9">
        <f>'Adj. P&amp;L'!$CE$11</f>
        <v>1581</v>
      </c>
      <c r="C4" s="9">
        <f>'Adj. P&amp;L'!CE35+'Adj. P&amp;L'!CE40</f>
        <v>200</v>
      </c>
      <c r="D4" s="10">
        <f t="shared" si="0"/>
        <v>13.355365098159846</v>
      </c>
      <c r="E4" s="11">
        <f>('Revenue Analysis - Total'!H44+'Revenue Analysis - Total'!H30)/('Revenue Analysis - Total'!H43+'Revenue Analysis - Total'!H29)</f>
        <v>0.65937500000000004</v>
      </c>
      <c r="F4" s="11">
        <f>('Revenue Analysis - Total'!H31+'Revenue Analysis - Total'!H45)/('Revenue Analysis - Total'!H43+'Revenue Analysis - Total'!H29)</f>
        <v>0.203125</v>
      </c>
      <c r="G4" s="12">
        <f>SUM('Adj. P&amp;L'!CE43:CE44,'Adj. P&amp;L'!CE50:CE53)</f>
        <v>1335.1457865168541</v>
      </c>
      <c r="H4" s="12">
        <f>'Adj. P&amp;L'!CE46+'Adj. P&amp;L'!CE117</f>
        <v>491.10833333333335</v>
      </c>
      <c r="I4" s="12">
        <f>SUM('Adj. P&amp;L'!CE47:CE49,'Adj. P&amp;L'!CE118)</f>
        <v>844.81889978178185</v>
      </c>
      <c r="J4" s="7">
        <f t="shared" si="1"/>
        <v>2671.0730196319691</v>
      </c>
      <c r="K4" s="12">
        <f>-('Adj. P&amp;L'!CE58+'Adj. P&amp;L'!CE60)</f>
        <v>389.58440618443421</v>
      </c>
      <c r="L4" s="12">
        <f>-('Adj. P&amp;L'!CE65)</f>
        <v>1029.6084035681286</v>
      </c>
      <c r="M4" s="12">
        <f>-'Adj. P&amp;L'!CE80</f>
        <v>456.73696556945362</v>
      </c>
      <c r="N4" s="12">
        <f>-'Adj. P&amp;L'!CE99</f>
        <v>376.89088343684614</v>
      </c>
      <c r="O4" s="7">
        <f t="shared" si="2"/>
        <v>807.83676705754078</v>
      </c>
      <c r="Q4" s="7">
        <f>'Adj. P&amp;L'!CE55-J4</f>
        <v>0</v>
      </c>
      <c r="R4" s="7">
        <f>'Adj. P&amp;L'!CE101-O4</f>
        <v>0</v>
      </c>
    </row>
    <row r="5" spans="1:18" ht="14.5">
      <c r="A5" s="8" t="s">
        <v>19</v>
      </c>
      <c r="B5" s="9">
        <f>'Adj. P&amp;L'!$CF$11</f>
        <v>1660</v>
      </c>
      <c r="C5" s="9">
        <f>'Adj. P&amp;L'!CF35+'Adj. P&amp;L'!CF40</f>
        <v>210</v>
      </c>
      <c r="D5" s="10">
        <f t="shared" si="0"/>
        <v>18.092088171523134</v>
      </c>
      <c r="E5" s="11">
        <f>('Revenue Analysis - Total'!I44+'Revenue Analysis - Total'!I30)/('Revenue Analysis - Total'!I43+'Revenue Analysis - Total'!I29)</f>
        <v>1</v>
      </c>
      <c r="F5" s="11">
        <f>('Revenue Analysis - Total'!I31+'Revenue Analysis - Total'!I45)/('Revenue Analysis - Total'!I43+'Revenue Analysis - Total'!I29)</f>
        <v>1</v>
      </c>
      <c r="G5" s="12">
        <f>SUM('Adj. P&amp;L'!CF43:CF44,'Adj. P&amp;L'!CF50:CF53)</f>
        <v>1399.0112359550562</v>
      </c>
      <c r="H5" s="12">
        <f>'Adj. P&amp;L'!CF46+'Adj. P&amp;L'!CF117</f>
        <v>767.83333333333337</v>
      </c>
      <c r="I5" s="12">
        <f>SUM('Adj. P&amp;L'!CF47:CF49,'Adj. P&amp;L'!CF118)</f>
        <v>1632.4939467314684</v>
      </c>
      <c r="J5" s="7">
        <f t="shared" si="1"/>
        <v>3799.3385160198582</v>
      </c>
      <c r="K5" s="12">
        <f>-('Adj. P&amp;L'!CF58+'Adj. P&amp;L'!CF60)</f>
        <v>667.35269535154362</v>
      </c>
      <c r="L5" s="12">
        <f>-('Adj. P&amp;L'!CF65)</f>
        <v>1592.494331995556</v>
      </c>
      <c r="M5" s="12">
        <f>-'Adj. P&amp;L'!CF80</f>
        <v>497.67151415873752</v>
      </c>
      <c r="N5" s="12">
        <f>-'Adj. P&amp;L'!CF99</f>
        <v>488.89978777681506</v>
      </c>
      <c r="O5" s="7">
        <f t="shared" si="2"/>
        <v>1220.2728820887496</v>
      </c>
      <c r="Q5" s="7">
        <f>'Adj. P&amp;L'!CF55-J5</f>
        <v>0</v>
      </c>
      <c r="R5" s="7">
        <f>'Adj. P&amp;L'!CF101-O5</f>
        <v>0</v>
      </c>
    </row>
    <row r="8" spans="1:18" ht="14.5"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spans="1:18" ht="14.5"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8" ht="14.5"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8" ht="14.5"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8" ht="14.5"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spans="1:18" ht="14.5"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8" ht="14.5"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8" ht="14.5"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8" ht="14.5"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5:15" ht="14.5"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5:15" ht="14.5"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21" spans="5:15" ht="15.75" customHeight="1"/>
    <row r="22" spans="5:15" ht="15.75" customHeight="1"/>
    <row r="23" spans="5:15" ht="15.75" customHeight="1"/>
    <row r="24" spans="5:15" ht="15.75" customHeight="1"/>
    <row r="25" spans="5:15" ht="15.75" customHeight="1"/>
    <row r="26" spans="5:15" ht="15.75" customHeight="1"/>
    <row r="27" spans="5:15" ht="15.75" customHeight="1"/>
    <row r="28" spans="5:15" ht="15.75" customHeight="1"/>
    <row r="29" spans="5:15" ht="15.75" customHeight="1"/>
    <row r="30" spans="5:15" ht="15.75" customHeight="1"/>
    <row r="31" spans="5:15" ht="15.75" customHeight="1"/>
    <row r="32" spans="5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W1000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2.54296875" defaultRowHeight="15" customHeight="1" outlineLevelRow="1" outlineLevelCol="1"/>
  <cols>
    <col min="1" max="1" width="6.1796875" customWidth="1" outlineLevel="1"/>
    <col min="2" max="2" width="1.54296875" customWidth="1"/>
    <col min="3" max="3" width="16.54296875" customWidth="1"/>
    <col min="4" max="15" width="8.7265625" customWidth="1"/>
    <col min="16" max="16" width="1.7265625" customWidth="1"/>
    <col min="17" max="19" width="10.7265625" customWidth="1"/>
    <col min="20" max="20" width="1.7265625" customWidth="1"/>
    <col min="21" max="23" width="10.7265625" customWidth="1"/>
  </cols>
  <sheetData>
    <row r="1" spans="1:23" ht="14.5">
      <c r="D1" s="13">
        <v>46203</v>
      </c>
      <c r="E1" s="13">
        <v>46234</v>
      </c>
      <c r="F1" s="13">
        <v>46265</v>
      </c>
      <c r="G1" s="13">
        <v>46295</v>
      </c>
      <c r="H1" s="13">
        <v>46326</v>
      </c>
      <c r="I1" s="13">
        <v>46356</v>
      </c>
      <c r="J1" s="13">
        <v>46387</v>
      </c>
      <c r="K1" s="13">
        <v>46418</v>
      </c>
      <c r="L1" s="13">
        <v>46446</v>
      </c>
      <c r="M1" s="13">
        <v>46477</v>
      </c>
      <c r="N1" s="13">
        <v>46507</v>
      </c>
      <c r="O1" s="13">
        <v>46538</v>
      </c>
      <c r="P1" s="14"/>
      <c r="Q1" s="15" t="s">
        <v>20</v>
      </c>
      <c r="R1" s="15" t="s">
        <v>21</v>
      </c>
      <c r="S1" s="15" t="s">
        <v>22</v>
      </c>
      <c r="U1" s="16">
        <v>2026</v>
      </c>
      <c r="V1" s="16">
        <v>2027</v>
      </c>
      <c r="W1" s="16">
        <v>2028</v>
      </c>
    </row>
    <row r="2" spans="1:23" ht="4.5" customHeight="1">
      <c r="P2" s="14"/>
    </row>
    <row r="3" spans="1:23" ht="14.5">
      <c r="C3" s="17" t="str">
        <f>Checks!$C$3</f>
        <v>Firefly Lane</v>
      </c>
      <c r="P3" s="14"/>
    </row>
    <row r="4" spans="1:23" ht="14.5">
      <c r="C4" s="3" t="s">
        <v>23</v>
      </c>
    </row>
    <row r="5" spans="1:23" ht="14.5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  <c r="W5" s="18"/>
    </row>
    <row r="6" spans="1:23" ht="14.5">
      <c r="C6" s="19"/>
      <c r="D6" s="517" t="s">
        <v>24</v>
      </c>
      <c r="E6" s="514"/>
      <c r="F6" s="514"/>
      <c r="G6" s="514"/>
      <c r="H6" s="514"/>
      <c r="I6" s="514"/>
      <c r="J6" s="514"/>
      <c r="K6" s="514"/>
      <c r="L6" s="514"/>
      <c r="M6" s="514"/>
      <c r="N6" s="514"/>
      <c r="O6" s="515"/>
      <c r="P6" s="20"/>
      <c r="Q6" s="516" t="s">
        <v>25</v>
      </c>
      <c r="R6" s="514"/>
      <c r="S6" s="515"/>
      <c r="T6" s="20"/>
      <c r="U6" s="516" t="s">
        <v>25</v>
      </c>
      <c r="V6" s="514"/>
      <c r="W6" s="515"/>
    </row>
    <row r="7" spans="1:23" ht="14.5">
      <c r="C7" s="19"/>
      <c r="D7" s="21">
        <v>46203</v>
      </c>
      <c r="E7" s="21">
        <f t="shared" ref="E7:O7" si="0">EOMONTH(D7,1)</f>
        <v>46234</v>
      </c>
      <c r="F7" s="21">
        <f t="shared" si="0"/>
        <v>46265</v>
      </c>
      <c r="G7" s="21">
        <f t="shared" si="0"/>
        <v>46295</v>
      </c>
      <c r="H7" s="21">
        <f t="shared" si="0"/>
        <v>46326</v>
      </c>
      <c r="I7" s="21">
        <f t="shared" si="0"/>
        <v>46356</v>
      </c>
      <c r="J7" s="21">
        <f t="shared" si="0"/>
        <v>46387</v>
      </c>
      <c r="K7" s="21">
        <f t="shared" si="0"/>
        <v>46418</v>
      </c>
      <c r="L7" s="21">
        <f t="shared" si="0"/>
        <v>46446</v>
      </c>
      <c r="M7" s="21">
        <f t="shared" si="0"/>
        <v>46477</v>
      </c>
      <c r="N7" s="21">
        <f t="shared" si="0"/>
        <v>46507</v>
      </c>
      <c r="O7" s="21">
        <f t="shared" si="0"/>
        <v>46538</v>
      </c>
      <c r="P7" s="3"/>
      <c r="Q7" s="19" t="s">
        <v>20</v>
      </c>
      <c r="R7" s="19" t="s">
        <v>21</v>
      </c>
      <c r="S7" s="19" t="s">
        <v>22</v>
      </c>
      <c r="T7" s="3"/>
      <c r="U7" s="22" t="s">
        <v>26</v>
      </c>
      <c r="V7" s="22" t="s">
        <v>27</v>
      </c>
      <c r="W7" s="22" t="s">
        <v>28</v>
      </c>
    </row>
    <row r="8" spans="1:23" ht="4.5" customHeight="1"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U8" s="23"/>
      <c r="V8" s="23"/>
      <c r="W8" s="23"/>
    </row>
    <row r="9" spans="1:23" ht="14.5">
      <c r="C9" s="24" t="s">
        <v>14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7"/>
      <c r="R9" s="27"/>
      <c r="S9" s="27"/>
      <c r="U9" s="27"/>
      <c r="V9" s="27"/>
      <c r="W9" s="27"/>
    </row>
    <row r="10" spans="1:23" ht="14.5">
      <c r="A10" s="3" t="s">
        <v>29</v>
      </c>
      <c r="B10" s="3" t="s">
        <v>30</v>
      </c>
      <c r="C10" s="8" t="s">
        <v>29</v>
      </c>
      <c r="D10" s="25">
        <f t="array" ref="D10">INDEX('Adj. P&amp;L'!$D$11:$CX$119,MATCH($A10,'Adj. P&amp;L'!$C$11:$C$119,0),MATCH(D$1,'Adj. P&amp;L'!$D$9:$CX$9,0))</f>
        <v>15</v>
      </c>
      <c r="E10" s="25">
        <f t="array" ref="E10">INDEX('Adj. P&amp;L'!$D$11:$CX$119,MATCH($A10,'Adj. P&amp;L'!$C$11:$C$119,0),MATCH(E$1,'Adj. P&amp;L'!$D$9:$CX$9,0))</f>
        <v>24</v>
      </c>
      <c r="F10" s="25">
        <f t="array" ref="F10">INDEX('Adj. P&amp;L'!$D$11:$CX$119,MATCH($A10,'Adj. P&amp;L'!$C$11:$C$119,0),MATCH(F$1,'Adj. P&amp;L'!$D$9:$CX$9,0))</f>
        <v>21</v>
      </c>
      <c r="G10" s="25">
        <f t="array" ref="G10">INDEX('Adj. P&amp;L'!$D$11:$CX$119,MATCH($A10,'Adj. P&amp;L'!$C$11:$C$119,0),MATCH(G$1,'Adj. P&amp;L'!$D$9:$CX$9,0))</f>
        <v>16</v>
      </c>
      <c r="H10" s="25">
        <f t="array" ref="H10">INDEX('Adj. P&amp;L'!$D$11:$CX$119,MATCH($A10,'Adj. P&amp;L'!$C$11:$C$119,0),MATCH(H$1,'Adj. P&amp;L'!$D$9:$CX$9,0))</f>
        <v>12</v>
      </c>
      <c r="I10" s="25">
        <f t="array" ref="I10">INDEX('Adj. P&amp;L'!$D$11:$CX$119,MATCH($A10,'Adj. P&amp;L'!$C$11:$C$119,0),MATCH(I$1,'Adj. P&amp;L'!$D$9:$CX$9,0))</f>
        <v>16</v>
      </c>
      <c r="J10" s="25">
        <f t="array" ref="J10">INDEX('Adj. P&amp;L'!$D$11:$CX$119,MATCH($A10,'Adj. P&amp;L'!$C$11:$C$119,0),MATCH(J$1,'Adj. P&amp;L'!$D$9:$CX$9,0))</f>
        <v>11</v>
      </c>
      <c r="K10" s="25">
        <f t="array" ref="K10">INDEX('Adj. P&amp;L'!$D$11:$CX$119,MATCH($A10,'Adj. P&amp;L'!$C$11:$C$119,0),MATCH(K$1,'Adj. P&amp;L'!$D$9:$CX$9,0))</f>
        <v>21</v>
      </c>
      <c r="L10" s="25">
        <f t="array" ref="L10">INDEX('Adj. P&amp;L'!$D$11:$CX$119,MATCH($A10,'Adj. P&amp;L'!$C$11:$C$119,0),MATCH(L$1,'Adj. P&amp;L'!$D$9:$CX$9,0))</f>
        <v>11</v>
      </c>
      <c r="M10" s="25">
        <f t="array" ref="M10">INDEX('Adj. P&amp;L'!$D$11:$CX$119,MATCH($A10,'Adj. P&amp;L'!$C$11:$C$119,0),MATCH(M$1,'Adj. P&amp;L'!$D$9:$CX$9,0))</f>
        <v>17</v>
      </c>
      <c r="N10" s="25">
        <f t="array" ref="N10">INDEX('Adj. P&amp;L'!$D$11:$CX$119,MATCH($A10,'Adj. P&amp;L'!$C$11:$C$119,0),MATCH(N$1,'Adj. P&amp;L'!$D$9:$CX$9,0))</f>
        <v>13</v>
      </c>
      <c r="O10" s="25">
        <f t="array" ref="O10">INDEX('Adj. P&amp;L'!$D$11:$CX$119,MATCH($A10,'Adj. P&amp;L'!$C$11:$C$119,0),MATCH(O$1,'Adj. P&amp;L'!$D$9:$CX$9,0))</f>
        <v>13</v>
      </c>
      <c r="P10" s="26"/>
      <c r="Q10" s="27">
        <f t="array" ref="Q10">INDEX('Adj. P&amp;L'!$D$11:$CX$119,MATCH($A10,'Adj. P&amp;L'!$C$11:$C$119,0),MATCH(Q$1,'Adj. P&amp;L'!$D$9:$CX$9,0))</f>
        <v>190</v>
      </c>
      <c r="R10" s="27">
        <f t="array" ref="R10">INDEX('Adj. P&amp;L'!$D$11:$CX$119,MATCH($A10,'Adj. P&amp;L'!$C$11:$C$119,0),MATCH(R$1,'Adj. P&amp;L'!$D$9:$CX$9,0))</f>
        <v>200</v>
      </c>
      <c r="S10" s="27">
        <f t="array" ref="S10">INDEX('Adj. P&amp;L'!$D$11:$CX$119,MATCH($A10,'Adj. P&amp;L'!$C$11:$C$119,0),MATCH(S$1,'Adj. P&amp;L'!$D$9:$CX$9,0))</f>
        <v>210</v>
      </c>
      <c r="U10" s="27">
        <f t="array" ref="U10">INDEX('Adj. P&amp;L'!$D$11:$CX$119,MATCH($A10,'Adj. P&amp;L'!$C$11:$C$119,0),MATCH(U$1,'Adj. P&amp;L'!$D$9:$CX$9,0))</f>
        <v>163</v>
      </c>
      <c r="V10" s="27">
        <f t="array" ref="V10">INDEX('Adj. P&amp;L'!$D$11:$CX$119,MATCH($A10,'Adj. P&amp;L'!$C$11:$C$119,0),MATCH(V$1,'Adj. P&amp;L'!$D$9:$CX$9,0))</f>
        <v>195</v>
      </c>
      <c r="W10" s="27">
        <f t="array" ref="W10">INDEX('Adj. P&amp;L'!$D$11:$CX$119,MATCH($A10,'Adj. P&amp;L'!$C$11:$C$119,0),MATCH(W$1,'Adj. P&amp;L'!$D$9:$CX$9,0))</f>
        <v>206</v>
      </c>
    </row>
    <row r="11" spans="1:23" ht="14.5" hidden="1" outlineLevel="1">
      <c r="A11" s="8" t="s">
        <v>31</v>
      </c>
      <c r="B11" s="3" t="s">
        <v>30</v>
      </c>
      <c r="C11" s="8" t="s">
        <v>31</v>
      </c>
      <c r="D11" s="25">
        <f t="array" ref="D11">INDEX('Adj. P&amp;L'!$D$11:$CX$119,MATCH($A11,'Adj. P&amp;L'!$C$11:$C$119,0),MATCH(D$1,'Adj. P&amp;L'!$D$9:$CX$9,0))</f>
        <v>12</v>
      </c>
      <c r="E11" s="25">
        <f t="array" ref="E11">INDEX('Adj. P&amp;L'!$D$11:$CX$119,MATCH($A11,'Adj. P&amp;L'!$C$11:$C$119,0),MATCH(E$1,'Adj. P&amp;L'!$D$9:$CX$9,0))</f>
        <v>10</v>
      </c>
      <c r="F11" s="25">
        <f t="array" ref="F11">INDEX('Adj. P&amp;L'!$D$11:$CX$119,MATCH($A11,'Adj. P&amp;L'!$C$11:$C$119,0),MATCH(F$1,'Adj. P&amp;L'!$D$9:$CX$9,0))</f>
        <v>15</v>
      </c>
      <c r="G11" s="25">
        <f t="array" ref="G11">INDEX('Adj. P&amp;L'!$D$11:$CX$119,MATCH($A11,'Adj. P&amp;L'!$C$11:$C$119,0),MATCH(G$1,'Adj. P&amp;L'!$D$9:$CX$9,0))</f>
        <v>19</v>
      </c>
      <c r="H11" s="25">
        <f t="array" ref="H11">INDEX('Adj. P&amp;L'!$D$11:$CX$119,MATCH($A11,'Adj. P&amp;L'!$C$11:$C$119,0),MATCH(H$1,'Adj. P&amp;L'!$D$9:$CX$9,0))</f>
        <v>24</v>
      </c>
      <c r="I11" s="25">
        <f t="array" ref="I11">INDEX('Adj. P&amp;L'!$D$11:$CX$119,MATCH($A11,'Adj. P&amp;L'!$C$11:$C$119,0),MATCH(I$1,'Adj. P&amp;L'!$D$9:$CX$9,0))</f>
        <v>12</v>
      </c>
      <c r="J11" s="25">
        <f t="array" ref="J11">INDEX('Adj. P&amp;L'!$D$11:$CX$119,MATCH($A11,'Adj. P&amp;L'!$C$11:$C$119,0),MATCH(J$1,'Adj. P&amp;L'!$D$9:$CX$9,0))</f>
        <v>5</v>
      </c>
      <c r="K11" s="25">
        <f t="array" ref="K11">INDEX('Adj. P&amp;L'!$D$11:$CX$119,MATCH($A11,'Adj. P&amp;L'!$C$11:$C$119,0),MATCH(K$1,'Adj. P&amp;L'!$D$9:$CX$9,0))</f>
        <v>0</v>
      </c>
      <c r="L11" s="25">
        <f t="array" ref="L11">INDEX('Adj. P&amp;L'!$D$11:$CX$119,MATCH($A11,'Adj. P&amp;L'!$C$11:$C$119,0),MATCH(L$1,'Adj. P&amp;L'!$D$9:$CX$9,0))</f>
        <v>0</v>
      </c>
      <c r="M11" s="25">
        <f t="array" ref="M11">INDEX('Adj. P&amp;L'!$D$11:$CX$119,MATCH($A11,'Adj. P&amp;L'!$C$11:$C$119,0),MATCH(M$1,'Adj. P&amp;L'!$D$9:$CX$9,0))</f>
        <v>6</v>
      </c>
      <c r="N11" s="25">
        <f t="array" ref="N11">INDEX('Adj. P&amp;L'!$D$11:$CX$119,MATCH($A11,'Adj. P&amp;L'!$C$11:$C$119,0),MATCH(N$1,'Adj. P&amp;L'!$D$9:$CX$9,0))</f>
        <v>20</v>
      </c>
      <c r="O11" s="25">
        <f t="array" ref="O11">INDEX('Adj. P&amp;L'!$D$11:$CX$119,MATCH($A11,'Adj. P&amp;L'!$C$11:$C$119,0),MATCH(O$1,'Adj. P&amp;L'!$D$9:$CX$9,0))</f>
        <v>27</v>
      </c>
      <c r="P11" s="26"/>
      <c r="Q11" s="27">
        <f t="array" ref="Q11">INDEX('Adj. P&amp;L'!$D$11:$CX$119,MATCH($A11,'Adj. P&amp;L'!$C$11:$C$119,0),MATCH(Q$1,'Adj. P&amp;L'!$D$9:$CX$9,0))</f>
        <v>150</v>
      </c>
      <c r="R11" s="27">
        <f t="array" ref="R11">INDEX('Adj. P&amp;L'!$D$11:$CX$119,MATCH($A11,'Adj. P&amp;L'!$C$11:$C$119,0),MATCH(R$1,'Adj. P&amp;L'!$D$9:$CX$9,0))</f>
        <v>160</v>
      </c>
      <c r="S11" s="27">
        <f t="array" ref="S11">INDEX('Adj. P&amp;L'!$D$11:$CX$119,MATCH($A11,'Adj. P&amp;L'!$C$11:$C$119,0),MATCH(S$1,'Adj. P&amp;L'!$D$9:$CX$9,0))</f>
        <v>170</v>
      </c>
      <c r="U11" s="27">
        <f t="array" ref="U11">INDEX('Adj. P&amp;L'!$D$11:$CX$119,MATCH($A11,'Adj. P&amp;L'!$C$11:$C$119,0),MATCH(U$1,'Adj. P&amp;L'!$D$9:$CX$9,0))</f>
        <v>140</v>
      </c>
      <c r="V11" s="27">
        <f t="array" ref="V11">INDEX('Adj. P&amp;L'!$D$11:$CX$119,MATCH($A11,'Adj. P&amp;L'!$C$11:$C$119,0),MATCH(V$1,'Adj. P&amp;L'!$D$9:$CX$9,0))</f>
        <v>162</v>
      </c>
      <c r="W11" s="27">
        <f t="array" ref="W11">INDEX('Adj. P&amp;L'!$D$11:$CX$119,MATCH($A11,'Adj. P&amp;L'!$C$11:$C$119,0),MATCH(W$1,'Adj. P&amp;L'!$D$9:$CX$9,0))</f>
        <v>166</v>
      </c>
    </row>
    <row r="12" spans="1:23" ht="15.75" hidden="1" customHeight="1" outlineLevel="1">
      <c r="A12" s="8" t="s">
        <v>32</v>
      </c>
      <c r="B12" s="3" t="s">
        <v>30</v>
      </c>
      <c r="C12" s="8" t="s">
        <v>32</v>
      </c>
      <c r="D12" s="25">
        <f t="array" ref="D12">INDEX('Adj. P&amp;L'!$D$11:$CX$119,MATCH($A12,'Adj. P&amp;L'!$C$11:$C$119,0),MATCH(D$1,'Adj. P&amp;L'!$D$9:$CX$9,0))</f>
        <v>4</v>
      </c>
      <c r="E12" s="25">
        <f t="array" ref="E12">INDEX('Adj. P&amp;L'!$D$11:$CX$119,MATCH($A12,'Adj. P&amp;L'!$C$11:$C$119,0),MATCH(E$1,'Adj. P&amp;L'!$D$9:$CX$9,0))</f>
        <v>0</v>
      </c>
      <c r="F12" s="25">
        <f t="array" ref="F12">INDEX('Adj. P&amp;L'!$D$11:$CX$119,MATCH($A12,'Adj. P&amp;L'!$C$11:$C$119,0),MATCH(F$1,'Adj. P&amp;L'!$D$9:$CX$9,0))</f>
        <v>2</v>
      </c>
      <c r="G12" s="25">
        <f t="array" ref="G12">INDEX('Adj. P&amp;L'!$D$11:$CX$119,MATCH($A12,'Adj. P&amp;L'!$C$11:$C$119,0),MATCH(G$1,'Adj. P&amp;L'!$D$9:$CX$9,0))</f>
        <v>5</v>
      </c>
      <c r="H12" s="25">
        <f t="array" ref="H12">INDEX('Adj. P&amp;L'!$D$11:$CX$119,MATCH($A12,'Adj. P&amp;L'!$C$11:$C$119,0),MATCH(H$1,'Adj. P&amp;L'!$D$9:$CX$9,0))</f>
        <v>6</v>
      </c>
      <c r="I12" s="25">
        <f t="array" ref="I12">INDEX('Adj. P&amp;L'!$D$11:$CX$119,MATCH($A12,'Adj. P&amp;L'!$C$11:$C$119,0),MATCH(I$1,'Adj. P&amp;L'!$D$9:$CX$9,0))</f>
        <v>1</v>
      </c>
      <c r="J12" s="25">
        <f t="array" ref="J12">INDEX('Adj. P&amp;L'!$D$11:$CX$119,MATCH($A12,'Adj. P&amp;L'!$C$11:$C$119,0),MATCH(J$1,'Adj. P&amp;L'!$D$9:$CX$9,0))</f>
        <v>0</v>
      </c>
      <c r="K12" s="25">
        <f t="array" ref="K12">INDEX('Adj. P&amp;L'!$D$11:$CX$119,MATCH($A12,'Adj. P&amp;L'!$C$11:$C$119,0),MATCH(K$1,'Adj. P&amp;L'!$D$9:$CX$9,0))</f>
        <v>0</v>
      </c>
      <c r="L12" s="25">
        <f t="array" ref="L12">INDEX('Adj. P&amp;L'!$D$11:$CX$119,MATCH($A12,'Adj. P&amp;L'!$C$11:$C$119,0),MATCH(L$1,'Adj. P&amp;L'!$D$9:$CX$9,0))</f>
        <v>0</v>
      </c>
      <c r="M12" s="25">
        <f t="array" ref="M12">INDEX('Adj. P&amp;L'!$D$11:$CX$119,MATCH($A12,'Adj. P&amp;L'!$C$11:$C$119,0),MATCH(M$1,'Adj. P&amp;L'!$D$9:$CX$9,0))</f>
        <v>2</v>
      </c>
      <c r="N12" s="25">
        <f t="array" ref="N12">INDEX('Adj. P&amp;L'!$D$11:$CX$119,MATCH($A12,'Adj. P&amp;L'!$C$11:$C$119,0),MATCH(N$1,'Adj. P&amp;L'!$D$9:$CX$9,0))</f>
        <v>7</v>
      </c>
      <c r="O12" s="25">
        <f t="array" ref="O12">INDEX('Adj. P&amp;L'!$D$11:$CX$119,MATCH($A12,'Adj. P&amp;L'!$C$11:$C$119,0),MATCH(O$1,'Adj. P&amp;L'!$D$9:$CX$9,0))</f>
        <v>12</v>
      </c>
      <c r="P12" s="26"/>
      <c r="Q12" s="27">
        <f t="array" ref="Q12">INDEX('Adj. P&amp;L'!$D$11:$CX$119,MATCH($A12,'Adj. P&amp;L'!$C$11:$C$119,0),MATCH(Q$1,'Adj. P&amp;L'!$D$9:$CX$9,0))</f>
        <v>40</v>
      </c>
      <c r="R12" s="27">
        <f t="array" ref="R12">INDEX('Adj. P&amp;L'!$D$11:$CX$119,MATCH($A12,'Adj. P&amp;L'!$C$11:$C$119,0),MATCH(R$1,'Adj. P&amp;L'!$D$9:$CX$9,0))</f>
        <v>40</v>
      </c>
      <c r="S12" s="27">
        <f t="array" ref="S12">INDEX('Adj. P&amp;L'!$D$11:$CX$119,MATCH($A12,'Adj. P&amp;L'!$C$11:$C$119,0),MATCH(S$1,'Adj. P&amp;L'!$D$9:$CX$9,0))</f>
        <v>40</v>
      </c>
      <c r="U12" s="27">
        <f t="array" ref="U12">INDEX('Adj. P&amp;L'!$D$11:$CX$119,MATCH($A12,'Adj. P&amp;L'!$C$11:$C$119,0),MATCH(U$1,'Adj. P&amp;L'!$D$9:$CX$9,0))</f>
        <v>27</v>
      </c>
      <c r="V12" s="27">
        <f t="array" ref="V12">INDEX('Adj. P&amp;L'!$D$11:$CX$119,MATCH($A12,'Adj. P&amp;L'!$C$11:$C$119,0),MATCH(V$1,'Adj. P&amp;L'!$D$9:$CX$9,0))</f>
        <v>48</v>
      </c>
      <c r="W12" s="27">
        <f t="array" ref="W12">INDEX('Adj. P&amp;L'!$D$11:$CX$119,MATCH($A12,'Adj. P&amp;L'!$C$11:$C$119,0),MATCH(W$1,'Adj. P&amp;L'!$D$9:$CX$9,0))</f>
        <v>40</v>
      </c>
    </row>
    <row r="13" spans="1:23" ht="14.5" collapsed="1">
      <c r="B13" s="3" t="s">
        <v>30</v>
      </c>
      <c r="C13" s="8" t="s">
        <v>2</v>
      </c>
      <c r="D13" s="25">
        <f t="shared" ref="D13:O13" si="1">SUM(D11:D12)</f>
        <v>16</v>
      </c>
      <c r="E13" s="25">
        <f t="shared" si="1"/>
        <v>10</v>
      </c>
      <c r="F13" s="25">
        <f t="shared" si="1"/>
        <v>17</v>
      </c>
      <c r="G13" s="25">
        <f t="shared" si="1"/>
        <v>24</v>
      </c>
      <c r="H13" s="25">
        <f t="shared" si="1"/>
        <v>30</v>
      </c>
      <c r="I13" s="25">
        <f t="shared" si="1"/>
        <v>13</v>
      </c>
      <c r="J13" s="25">
        <f t="shared" si="1"/>
        <v>5</v>
      </c>
      <c r="K13" s="25">
        <f t="shared" si="1"/>
        <v>0</v>
      </c>
      <c r="L13" s="25">
        <f t="shared" si="1"/>
        <v>0</v>
      </c>
      <c r="M13" s="25">
        <f t="shared" si="1"/>
        <v>8</v>
      </c>
      <c r="N13" s="25">
        <f t="shared" si="1"/>
        <v>27</v>
      </c>
      <c r="O13" s="25">
        <f t="shared" si="1"/>
        <v>39</v>
      </c>
      <c r="P13" s="26"/>
      <c r="Q13" s="27">
        <f t="shared" ref="Q13:S13" si="2">SUM(Q11:Q12)</f>
        <v>190</v>
      </c>
      <c r="R13" s="27">
        <f t="shared" si="2"/>
        <v>200</v>
      </c>
      <c r="S13" s="27">
        <f t="shared" si="2"/>
        <v>210</v>
      </c>
      <c r="U13" s="27">
        <f t="shared" ref="U13:W13" si="3">SUM(U11:U12)</f>
        <v>167</v>
      </c>
      <c r="V13" s="27">
        <f t="shared" si="3"/>
        <v>210</v>
      </c>
      <c r="W13" s="27">
        <f t="shared" si="3"/>
        <v>206</v>
      </c>
    </row>
    <row r="14" spans="1:23" ht="14.5">
      <c r="A14" s="3" t="s">
        <v>9</v>
      </c>
      <c r="B14" s="3" t="s">
        <v>30</v>
      </c>
      <c r="C14" s="8" t="s">
        <v>33</v>
      </c>
      <c r="D14" s="7">
        <f t="array" ref="D14">INDEX('Adj. P&amp;L'!$D$11:$CX$119,MATCH($A14,'Adj. P&amp;L'!$C$11:$C$119,0),MATCH(D$1,'Adj. P&amp;L'!$D$9:$CX$9,0))</f>
        <v>170.66257608901708</v>
      </c>
      <c r="E14" s="7">
        <f t="array" ref="E14">INDEX('Adj. P&amp;L'!$D$11:$CX$119,MATCH($A14,'Adj. P&amp;L'!$C$11:$C$119,0),MATCH(E$1,'Adj. P&amp;L'!$D$9:$CX$9,0))</f>
        <v>115.06464674084755</v>
      </c>
      <c r="F14" s="7">
        <f t="array" ref="F14">INDEX('Adj. P&amp;L'!$D$11:$CX$119,MATCH($A14,'Adj. P&amp;L'!$C$11:$C$119,0),MATCH(F$1,'Adj. P&amp;L'!$D$9:$CX$9,0))</f>
        <v>238.78947011127136</v>
      </c>
      <c r="G14" s="7">
        <f t="array" ref="G14">INDEX('Adj. P&amp;L'!$D$11:$CX$119,MATCH($A14,'Adj. P&amp;L'!$C$11:$C$119,0),MATCH(G$1,'Adj. P&amp;L'!$D$9:$CX$9,0))</f>
        <v>256.80032880761041</v>
      </c>
      <c r="H14" s="7">
        <f t="array" ref="H14">INDEX('Adj. P&amp;L'!$D$11:$CX$119,MATCH($A14,'Adj. P&amp;L'!$C$11:$C$119,0),MATCH(H$1,'Adj. P&amp;L'!$D$9:$CX$9,0))</f>
        <v>298.71015217803415</v>
      </c>
      <c r="I14" s="7">
        <f t="array" ref="I14">INDEX('Adj. P&amp;L'!$D$11:$CX$119,MATCH($A14,'Adj. P&amp;L'!$C$11:$C$119,0),MATCH(I$1,'Adj. P&amp;L'!$D$9:$CX$9,0))</f>
        <v>154.8925760890171</v>
      </c>
      <c r="J14" s="7">
        <f t="array" ref="J14">INDEX('Adj. P&amp;L'!$D$11:$CX$119,MATCH($A14,'Adj. P&amp;L'!$C$11:$C$119,0),MATCH(J$1,'Adj. P&amp;L'!$D$9:$CX$9,0))</f>
        <v>54.519823370423779</v>
      </c>
      <c r="K14" s="7">
        <f t="array" ref="K14">INDEX('Adj. P&amp;L'!$D$11:$CX$119,MATCH($A14,'Adj. P&amp;L'!$C$11:$C$119,0),MATCH(K$1,'Adj. P&amp;L'!$D$9:$CX$9,0))</f>
        <v>0</v>
      </c>
      <c r="L14" s="7">
        <f t="array" ref="L14">INDEX('Adj. P&amp;L'!$D$11:$CX$119,MATCH($A14,'Adj. P&amp;L'!$C$11:$C$119,0),MATCH(L$1,'Adj. P&amp;L'!$D$9:$CX$9,0))</f>
        <v>0</v>
      </c>
      <c r="M14" s="7">
        <f t="array" ref="M14">INDEX('Adj. P&amp;L'!$D$11:$CX$119,MATCH($A14,'Adj. P&amp;L'!$C$11:$C$119,0),MATCH(M$1,'Adj. P&amp;L'!$D$9:$CX$9,0))</f>
        <v>68.083788044508537</v>
      </c>
      <c r="N14" s="7">
        <f t="array" ref="N14">INDEX('Adj. P&amp;L'!$D$11:$CX$119,MATCH($A14,'Adj. P&amp;L'!$C$11:$C$119,0),MATCH(N$1,'Adj. P&amp;L'!$D$9:$CX$9,0))</f>
        <v>229.17929348169511</v>
      </c>
      <c r="O14" s="7">
        <f t="array" ref="O14">INDEX('Adj. P&amp;L'!$D$11:$CX$119,MATCH($A14,'Adj. P&amp;L'!$C$11:$C$119,0),MATCH(O$1,'Adj. P&amp;L'!$D$9:$CX$9,0))</f>
        <v>376.7120462002884</v>
      </c>
      <c r="P14" s="28"/>
      <c r="Q14" s="29">
        <f t="array" ref="Q14">INDEX('Adj. P&amp;L'!$D$11:$CX$119,MATCH($A14,'Adj. P&amp;L'!$C$11:$C$119,0),MATCH(Q$1,'Adj. P&amp;L'!$D$9:$CX$9,0))</f>
        <v>1963.4147011127134</v>
      </c>
      <c r="R14" s="29">
        <f t="array" ref="R14">INDEX('Adj. P&amp;L'!$D$11:$CX$119,MATCH($A14,'Adj. P&amp;L'!$C$11:$C$119,0),MATCH(R$1,'Adj. P&amp;L'!$D$9:$CX$9,0))</f>
        <v>2671.0730196319691</v>
      </c>
      <c r="S14" s="29">
        <f t="array" ref="S14">INDEX('Adj. P&amp;L'!$D$11:$CX$119,MATCH($A14,'Adj. P&amp;L'!$C$11:$C$119,0),MATCH(S$1,'Adj. P&amp;L'!$D$9:$CX$9,0))</f>
        <v>3799.3385160198582</v>
      </c>
      <c r="U14" s="29">
        <f t="array" ref="U14">INDEX('Adj. P&amp;L'!$D$11:$CX$119,MATCH($A14,'Adj. P&amp;L'!$C$11:$C$119,0),MATCH(U$1,'Adj. P&amp;L'!$D$9:$CX$9,0))</f>
        <v>1689.6161787997553</v>
      </c>
      <c r="V14" s="29">
        <f t="array" ref="V14">INDEX('Adj. P&amp;L'!$D$11:$CX$119,MATCH($A14,'Adj. P&amp;L'!$C$11:$C$119,0),MATCH(V$1,'Adj. P&amp;L'!$D$9:$CX$9,0))</f>
        <v>2447.7819123501536</v>
      </c>
      <c r="W14" s="29">
        <f t="array" ref="W14">INDEX('Adj. P&amp;L'!$D$11:$CX$119,MATCH($A14,'Adj. P&amp;L'!$C$11:$C$119,0),MATCH(W$1,'Adj. P&amp;L'!$D$9:$CX$9,0))</f>
        <v>3467.3040546688007</v>
      </c>
    </row>
    <row r="15" spans="1:23" ht="14.5">
      <c r="A15" s="3" t="s">
        <v>34</v>
      </c>
      <c r="B15" s="3" t="s">
        <v>30</v>
      </c>
      <c r="C15" s="3" t="s">
        <v>35</v>
      </c>
      <c r="D15" s="7">
        <f t="array" ref="D15">INDEX('Adj. P&amp;L'!$D$11:$CX$119,MATCH($A15,'Adj. P&amp;L'!$C$11:$C$119,0),MATCH(D$1,'Adj. P&amp;L'!$D$9:$CX$9,0))</f>
        <v>48.268789274119136</v>
      </c>
      <c r="E15" s="7">
        <f t="array" ref="E15">INDEX('Adj. P&amp;L'!$D$11:$CX$119,MATCH($A15,'Adj. P&amp;L'!$C$11:$C$119,0),MATCH(E$1,'Adj. P&amp;L'!$D$9:$CX$9,0))</f>
        <v>23.79050803815047</v>
      </c>
      <c r="F15" s="7">
        <f t="array" ref="F15">INDEX('Adj. P&amp;L'!$D$11:$CX$119,MATCH($A15,'Adj. P&amp;L'!$C$11:$C$119,0),MATCH(F$1,'Adj. P&amp;L'!$D$9:$CX$9,0))</f>
        <v>71.36464929040153</v>
      </c>
      <c r="G15" s="7">
        <f t="array" ref="G15">INDEX('Adj. P&amp;L'!$D$11:$CX$119,MATCH($A15,'Adj. P&amp;L'!$C$11:$C$119,0),MATCH(G$1,'Adj. P&amp;L'!$D$9:$CX$9,0))</f>
        <v>100.16012860298503</v>
      </c>
      <c r="H15" s="7">
        <f t="array" ref="H15">INDEX('Adj. P&amp;L'!$D$11:$CX$119,MATCH($A15,'Adj. P&amp;L'!$C$11:$C$119,0),MATCH(H$1,'Adj. P&amp;L'!$D$9:$CX$9,0))</f>
        <v>132.74032213100432</v>
      </c>
      <c r="I15" s="7">
        <f t="array" ref="I15">INDEX('Adj. P&amp;L'!$D$11:$CX$119,MATCH($A15,'Adj. P&amp;L'!$C$11:$C$119,0),MATCH(I$1,'Adj. P&amp;L'!$D$9:$CX$9,0))</f>
        <v>42.603070205352616</v>
      </c>
      <c r="J15" s="7">
        <f t="array" ref="J15">INDEX('Adj. P&amp;L'!$D$11:$CX$119,MATCH($A15,'Adj. P&amp;L'!$C$11:$C$119,0),MATCH(J$1,'Adj. P&amp;L'!$D$9:$CX$9,0))</f>
        <v>-10.321925492815222</v>
      </c>
      <c r="K15" s="7">
        <f t="array" ref="K15">INDEX('Adj. P&amp;L'!$D$11:$CX$119,MATCH($A15,'Adj. P&amp;L'!$C$11:$C$119,0),MATCH(K$1,'Adj. P&amp;L'!$D$9:$CX$9,0))</f>
        <v>-44.904764389074614</v>
      </c>
      <c r="L15" s="7">
        <f t="array" ref="L15">INDEX('Adj. P&amp;L'!$D$11:$CX$119,MATCH($A15,'Adj. P&amp;L'!$C$11:$C$119,0),MATCH(L$1,'Adj. P&amp;L'!$D$9:$CX$9,0))</f>
        <v>-44.904764389074614</v>
      </c>
      <c r="M15" s="7">
        <f t="array" ref="M15">INDEX('Adj. P&amp;L'!$D$11:$CX$119,MATCH($A15,'Adj. P&amp;L'!$C$11:$C$119,0),MATCH(M$1,'Adj. P&amp;L'!$D$9:$CX$9,0))</f>
        <v>-0.41644124413284089</v>
      </c>
      <c r="N15" s="7">
        <f t="array" ref="N15">INDEX('Adj. P&amp;L'!$D$11:$CX$119,MATCH($A15,'Adj. P&amp;L'!$C$11:$C$119,0),MATCH(N$1,'Adj. P&amp;L'!$D$9:$CX$9,0))</f>
        <v>103.94688172629323</v>
      </c>
      <c r="O15" s="7">
        <f t="array" ref="O15">INDEX('Adj. P&amp;L'!$D$11:$CX$119,MATCH($A15,'Adj. P&amp;L'!$C$11:$C$119,0),MATCH(O$1,'Adj. P&amp;L'!$D$9:$CX$9,0))</f>
        <v>170.72078746143185</v>
      </c>
      <c r="P15" s="28"/>
      <c r="Q15" s="29">
        <f t="array" ref="Q15">INDEX('Adj. P&amp;L'!$D$11:$CX$119,MATCH($A15,'Adj. P&amp;L'!$C$11:$C$119,0),MATCH(Q$1,'Adj. P&amp;L'!$D$9:$CX$9,0))</f>
        <v>593.04724121464074</v>
      </c>
      <c r="R15" s="29">
        <f t="array" ref="R15">INDEX('Adj. P&amp;L'!$D$11:$CX$119,MATCH($A15,'Adj. P&amp;L'!$C$11:$C$119,0),MATCH(R$1,'Adj. P&amp;L'!$D$9:$CX$9,0))</f>
        <v>807.8367670575409</v>
      </c>
      <c r="S15" s="29">
        <f t="array" ref="S15">INDEX('Adj. P&amp;L'!$D$11:$CX$119,MATCH($A15,'Adj. P&amp;L'!$C$11:$C$119,0),MATCH(S$1,'Adj. P&amp;L'!$D$9:$CX$9,0))</f>
        <v>1220.2728820887496</v>
      </c>
      <c r="U15" s="29">
        <f t="array" ref="U15">INDEX('Adj. P&amp;L'!$D$11:$CX$119,MATCH($A15,'Adj. P&amp;L'!$C$11:$C$119,0),MATCH(U$1,'Adj. P&amp;L'!$D$9:$CX$9,0))</f>
        <v>579.92768746273146</v>
      </c>
      <c r="V15" s="29">
        <f t="array" ref="V15">INDEX('Adj. P&amp;L'!$D$11:$CX$119,MATCH($A15,'Adj. P&amp;L'!$C$11:$C$119,0),MATCH(V$1,'Adj. P&amp;L'!$D$9:$CX$9,0))</f>
        <v>739.23780319776733</v>
      </c>
      <c r="W15" s="29">
        <f t="array" ref="W15">INDEX('Adj. P&amp;L'!$D$11:$CX$119,MATCH($A15,'Adj. P&amp;L'!$C$11:$C$119,0),MATCH(W$1,'Adj. P&amp;L'!$D$9:$CX$9,0))</f>
        <v>1150.5784469928033</v>
      </c>
    </row>
    <row r="16" spans="1:23" ht="15.75" customHeight="1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30"/>
      <c r="Q16" s="7"/>
      <c r="R16" s="7"/>
      <c r="S16" s="7"/>
      <c r="U16" s="7"/>
      <c r="V16" s="7"/>
      <c r="W16" s="7"/>
    </row>
    <row r="17" spans="4:23" ht="15" customHeight="1"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Q17" s="25"/>
      <c r="R17" s="25"/>
      <c r="S17" s="25"/>
      <c r="U17" s="25"/>
      <c r="V17" s="25"/>
      <c r="W17" s="25"/>
    </row>
    <row r="21" spans="4:23" ht="15.75" customHeight="1"/>
    <row r="22" spans="4:23" ht="15.75" customHeight="1"/>
    <row r="23" spans="4:23" ht="15.75" customHeight="1"/>
    <row r="24" spans="4:23" ht="15.75" customHeight="1"/>
    <row r="25" spans="4:23" ht="15.75" customHeight="1"/>
    <row r="26" spans="4:23" ht="15.75" customHeight="1"/>
    <row r="27" spans="4:23" ht="15.75" customHeight="1"/>
    <row r="28" spans="4:23" ht="15.75" customHeight="1"/>
    <row r="29" spans="4:23" ht="15.75" customHeight="1"/>
    <row r="30" spans="4:23" ht="15.75" customHeight="1"/>
    <row r="31" spans="4:23" ht="15.75" customHeight="1"/>
    <row r="32" spans="4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6:O6"/>
    <mergeCell ref="Q6:S6"/>
    <mergeCell ref="U6:W6"/>
  </mergeCells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Z1000"/>
  <sheetViews>
    <sheetView showGridLines="0" workbookViewId="0"/>
  </sheetViews>
  <sheetFormatPr defaultColWidth="12.54296875" defaultRowHeight="15" customHeight="1" outlineLevelRow="1"/>
  <cols>
    <col min="1" max="2" width="1.7265625" customWidth="1"/>
    <col min="3" max="3" width="42.453125" customWidth="1"/>
    <col min="4" max="5" width="18.7265625" customWidth="1"/>
    <col min="6" max="26" width="8.54296875" customWidth="1"/>
  </cols>
  <sheetData>
    <row r="1" spans="1:26" ht="14.5">
      <c r="A1" s="31"/>
      <c r="B1" s="3"/>
      <c r="C1" s="3"/>
      <c r="D1" s="3"/>
      <c r="E1" s="3"/>
    </row>
    <row r="2" spans="1:26" ht="4.5" customHeight="1">
      <c r="A2" s="3"/>
      <c r="B2" s="3"/>
      <c r="C2" s="3"/>
      <c r="D2" s="3"/>
      <c r="E2" s="3"/>
    </row>
    <row r="3" spans="1:26" ht="14.5">
      <c r="A3" s="3"/>
      <c r="B3" s="3"/>
      <c r="C3" s="17" t="s">
        <v>14</v>
      </c>
      <c r="D3" s="3"/>
      <c r="E3" s="3"/>
    </row>
    <row r="4" spans="1:26" ht="14.5">
      <c r="A4" s="3"/>
      <c r="B4" s="3"/>
      <c r="C4" s="3" t="s">
        <v>36</v>
      </c>
      <c r="D4" s="3"/>
      <c r="E4" s="3"/>
    </row>
    <row r="5" spans="1:26" ht="14.5">
      <c r="A5" s="3"/>
      <c r="B5" s="3"/>
      <c r="C5" s="32"/>
      <c r="D5" s="32"/>
      <c r="E5" s="18"/>
    </row>
    <row r="6" spans="1:26" ht="14.5">
      <c r="A6" s="3"/>
      <c r="B6" s="3"/>
      <c r="C6" s="33" t="s">
        <v>37</v>
      </c>
      <c r="D6" s="34"/>
    </row>
    <row r="7" spans="1:26" ht="14.5">
      <c r="A7" s="3"/>
      <c r="B7" s="3"/>
      <c r="C7" s="3" t="s">
        <v>38</v>
      </c>
      <c r="D7" s="35">
        <v>7.1999999999999995E-2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4.5">
      <c r="A8" s="3"/>
      <c r="B8" s="3"/>
      <c r="C8" s="3" t="s">
        <v>39</v>
      </c>
      <c r="D8" s="37">
        <f>'Adj. P&amp;L'!CC111</f>
        <v>559.60714666666661</v>
      </c>
    </row>
    <row r="9" spans="1:26" ht="14.5">
      <c r="A9" s="3"/>
      <c r="B9" s="3"/>
      <c r="C9" s="3" t="s">
        <v>40</v>
      </c>
      <c r="D9" s="37">
        <f>'Adj. P&amp;L'!CD111</f>
        <v>593.04724121464074</v>
      </c>
    </row>
    <row r="10" spans="1:26" ht="14.5">
      <c r="A10" s="3"/>
      <c r="B10" s="3"/>
      <c r="C10" s="3" t="s">
        <v>41</v>
      </c>
      <c r="D10" s="37">
        <f>'Adj. P&amp;L'!CE111</f>
        <v>807.8367670575409</v>
      </c>
    </row>
    <row r="11" spans="1:26" ht="14.5">
      <c r="A11" s="3"/>
      <c r="B11" s="3"/>
      <c r="C11" s="3"/>
      <c r="D11" s="34"/>
      <c r="E11" s="3"/>
    </row>
    <row r="12" spans="1:26" ht="17.25" customHeight="1">
      <c r="A12" s="3"/>
      <c r="B12" s="3"/>
      <c r="C12" s="38" t="s">
        <v>42</v>
      </c>
      <c r="D12" s="516" t="s">
        <v>43</v>
      </c>
      <c r="E12" s="515"/>
    </row>
    <row r="13" spans="1:26" ht="34.5" customHeight="1">
      <c r="A13" s="3"/>
      <c r="B13" s="3"/>
      <c r="C13" s="38"/>
      <c r="D13" s="19" t="s">
        <v>44</v>
      </c>
      <c r="E13" s="39" t="s">
        <v>45</v>
      </c>
    </row>
    <row r="14" spans="1:26" ht="4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3.5" customHeight="1">
      <c r="A15" s="36"/>
      <c r="B15" s="36"/>
      <c r="C15" s="40" t="s">
        <v>46</v>
      </c>
      <c r="D15" s="41"/>
      <c r="E15" s="41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4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3.5" customHeight="1">
      <c r="A17" s="42"/>
      <c r="B17" s="42"/>
      <c r="C17" s="42" t="s">
        <v>47</v>
      </c>
      <c r="D17" s="43">
        <f>D20</f>
        <v>3600</v>
      </c>
      <c r="E17" s="43">
        <f>E20-E19</f>
        <v>3600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4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3.5" customHeight="1">
      <c r="A19" s="36"/>
      <c r="B19" s="36"/>
      <c r="C19" s="8" t="s">
        <v>48</v>
      </c>
      <c r="D19" s="45">
        <f>D43</f>
        <v>0</v>
      </c>
      <c r="E19" s="46">
        <v>-2000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3.5" customHeight="1">
      <c r="A20" s="36"/>
      <c r="B20" s="36"/>
      <c r="C20" s="47" t="s">
        <v>49</v>
      </c>
      <c r="D20" s="48">
        <v>3600</v>
      </c>
      <c r="E20" s="48">
        <v>1600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4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3.5" customHeight="1">
      <c r="A22" s="36"/>
      <c r="B22" s="36"/>
      <c r="C22" s="8" t="s">
        <v>50</v>
      </c>
      <c r="D22" s="45">
        <f t="shared" ref="D22:E22" si="0">D46</f>
        <v>0</v>
      </c>
      <c r="E22" s="45">
        <f t="shared" si="0"/>
        <v>0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3.5" customHeight="1">
      <c r="A23" s="36"/>
      <c r="B23" s="36"/>
      <c r="C23" s="47" t="s">
        <v>49</v>
      </c>
      <c r="D23" s="49">
        <f t="shared" ref="D23:E23" si="1">D20+D22</f>
        <v>3600</v>
      </c>
      <c r="E23" s="49">
        <f t="shared" si="1"/>
        <v>1600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3.5" hidden="1" customHeight="1" outlineLevel="1">
      <c r="A25" s="36"/>
      <c r="B25" s="36"/>
      <c r="C25" s="50" t="s">
        <v>51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3.5" hidden="1" customHeight="1" outlineLevel="1">
      <c r="A26" s="36"/>
      <c r="B26" s="36"/>
      <c r="C26" s="8" t="s">
        <v>52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3.5" hidden="1" customHeight="1" outlineLevel="1">
      <c r="A27" s="36"/>
      <c r="B27" s="36"/>
      <c r="C27" s="8" t="s">
        <v>53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3.5" hidden="1" customHeight="1" outlineLevel="1">
      <c r="A28" s="36"/>
      <c r="B28" s="36"/>
      <c r="C28" s="8" t="s">
        <v>54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3.5" hidden="1" customHeight="1" outlineLevel="1">
      <c r="A29" s="36"/>
      <c r="B29" s="36"/>
      <c r="C29" s="47" t="s">
        <v>55</v>
      </c>
      <c r="D29" s="49">
        <f t="shared" ref="D29:E29" si="2">D26+D28</f>
        <v>0</v>
      </c>
      <c r="E29" s="49">
        <f t="shared" si="2"/>
        <v>0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3.5" hidden="1" customHeight="1" outlineLevel="1">
      <c r="A30" s="36"/>
      <c r="B30" s="36"/>
      <c r="C30" s="8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3.5" customHeight="1" collapsed="1">
      <c r="A31" s="36"/>
      <c r="B31" s="36"/>
      <c r="C31" s="40" t="s">
        <v>46</v>
      </c>
      <c r="D31" s="41"/>
      <c r="E31" s="41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4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outlineLevel="1">
      <c r="C33" s="8" t="s">
        <v>39</v>
      </c>
      <c r="D33" s="7">
        <f t="shared" ref="D33:E33" si="3">$D$8</f>
        <v>559.60714666666661</v>
      </c>
      <c r="E33" s="7">
        <f t="shared" si="3"/>
        <v>559.60714666666661</v>
      </c>
    </row>
    <row r="34" spans="1:26" ht="15.75" customHeight="1" outlineLevel="1">
      <c r="C34" s="8" t="s">
        <v>40</v>
      </c>
      <c r="D34" s="7">
        <f t="shared" ref="D34:E34" si="4">$D$9</f>
        <v>593.04724121464074</v>
      </c>
      <c r="E34" s="7">
        <f t="shared" si="4"/>
        <v>593.04724121464074</v>
      </c>
    </row>
    <row r="35" spans="1:26" ht="15.75" customHeight="1" outlineLevel="1">
      <c r="C35" s="8" t="s">
        <v>56</v>
      </c>
      <c r="D35" s="7">
        <f t="shared" ref="D35:E35" si="5">$D$10</f>
        <v>807.8367670575409</v>
      </c>
      <c r="E35" s="7">
        <f t="shared" si="5"/>
        <v>807.8367670575409</v>
      </c>
    </row>
    <row r="36" spans="1:26" ht="4.5" customHeight="1" outlineLevel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>
      <c r="A37" s="17"/>
      <c r="B37" s="17"/>
      <c r="C37" s="51" t="s">
        <v>57</v>
      </c>
      <c r="D37" s="29">
        <f t="shared" ref="D37:E37" si="6">D33-D$42</f>
        <v>559.60714666666661</v>
      </c>
      <c r="E37" s="29">
        <f t="shared" si="6"/>
        <v>415.60714666666661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51" t="s">
        <v>58</v>
      </c>
      <c r="D38" s="29">
        <f t="shared" ref="D38:E38" si="7">D34-D$42</f>
        <v>593.04724121464074</v>
      </c>
      <c r="E38" s="29">
        <f t="shared" si="7"/>
        <v>449.04724121464074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51" t="s">
        <v>59</v>
      </c>
      <c r="D39" s="29">
        <f t="shared" ref="D39:E39" si="8">D35-D$42</f>
        <v>807.8367670575409</v>
      </c>
      <c r="E39" s="29">
        <f t="shared" si="8"/>
        <v>663.8367670575409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3.5" customHeight="1" outlineLevel="1">
      <c r="A41" s="36"/>
      <c r="B41" s="36"/>
      <c r="C41" s="52" t="s">
        <v>60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3.5" customHeight="1" outlineLevel="1">
      <c r="A42" s="36"/>
      <c r="B42" s="36"/>
      <c r="C42" s="51" t="s">
        <v>61</v>
      </c>
      <c r="D42" s="53">
        <v>0</v>
      </c>
      <c r="E42" s="53">
        <f>E43*$D$7</f>
        <v>144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3.5" customHeight="1" outlineLevel="1">
      <c r="A43" s="36"/>
      <c r="B43" s="36"/>
      <c r="C43" s="51" t="str">
        <f>"Implied SLB Value ("&amp;TEXT(D7,"0.0%")&amp;" Cap Rate)"</f>
        <v>Implied SLB Value (7.2% Cap Rate)</v>
      </c>
      <c r="D43" s="7">
        <f>D42/$D$7</f>
        <v>0</v>
      </c>
      <c r="E43" s="7">
        <f>-E19</f>
        <v>2000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3.5" customHeight="1" outlineLevel="1">
      <c r="A44" s="36"/>
      <c r="B44" s="36"/>
      <c r="C44" s="54" t="s">
        <v>62</v>
      </c>
      <c r="D44" s="55">
        <f t="shared" ref="D44:E44" si="9">IFERROR(D33/D42,0)</f>
        <v>0</v>
      </c>
      <c r="E44" s="55">
        <f t="shared" si="9"/>
        <v>3.8861607407407401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3.5" customHeight="1" outlineLevel="1">
      <c r="A45" s="36"/>
      <c r="B45" s="36"/>
      <c r="C45" s="56" t="s">
        <v>63</v>
      </c>
      <c r="D45" s="57">
        <f t="shared" ref="D45:E45" si="10">IFERROR(D35/D42,0)</f>
        <v>0</v>
      </c>
      <c r="E45" s="57">
        <f t="shared" si="10"/>
        <v>5.6099775490107007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3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3.5" customHeight="1">
      <c r="A47" s="36"/>
      <c r="B47" s="36"/>
      <c r="C47" s="40" t="s">
        <v>64</v>
      </c>
      <c r="D47" s="41"/>
      <c r="E47" s="41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4.5" customHeight="1">
      <c r="A48" s="36"/>
      <c r="B48" s="36"/>
      <c r="C48" s="5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3.5" customHeight="1">
      <c r="A49" s="36"/>
      <c r="B49" s="36"/>
      <c r="C49" s="58" t="s">
        <v>65</v>
      </c>
      <c r="D49" s="59"/>
      <c r="E49" s="59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4.5" customHeight="1"/>
    <row r="51" spans="1:26" ht="15.75" customHeight="1">
      <c r="C51" s="8" t="s">
        <v>66</v>
      </c>
      <c r="D51" s="60">
        <f t="shared" ref="D51:E51" si="11">D$23/D37</f>
        <v>6.4330843904399986</v>
      </c>
      <c r="E51" s="60">
        <f t="shared" si="11"/>
        <v>3.8497894293508463</v>
      </c>
    </row>
    <row r="52" spans="1:26" ht="15.75" customHeight="1">
      <c r="C52" s="8" t="s">
        <v>67</v>
      </c>
      <c r="D52" s="60">
        <f t="shared" ref="D52:E52" si="12">D$17/D33</f>
        <v>6.4330843904399986</v>
      </c>
      <c r="E52" s="60">
        <f t="shared" si="12"/>
        <v>6.4330843904399986</v>
      </c>
    </row>
    <row r="53" spans="1:26" ht="4.5" customHeight="1"/>
    <row r="54" spans="1:26" ht="13.5" customHeight="1">
      <c r="A54" s="36"/>
      <c r="B54" s="36"/>
      <c r="C54" s="58" t="s">
        <v>68</v>
      </c>
      <c r="D54" s="59"/>
      <c r="E54" s="59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4.5" customHeight="1"/>
    <row r="56" spans="1:26" ht="15.75" customHeight="1">
      <c r="C56" s="8" t="s">
        <v>66</v>
      </c>
      <c r="D56" s="57">
        <f t="shared" ref="D56:E56" si="13">D$23/D38</f>
        <v>6.0703427143960988</v>
      </c>
      <c r="E56" s="57">
        <f t="shared" si="13"/>
        <v>3.5630994985563529</v>
      </c>
    </row>
    <row r="57" spans="1:26" ht="15.75" customHeight="1">
      <c r="C57" s="8" t="s">
        <v>67</v>
      </c>
      <c r="D57" s="57">
        <f t="shared" ref="D57:E57" si="14">D$17/D34</f>
        <v>6.0703427143960988</v>
      </c>
      <c r="E57" s="57">
        <f t="shared" si="14"/>
        <v>6.0703427143960988</v>
      </c>
    </row>
    <row r="58" spans="1:26" ht="4.5" customHeight="1">
      <c r="A58" s="36"/>
      <c r="B58" s="36"/>
      <c r="C58" s="5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3.5" customHeight="1">
      <c r="A59" s="36"/>
      <c r="B59" s="36"/>
      <c r="C59" s="58" t="s">
        <v>69</v>
      </c>
      <c r="D59" s="59"/>
      <c r="E59" s="59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4.5" customHeight="1"/>
    <row r="61" spans="1:26" ht="15.75" customHeight="1">
      <c r="C61" s="8" t="s">
        <v>66</v>
      </c>
      <c r="D61" s="57">
        <f t="shared" ref="D61:E61" si="15">D$23/D39</f>
        <v>4.456345819852463</v>
      </c>
      <c r="E61" s="57">
        <f t="shared" si="15"/>
        <v>2.4102310679355807</v>
      </c>
    </row>
    <row r="62" spans="1:26" ht="15.75" customHeight="1">
      <c r="C62" s="8" t="s">
        <v>67</v>
      </c>
      <c r="D62" s="57">
        <f t="shared" ref="D62:E62" si="16">D17/D35</f>
        <v>4.456345819852463</v>
      </c>
      <c r="E62" s="57">
        <f t="shared" si="16"/>
        <v>4.456345819852463</v>
      </c>
    </row>
    <row r="63" spans="1:26" ht="4.5" customHeight="1">
      <c r="A63" s="36"/>
      <c r="B63" s="36"/>
      <c r="C63" s="5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3.5" hidden="1" customHeight="1" outlineLevel="1">
      <c r="A64" s="36"/>
      <c r="B64" s="36"/>
      <c r="C64" s="58" t="str">
        <f>"Returns @"&amp;TEXT('Cash Flow'!D7,"0.0x")&amp;" exit multiple in "&amp;'Cash Flow'!D8&amp;" years"</f>
        <v>Returns @11.0x exit multiple in 6 years</v>
      </c>
      <c r="D64" s="59"/>
      <c r="E64" s="59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3:5" ht="4.5" hidden="1" customHeight="1" outlineLevel="1"/>
    <row r="66" spans="3:5" ht="15.75" hidden="1" customHeight="1" outlineLevel="1">
      <c r="C66" s="51" t="s">
        <v>70</v>
      </c>
      <c r="D66" s="61">
        <f>'Cash Flow'!D31</f>
        <v>0.4313828304663252</v>
      </c>
      <c r="E66" s="61">
        <f>'Cash Flow'!D52</f>
        <v>0.69572581783610854</v>
      </c>
    </row>
    <row r="67" spans="3:5" ht="15.75" hidden="1" customHeight="1" outlineLevel="1">
      <c r="C67" s="51" t="s">
        <v>71</v>
      </c>
      <c r="D67" s="62">
        <f>'Cash Flow'!D32</f>
        <v>5.8815908241762829</v>
      </c>
      <c r="E67" s="62">
        <f>'Cash Flow'!D53</f>
        <v>8.593233347010802</v>
      </c>
    </row>
    <row r="68" spans="3:5" ht="15.75" customHeight="1" collapsed="1"/>
    <row r="69" spans="3:5" ht="15.75" customHeight="1"/>
    <row r="70" spans="3:5" ht="15.75" customHeight="1"/>
    <row r="71" spans="3:5" ht="15.75" customHeight="1"/>
    <row r="72" spans="3:5" ht="15.75" customHeight="1"/>
    <row r="73" spans="3:5" ht="15.75" customHeight="1"/>
    <row r="74" spans="3:5" ht="15.75" customHeight="1"/>
    <row r="75" spans="3:5" ht="15.75" customHeight="1"/>
    <row r="76" spans="3:5" ht="15.75" customHeight="1"/>
    <row r="77" spans="3:5" ht="15.75" customHeight="1"/>
    <row r="78" spans="3:5" ht="15.75" customHeight="1"/>
    <row r="79" spans="3:5" ht="15.75" customHeight="1"/>
    <row r="80" spans="3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2:E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2:AA999"/>
  <sheetViews>
    <sheetView showGridLines="0" workbookViewId="0">
      <pane xSplit="4" ySplit="7" topLeftCell="E8" activePane="bottomRight" state="frozen"/>
      <selection pane="topRight" activeCell="D1" sqref="D1"/>
      <selection pane="bottomLeft" activeCell="A8" sqref="A8"/>
      <selection pane="bottomRight" activeCell="D30" sqref="D30"/>
    </sheetView>
  </sheetViews>
  <sheetFormatPr defaultColWidth="12.54296875" defaultRowHeight="15" customHeight="1" outlineLevelRow="1"/>
  <cols>
    <col min="1" max="1" width="4.453125" style="486" bestFit="1" customWidth="1"/>
    <col min="2" max="2" width="4.453125" style="486" customWidth="1"/>
    <col min="3" max="3" width="1.7265625" customWidth="1"/>
    <col min="4" max="4" width="16.453125" customWidth="1"/>
    <col min="5" max="10" width="15.7265625" customWidth="1"/>
    <col min="11" max="27" width="8.54296875" customWidth="1"/>
  </cols>
  <sheetData>
    <row r="2" spans="1:27" ht="4.5" customHeight="1"/>
    <row r="3" spans="1:27" ht="14.5">
      <c r="D3" s="17" t="str">
        <f>Checks!$C$3</f>
        <v>Firefly Lane</v>
      </c>
    </row>
    <row r="4" spans="1:27" ht="14.5">
      <c r="D4" s="3" t="s">
        <v>72</v>
      </c>
      <c r="N4" s="63"/>
    </row>
    <row r="5" spans="1:27" ht="14.5">
      <c r="D5" s="18"/>
      <c r="E5" s="18"/>
      <c r="F5" s="18"/>
      <c r="G5" s="18"/>
      <c r="H5" s="18"/>
      <c r="I5" s="18"/>
      <c r="J5" s="18"/>
      <c r="N5" s="63"/>
      <c r="O5" s="63"/>
    </row>
    <row r="6" spans="1:27" ht="14.5">
      <c r="D6" s="64" t="s">
        <v>73</v>
      </c>
      <c r="N6" s="63"/>
      <c r="O6" s="63"/>
    </row>
    <row r="7" spans="1:27" ht="14.5">
      <c r="D7" s="19" t="s">
        <v>74</v>
      </c>
      <c r="E7" s="19" t="s">
        <v>75</v>
      </c>
      <c r="F7" s="19" t="s">
        <v>76</v>
      </c>
      <c r="G7" s="19" t="s">
        <v>29</v>
      </c>
      <c r="H7" s="19" t="s">
        <v>77</v>
      </c>
      <c r="I7" s="19" t="s">
        <v>78</v>
      </c>
      <c r="J7" s="19" t="s">
        <v>79</v>
      </c>
    </row>
    <row r="8" spans="1:27" ht="4.5" customHeight="1">
      <c r="D8" s="65"/>
    </row>
    <row r="9" spans="1:27" ht="14.5">
      <c r="D9" s="3" t="s">
        <v>2405</v>
      </c>
    </row>
    <row r="10" spans="1:27" ht="14.5">
      <c r="A10" s="487"/>
      <c r="B10" s="487"/>
      <c r="C10" s="17"/>
      <c r="D10" s="489">
        <v>1</v>
      </c>
      <c r="E10" s="27">
        <f>AVERAGEIFS(E$19:E$61,$B$19:$B$61,$D10)</f>
        <v>125.5</v>
      </c>
      <c r="F10" s="27">
        <f t="shared" ref="F10:G12" si="0">AVERAGEIFS(F$19:F$61,$B$19:$B$61,$D10)</f>
        <v>35.416666666666664</v>
      </c>
      <c r="G10" s="27">
        <f t="shared" si="0"/>
        <v>15.833333333333334</v>
      </c>
      <c r="H10" s="66">
        <f t="shared" ref="H10:I10" si="1">F10/E10</f>
        <v>0.28220451527224433</v>
      </c>
      <c r="I10" s="66">
        <f t="shared" si="1"/>
        <v>0.44705882352941179</v>
      </c>
      <c r="J10" s="66">
        <f t="shared" ref="J10:J12" si="2">G10/E10</f>
        <v>0.12616201859229748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14.5">
      <c r="A11" s="487"/>
      <c r="B11" s="487"/>
      <c r="C11" s="17"/>
      <c r="D11" s="489">
        <v>2</v>
      </c>
      <c r="E11" s="27">
        <f t="shared" ref="E11:E12" si="3">AVERAGEIFS(E$19:E$61,$B$19:$B$61,$D11)</f>
        <v>131.75000000000003</v>
      </c>
      <c r="F11" s="27">
        <f t="shared" si="0"/>
        <v>39.583333333333336</v>
      </c>
      <c r="G11" s="27">
        <f t="shared" si="0"/>
        <v>16.666666666666668</v>
      </c>
      <c r="H11" s="66">
        <f t="shared" ref="H11:I11" si="4">F11/E11</f>
        <v>0.30044275774826057</v>
      </c>
      <c r="I11" s="66">
        <f t="shared" si="4"/>
        <v>0.4210526315789474</v>
      </c>
      <c r="J11" s="66">
        <f t="shared" si="2"/>
        <v>0.1265022137887413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14.5">
      <c r="A12" s="487"/>
      <c r="B12" s="487"/>
      <c r="C12" s="17"/>
      <c r="D12" s="489">
        <v>3</v>
      </c>
      <c r="E12" s="27">
        <f t="shared" si="3"/>
        <v>138.33333333333334</v>
      </c>
      <c r="F12" s="27">
        <f t="shared" si="0"/>
        <v>43.75</v>
      </c>
      <c r="G12" s="27">
        <f t="shared" si="0"/>
        <v>17.5</v>
      </c>
      <c r="H12" s="66">
        <f t="shared" ref="H12:I12" si="5">F12/E12</f>
        <v>0.31626506024096385</v>
      </c>
      <c r="I12" s="66">
        <f t="shared" si="5"/>
        <v>0.4</v>
      </c>
      <c r="J12" s="66">
        <f t="shared" si="2"/>
        <v>0.12650602409638553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4.5" customHeight="1">
      <c r="D13" s="65"/>
    </row>
    <row r="14" spans="1:27" ht="14.5" hidden="1" outlineLevel="1">
      <c r="A14" s="488">
        <f t="shared" ref="A14:A61" si="6">YEAR(D14)</f>
        <v>2026</v>
      </c>
      <c r="B14" s="488"/>
      <c r="D14" s="67">
        <v>46053</v>
      </c>
      <c r="E14" s="68"/>
      <c r="F14" s="68"/>
      <c r="G14" s="68"/>
      <c r="H14" s="68"/>
      <c r="I14" s="68"/>
      <c r="J14" s="68"/>
    </row>
    <row r="15" spans="1:27" ht="14.5" hidden="1" outlineLevel="1">
      <c r="A15" s="488">
        <f t="shared" si="6"/>
        <v>2026</v>
      </c>
      <c r="B15" s="488"/>
      <c r="D15" s="67">
        <f t="shared" ref="D15:D61" si="7">EOMONTH(D14,1)</f>
        <v>46081</v>
      </c>
      <c r="E15" s="68"/>
      <c r="F15" s="68"/>
      <c r="G15" s="68"/>
      <c r="H15" s="68"/>
      <c r="I15" s="68"/>
      <c r="J15" s="68"/>
    </row>
    <row r="16" spans="1:27" ht="14.5" hidden="1" outlineLevel="1">
      <c r="A16" s="488">
        <f t="shared" si="6"/>
        <v>2026</v>
      </c>
      <c r="B16" s="488"/>
      <c r="D16" s="67">
        <f t="shared" si="7"/>
        <v>46112</v>
      </c>
      <c r="E16" s="68"/>
      <c r="F16" s="68"/>
      <c r="G16" s="68"/>
      <c r="H16" s="68"/>
      <c r="I16" s="68"/>
      <c r="J16" s="68"/>
    </row>
    <row r="17" spans="1:10" ht="14.5" hidden="1" outlineLevel="1">
      <c r="A17" s="488">
        <f t="shared" si="6"/>
        <v>2026</v>
      </c>
      <c r="B17" s="488"/>
      <c r="D17" s="67">
        <f t="shared" si="7"/>
        <v>46142</v>
      </c>
      <c r="E17" s="68"/>
      <c r="F17" s="68"/>
      <c r="G17" s="68"/>
      <c r="H17" s="68"/>
      <c r="I17" s="68"/>
      <c r="J17" s="68"/>
    </row>
    <row r="18" spans="1:10" ht="14.5" hidden="1" outlineLevel="1">
      <c r="A18" s="488">
        <f t="shared" si="6"/>
        <v>2026</v>
      </c>
      <c r="B18" s="488"/>
      <c r="D18" s="67">
        <f t="shared" si="7"/>
        <v>46173</v>
      </c>
      <c r="E18" s="68"/>
      <c r="F18" s="68"/>
      <c r="G18" s="68"/>
      <c r="H18" s="68"/>
      <c r="I18" s="68"/>
      <c r="J18" s="68"/>
    </row>
    <row r="19" spans="1:10" ht="14.5" collapsed="1">
      <c r="A19" s="488">
        <f t="shared" si="6"/>
        <v>2026</v>
      </c>
      <c r="B19" s="488">
        <v>1</v>
      </c>
      <c r="D19" s="67">
        <f t="shared" si="7"/>
        <v>46203</v>
      </c>
      <c r="E19" s="25">
        <f>SUMIFS('Adj. P&amp;L'!$11:$11,'Adj. P&amp;L'!$9:$9,$D19)</f>
        <v>118.89473684210526</v>
      </c>
      <c r="F19" s="25">
        <f>SUMIFS('Adj. P&amp;L'!$15:$15,'Adj. P&amp;L'!$9:$9,$D19)</f>
        <v>33.55263157894737</v>
      </c>
      <c r="G19" s="25">
        <f>SUMIFS('Adj. P&amp;L'!$22:$22,'Adj. P&amp;L'!$9:$9,$D19)</f>
        <v>15</v>
      </c>
      <c r="H19" s="69">
        <f t="shared" ref="H19:I19" si="8">F19/E19</f>
        <v>0.28220451527224438</v>
      </c>
      <c r="I19" s="69">
        <f t="shared" si="8"/>
        <v>0.44705882352941173</v>
      </c>
      <c r="J19" s="69">
        <f t="shared" ref="J19:J61" si="9">G19/E19</f>
        <v>0.12616201859229748</v>
      </c>
    </row>
    <row r="20" spans="1:10" ht="15.75" customHeight="1">
      <c r="A20" s="488">
        <f t="shared" si="6"/>
        <v>2026</v>
      </c>
      <c r="B20" s="488">
        <f>B19</f>
        <v>1</v>
      </c>
      <c r="D20" s="67">
        <f t="shared" si="7"/>
        <v>46234</v>
      </c>
      <c r="E20" s="25">
        <f>SUMIFS('Adj. P&amp;L'!$11:$11,'Adj. P&amp;L'!$9:$9,$D20)</f>
        <v>190.2315789473684</v>
      </c>
      <c r="F20" s="25">
        <f>SUMIFS('Adj. P&amp;L'!$15:$15,'Adj. P&amp;L'!$9:$9,$D20)</f>
        <v>53.684210526315788</v>
      </c>
      <c r="G20" s="25">
        <f>SUMIFS('Adj. P&amp;L'!$22:$22,'Adj. P&amp;L'!$9:$9,$D20)</f>
        <v>24</v>
      </c>
      <c r="H20" s="69">
        <f t="shared" ref="H20:I20" si="10">F20/E20</f>
        <v>0.28220451527224438</v>
      </c>
      <c r="I20" s="69">
        <f t="shared" si="10"/>
        <v>0.44705882352941179</v>
      </c>
      <c r="J20" s="69">
        <f t="shared" si="9"/>
        <v>0.12616201859229748</v>
      </c>
    </row>
    <row r="21" spans="1:10" ht="15.75" customHeight="1">
      <c r="A21" s="488">
        <f t="shared" si="6"/>
        <v>2026</v>
      </c>
      <c r="B21" s="488">
        <f t="shared" ref="B21:B30" si="11">B20</f>
        <v>1</v>
      </c>
      <c r="D21" s="67">
        <f t="shared" si="7"/>
        <v>46265</v>
      </c>
      <c r="E21" s="25">
        <f>SUMIFS('Adj. P&amp;L'!$11:$11,'Adj. P&amp;L'!$9:$9,$D21)</f>
        <v>166.45263157894735</v>
      </c>
      <c r="F21" s="25">
        <f>SUMIFS('Adj. P&amp;L'!$15:$15,'Adj. P&amp;L'!$9:$9,$D21)</f>
        <v>46.973684210526315</v>
      </c>
      <c r="G21" s="25">
        <f>SUMIFS('Adj. P&amp;L'!$22:$22,'Adj. P&amp;L'!$9:$9,$D21)</f>
        <v>21</v>
      </c>
      <c r="H21" s="69">
        <f t="shared" ref="H21:I21" si="12">F21/E21</f>
        <v>0.28220451527224438</v>
      </c>
      <c r="I21" s="69">
        <f t="shared" si="12"/>
        <v>0.44705882352941179</v>
      </c>
      <c r="J21" s="69">
        <f t="shared" si="9"/>
        <v>0.1261620185922975</v>
      </c>
    </row>
    <row r="22" spans="1:10" ht="15.75" customHeight="1">
      <c r="A22" s="488">
        <f t="shared" si="6"/>
        <v>2026</v>
      </c>
      <c r="B22" s="488">
        <f t="shared" si="11"/>
        <v>1</v>
      </c>
      <c r="D22" s="67">
        <f t="shared" si="7"/>
        <v>46295</v>
      </c>
      <c r="E22" s="25">
        <f>SUMIFS('Adj. P&amp;L'!$11:$11,'Adj. P&amp;L'!$9:$9,$D22)</f>
        <v>126.82105263157894</v>
      </c>
      <c r="F22" s="25">
        <f>SUMIFS('Adj. P&amp;L'!$15:$15,'Adj. P&amp;L'!$9:$9,$D22)</f>
        <v>35.789473684210527</v>
      </c>
      <c r="G22" s="25">
        <f>SUMIFS('Adj. P&amp;L'!$22:$22,'Adj. P&amp;L'!$9:$9,$D22)</f>
        <v>16</v>
      </c>
      <c r="H22" s="69">
        <f t="shared" ref="H22:I22" si="13">F22/E22</f>
        <v>0.28220451527224438</v>
      </c>
      <c r="I22" s="69">
        <f t="shared" si="13"/>
        <v>0.44705882352941173</v>
      </c>
      <c r="J22" s="69">
        <f t="shared" si="9"/>
        <v>0.12616201859229748</v>
      </c>
    </row>
    <row r="23" spans="1:10" ht="15.75" customHeight="1">
      <c r="A23" s="488">
        <f t="shared" si="6"/>
        <v>2026</v>
      </c>
      <c r="B23" s="488">
        <f t="shared" si="11"/>
        <v>1</v>
      </c>
      <c r="D23" s="67">
        <f t="shared" si="7"/>
        <v>46326</v>
      </c>
      <c r="E23" s="25">
        <f>SUMIFS('Adj. P&amp;L'!$11:$11,'Adj. P&amp;L'!$9:$9,$D23)</f>
        <v>95.115789473684202</v>
      </c>
      <c r="F23" s="25">
        <f>SUMIFS('Adj. P&amp;L'!$15:$15,'Adj. P&amp;L'!$9:$9,$D23)</f>
        <v>26.842105263157894</v>
      </c>
      <c r="G23" s="25">
        <f>SUMIFS('Adj. P&amp;L'!$22:$22,'Adj. P&amp;L'!$9:$9,$D23)</f>
        <v>12</v>
      </c>
      <c r="H23" s="69">
        <f t="shared" ref="H23:I23" si="14">F23/E23</f>
        <v>0.28220451527224438</v>
      </c>
      <c r="I23" s="69">
        <f t="shared" si="14"/>
        <v>0.44705882352941179</v>
      </c>
      <c r="J23" s="69">
        <f t="shared" si="9"/>
        <v>0.12616201859229748</v>
      </c>
    </row>
    <row r="24" spans="1:10" ht="15.75" customHeight="1">
      <c r="A24" s="488">
        <f t="shared" si="6"/>
        <v>2026</v>
      </c>
      <c r="B24" s="488">
        <f t="shared" si="11"/>
        <v>1</v>
      </c>
      <c r="D24" s="67">
        <f t="shared" si="7"/>
        <v>46356</v>
      </c>
      <c r="E24" s="25">
        <f>SUMIFS('Adj. P&amp;L'!$11:$11,'Adj. P&amp;L'!$9:$9,$D24)</f>
        <v>126.82105263157894</v>
      </c>
      <c r="F24" s="25">
        <f>SUMIFS('Adj. P&amp;L'!$15:$15,'Adj. P&amp;L'!$9:$9,$D24)</f>
        <v>35.789473684210527</v>
      </c>
      <c r="G24" s="25">
        <f>SUMIFS('Adj. P&amp;L'!$22:$22,'Adj. P&amp;L'!$9:$9,$D24)</f>
        <v>16</v>
      </c>
      <c r="H24" s="69">
        <f t="shared" ref="H24:I24" si="15">F24/E24</f>
        <v>0.28220451527224438</v>
      </c>
      <c r="I24" s="69">
        <f t="shared" si="15"/>
        <v>0.44705882352941173</v>
      </c>
      <c r="J24" s="69">
        <f t="shared" si="9"/>
        <v>0.12616201859229748</v>
      </c>
    </row>
    <row r="25" spans="1:10" ht="15.75" customHeight="1">
      <c r="A25" s="488">
        <f t="shared" si="6"/>
        <v>2026</v>
      </c>
      <c r="B25" s="488">
        <f t="shared" si="11"/>
        <v>1</v>
      </c>
      <c r="D25" s="67">
        <f t="shared" si="7"/>
        <v>46387</v>
      </c>
      <c r="E25" s="25">
        <f>SUMIFS('Adj. P&amp;L'!$11:$11,'Adj. P&amp;L'!$9:$9,$D25)</f>
        <v>87.189473684210512</v>
      </c>
      <c r="F25" s="25">
        <f>SUMIFS('Adj. P&amp;L'!$15:$15,'Adj. P&amp;L'!$9:$9,$D25)</f>
        <v>24.605263157894736</v>
      </c>
      <c r="G25" s="25">
        <f>SUMIFS('Adj. P&amp;L'!$22:$22,'Adj. P&amp;L'!$9:$9,$D25)</f>
        <v>11</v>
      </c>
      <c r="H25" s="69">
        <f t="shared" ref="H25:I25" si="16">F25/E25</f>
        <v>0.28220451527224438</v>
      </c>
      <c r="I25" s="69">
        <f t="shared" si="16"/>
        <v>0.44705882352941179</v>
      </c>
      <c r="J25" s="69">
        <f t="shared" si="9"/>
        <v>0.1261620185922975</v>
      </c>
    </row>
    <row r="26" spans="1:10" ht="15.75" customHeight="1">
      <c r="A26" s="488">
        <f t="shared" si="6"/>
        <v>2027</v>
      </c>
      <c r="B26" s="488">
        <f t="shared" si="11"/>
        <v>1</v>
      </c>
      <c r="D26" s="67">
        <f t="shared" si="7"/>
        <v>46418</v>
      </c>
      <c r="E26" s="25">
        <f>SUMIFS('Adj. P&amp;L'!$11:$11,'Adj. P&amp;L'!$9:$9,$D26)</f>
        <v>166.45263157894735</v>
      </c>
      <c r="F26" s="25">
        <f>SUMIFS('Adj. P&amp;L'!$15:$15,'Adj. P&amp;L'!$9:$9,$D26)</f>
        <v>46.973684210526315</v>
      </c>
      <c r="G26" s="25">
        <f>SUMIFS('Adj. P&amp;L'!$22:$22,'Adj. P&amp;L'!$9:$9,$D26)</f>
        <v>21</v>
      </c>
      <c r="H26" s="69">
        <f t="shared" ref="H26:I26" si="17">F26/E26</f>
        <v>0.28220451527224438</v>
      </c>
      <c r="I26" s="69">
        <f t="shared" si="17"/>
        <v>0.44705882352941179</v>
      </c>
      <c r="J26" s="69">
        <f t="shared" si="9"/>
        <v>0.1261620185922975</v>
      </c>
    </row>
    <row r="27" spans="1:10" ht="15.75" customHeight="1">
      <c r="A27" s="488">
        <f t="shared" si="6"/>
        <v>2027</v>
      </c>
      <c r="B27" s="488">
        <f t="shared" si="11"/>
        <v>1</v>
      </c>
      <c r="D27" s="67">
        <f t="shared" si="7"/>
        <v>46446</v>
      </c>
      <c r="E27" s="25">
        <f>SUMIFS('Adj. P&amp;L'!$11:$11,'Adj. P&amp;L'!$9:$9,$D27)</f>
        <v>87.189473684210512</v>
      </c>
      <c r="F27" s="25">
        <f>SUMIFS('Adj. P&amp;L'!$15:$15,'Adj. P&amp;L'!$9:$9,$D27)</f>
        <v>24.605263157894736</v>
      </c>
      <c r="G27" s="25">
        <f>SUMIFS('Adj. P&amp;L'!$22:$22,'Adj. P&amp;L'!$9:$9,$D27)</f>
        <v>11</v>
      </c>
      <c r="H27" s="69">
        <f t="shared" ref="H27:I27" si="18">F27/E27</f>
        <v>0.28220451527224438</v>
      </c>
      <c r="I27" s="69">
        <f t="shared" si="18"/>
        <v>0.44705882352941179</v>
      </c>
      <c r="J27" s="69">
        <f t="shared" si="9"/>
        <v>0.1261620185922975</v>
      </c>
    </row>
    <row r="28" spans="1:10" ht="15.75" customHeight="1">
      <c r="A28" s="488">
        <f t="shared" si="6"/>
        <v>2027</v>
      </c>
      <c r="B28" s="488">
        <f t="shared" si="11"/>
        <v>1</v>
      </c>
      <c r="D28" s="67">
        <f t="shared" si="7"/>
        <v>46477</v>
      </c>
      <c r="E28" s="25">
        <f>SUMIFS('Adj. P&amp;L'!$11:$11,'Adj. P&amp;L'!$9:$9,$D28)</f>
        <v>134.74736842105261</v>
      </c>
      <c r="F28" s="25">
        <f>SUMIFS('Adj. P&amp;L'!$15:$15,'Adj. P&amp;L'!$9:$9,$D28)</f>
        <v>38.026315789473685</v>
      </c>
      <c r="G28" s="25">
        <f>SUMIFS('Adj. P&amp;L'!$22:$22,'Adj. P&amp;L'!$9:$9,$D28)</f>
        <v>17</v>
      </c>
      <c r="H28" s="69">
        <f t="shared" ref="H28:I28" si="19">F28/E28</f>
        <v>0.28220451527224438</v>
      </c>
      <c r="I28" s="69">
        <f t="shared" si="19"/>
        <v>0.44705882352941173</v>
      </c>
      <c r="J28" s="69">
        <f t="shared" si="9"/>
        <v>0.1261620185922975</v>
      </c>
    </row>
    <row r="29" spans="1:10" ht="15.75" customHeight="1">
      <c r="A29" s="488">
        <f t="shared" si="6"/>
        <v>2027</v>
      </c>
      <c r="B29" s="488">
        <f t="shared" si="11"/>
        <v>1</v>
      </c>
      <c r="D29" s="67">
        <f t="shared" si="7"/>
        <v>46507</v>
      </c>
      <c r="E29" s="25">
        <f>SUMIFS('Adj. P&amp;L'!$11:$11,'Adj. P&amp;L'!$9:$9,$D29)</f>
        <v>103.04210526315788</v>
      </c>
      <c r="F29" s="25">
        <f>SUMIFS('Adj. P&amp;L'!$15:$15,'Adj. P&amp;L'!$9:$9,$D29)</f>
        <v>29.078947368421051</v>
      </c>
      <c r="G29" s="25">
        <f>SUMIFS('Adj. P&amp;L'!$22:$22,'Adj. P&amp;L'!$9:$9,$D29)</f>
        <v>13</v>
      </c>
      <c r="H29" s="69">
        <f t="shared" ref="H29:I29" si="20">F29/E29</f>
        <v>0.28220451527224438</v>
      </c>
      <c r="I29" s="69">
        <f t="shared" si="20"/>
        <v>0.44705882352941179</v>
      </c>
      <c r="J29" s="69">
        <f t="shared" si="9"/>
        <v>0.1261620185922975</v>
      </c>
    </row>
    <row r="30" spans="1:10" ht="15.75" customHeight="1">
      <c r="A30" s="488">
        <f t="shared" si="6"/>
        <v>2027</v>
      </c>
      <c r="B30" s="488">
        <f t="shared" si="11"/>
        <v>1</v>
      </c>
      <c r="D30" s="67">
        <f t="shared" si="7"/>
        <v>46538</v>
      </c>
      <c r="E30" s="25">
        <f>SUMIFS('Adj. P&amp;L'!$11:$11,'Adj. P&amp;L'!$9:$9,$D30)</f>
        <v>103.04210526315788</v>
      </c>
      <c r="F30" s="25">
        <f>SUMIFS('Adj. P&amp;L'!$15:$15,'Adj. P&amp;L'!$9:$9,$D30)</f>
        <v>29.078947368421051</v>
      </c>
      <c r="G30" s="25">
        <f>SUMIFS('Adj. P&amp;L'!$22:$22,'Adj. P&amp;L'!$9:$9,$D30)</f>
        <v>13</v>
      </c>
      <c r="H30" s="69">
        <f t="shared" ref="H30:I30" si="21">F30/E30</f>
        <v>0.28220451527224438</v>
      </c>
      <c r="I30" s="69">
        <f t="shared" si="21"/>
        <v>0.44705882352941179</v>
      </c>
      <c r="J30" s="69">
        <f t="shared" si="9"/>
        <v>0.1261620185922975</v>
      </c>
    </row>
    <row r="31" spans="1:10" ht="15.75" customHeight="1">
      <c r="A31" s="488">
        <f t="shared" si="6"/>
        <v>2027</v>
      </c>
      <c r="B31" s="488">
        <f>B19+1</f>
        <v>2</v>
      </c>
      <c r="D31" s="67">
        <f t="shared" si="7"/>
        <v>46568</v>
      </c>
      <c r="E31" s="25">
        <f>SUMIFS('Adj. P&amp;L'!$11:$11,'Adj. P&amp;L'!$9:$9,$D31)</f>
        <v>158.10000000000002</v>
      </c>
      <c r="F31" s="25">
        <f>SUMIFS('Adj. P&amp;L'!$15:$15,'Adj. P&amp;L'!$9:$9,$D31)</f>
        <v>47.5</v>
      </c>
      <c r="G31" s="25">
        <f>SUMIFS('Adj. P&amp;L'!$22:$22,'Adj. P&amp;L'!$9:$9,$D31)</f>
        <v>20</v>
      </c>
      <c r="H31" s="69">
        <f t="shared" ref="H31:I31" si="22">F31/E31</f>
        <v>0.30044275774826057</v>
      </c>
      <c r="I31" s="69">
        <f t="shared" si="22"/>
        <v>0.42105263157894735</v>
      </c>
      <c r="J31" s="69">
        <f t="shared" si="9"/>
        <v>0.1265022137887413</v>
      </c>
    </row>
    <row r="32" spans="1:10" ht="15.75" customHeight="1">
      <c r="A32" s="488">
        <f t="shared" si="6"/>
        <v>2027</v>
      </c>
      <c r="B32" s="488">
        <f t="shared" ref="B32:B61" si="23">B20+1</f>
        <v>2</v>
      </c>
      <c r="D32" s="67">
        <f t="shared" si="7"/>
        <v>46599</v>
      </c>
      <c r="E32" s="25">
        <f>SUMIFS('Adj. P&amp;L'!$11:$11,'Adj. P&amp;L'!$9:$9,$D32)</f>
        <v>221.34000000000003</v>
      </c>
      <c r="F32" s="25">
        <f>SUMIFS('Adj. P&amp;L'!$15:$15,'Adj. P&amp;L'!$9:$9,$D32)</f>
        <v>66.5</v>
      </c>
      <c r="G32" s="25">
        <f>SUMIFS('Adj. P&amp;L'!$22:$22,'Adj. P&amp;L'!$9:$9,$D32)</f>
        <v>28</v>
      </c>
      <c r="H32" s="69">
        <f t="shared" ref="H32:I32" si="24">F32/E32</f>
        <v>0.30044275774826057</v>
      </c>
      <c r="I32" s="69">
        <f t="shared" si="24"/>
        <v>0.42105263157894735</v>
      </c>
      <c r="J32" s="69">
        <f t="shared" si="9"/>
        <v>0.1265022137887413</v>
      </c>
    </row>
    <row r="33" spans="1:10" ht="15.75" customHeight="1">
      <c r="A33" s="488">
        <f t="shared" si="6"/>
        <v>2027</v>
      </c>
      <c r="B33" s="488">
        <f t="shared" si="23"/>
        <v>2</v>
      </c>
      <c r="D33" s="67">
        <f t="shared" si="7"/>
        <v>46630</v>
      </c>
      <c r="E33" s="25">
        <f>SUMIFS('Adj. P&amp;L'!$11:$11,'Adj. P&amp;L'!$9:$9,$D33)</f>
        <v>189.72000000000003</v>
      </c>
      <c r="F33" s="25">
        <f>SUMIFS('Adj. P&amp;L'!$15:$15,'Adj. P&amp;L'!$9:$9,$D33)</f>
        <v>57</v>
      </c>
      <c r="G33" s="25">
        <f>SUMIFS('Adj. P&amp;L'!$22:$22,'Adj. P&amp;L'!$9:$9,$D33)</f>
        <v>24</v>
      </c>
      <c r="H33" s="69">
        <f t="shared" ref="H33:I33" si="25">F33/E33</f>
        <v>0.30044275774826057</v>
      </c>
      <c r="I33" s="69">
        <f t="shared" si="25"/>
        <v>0.42105263157894735</v>
      </c>
      <c r="J33" s="69">
        <f t="shared" si="9"/>
        <v>0.1265022137887413</v>
      </c>
    </row>
    <row r="34" spans="1:10" ht="15.75" customHeight="1">
      <c r="A34" s="488">
        <f t="shared" si="6"/>
        <v>2027</v>
      </c>
      <c r="B34" s="488">
        <f t="shared" si="23"/>
        <v>2</v>
      </c>
      <c r="D34" s="67">
        <f t="shared" si="7"/>
        <v>46660</v>
      </c>
      <c r="E34" s="25">
        <f>SUMIFS('Adj. P&amp;L'!$11:$11,'Adj. P&amp;L'!$9:$9,$D34)</f>
        <v>126.48</v>
      </c>
      <c r="F34" s="25">
        <f>SUMIFS('Adj. P&amp;L'!$15:$15,'Adj. P&amp;L'!$9:$9,$D34)</f>
        <v>38</v>
      </c>
      <c r="G34" s="25">
        <f>SUMIFS('Adj. P&amp;L'!$22:$22,'Adj. P&amp;L'!$9:$9,$D34)</f>
        <v>16</v>
      </c>
      <c r="H34" s="69">
        <f t="shared" ref="H34:I34" si="26">F34/E34</f>
        <v>0.30044275774826057</v>
      </c>
      <c r="I34" s="69">
        <f t="shared" si="26"/>
        <v>0.42105263157894735</v>
      </c>
      <c r="J34" s="69">
        <f t="shared" si="9"/>
        <v>0.1265022137887413</v>
      </c>
    </row>
    <row r="35" spans="1:10" ht="15.75" customHeight="1">
      <c r="A35" s="488">
        <f t="shared" si="6"/>
        <v>2027</v>
      </c>
      <c r="B35" s="488">
        <f t="shared" si="23"/>
        <v>2</v>
      </c>
      <c r="D35" s="67">
        <f t="shared" si="7"/>
        <v>46691</v>
      </c>
      <c r="E35" s="25">
        <f>SUMIFS('Adj. P&amp;L'!$11:$11,'Adj. P&amp;L'!$9:$9,$D35)</f>
        <v>94.860000000000014</v>
      </c>
      <c r="F35" s="25">
        <f>SUMIFS('Adj. P&amp;L'!$15:$15,'Adj. P&amp;L'!$9:$9,$D35)</f>
        <v>28.5</v>
      </c>
      <c r="G35" s="25">
        <f>SUMIFS('Adj. P&amp;L'!$22:$22,'Adj. P&amp;L'!$9:$9,$D35)</f>
        <v>12</v>
      </c>
      <c r="H35" s="69">
        <f t="shared" ref="H35:I35" si="27">F35/E35</f>
        <v>0.30044275774826057</v>
      </c>
      <c r="I35" s="69">
        <f t="shared" si="27"/>
        <v>0.42105263157894735</v>
      </c>
      <c r="J35" s="69">
        <f t="shared" si="9"/>
        <v>0.1265022137887413</v>
      </c>
    </row>
    <row r="36" spans="1:10" ht="15.75" customHeight="1">
      <c r="A36" s="488">
        <f t="shared" si="6"/>
        <v>2027</v>
      </c>
      <c r="B36" s="488">
        <f t="shared" si="23"/>
        <v>2</v>
      </c>
      <c r="D36" s="67">
        <f t="shared" si="7"/>
        <v>46721</v>
      </c>
      <c r="E36" s="25">
        <f>SUMIFS('Adj. P&amp;L'!$11:$11,'Adj. P&amp;L'!$9:$9,$D36)</f>
        <v>110.67000000000002</v>
      </c>
      <c r="F36" s="25">
        <f>SUMIFS('Adj. P&amp;L'!$15:$15,'Adj. P&amp;L'!$9:$9,$D36)</f>
        <v>33.25</v>
      </c>
      <c r="G36" s="25">
        <f>SUMIFS('Adj. P&amp;L'!$22:$22,'Adj. P&amp;L'!$9:$9,$D36)</f>
        <v>14</v>
      </c>
      <c r="H36" s="69">
        <f t="shared" ref="H36:I36" si="28">F36/E36</f>
        <v>0.30044275774826057</v>
      </c>
      <c r="I36" s="69">
        <f t="shared" si="28"/>
        <v>0.42105263157894735</v>
      </c>
      <c r="J36" s="69">
        <f t="shared" si="9"/>
        <v>0.1265022137887413</v>
      </c>
    </row>
    <row r="37" spans="1:10" ht="15.75" customHeight="1">
      <c r="A37" s="488">
        <f t="shared" si="6"/>
        <v>2027</v>
      </c>
      <c r="B37" s="488">
        <f t="shared" si="23"/>
        <v>2</v>
      </c>
      <c r="D37" s="67">
        <f t="shared" si="7"/>
        <v>46752</v>
      </c>
      <c r="E37" s="25">
        <f>SUMIFS('Adj. P&amp;L'!$11:$11,'Adj. P&amp;L'!$9:$9,$D37)</f>
        <v>47.430000000000007</v>
      </c>
      <c r="F37" s="25">
        <f>SUMIFS('Adj. P&amp;L'!$15:$15,'Adj. P&amp;L'!$9:$9,$D37)</f>
        <v>14.25</v>
      </c>
      <c r="G37" s="25">
        <f>SUMIFS('Adj. P&amp;L'!$22:$22,'Adj. P&amp;L'!$9:$9,$D37)</f>
        <v>6</v>
      </c>
      <c r="H37" s="69">
        <f t="shared" ref="H37:I37" si="29">F37/E37</f>
        <v>0.30044275774826057</v>
      </c>
      <c r="I37" s="69">
        <f t="shared" si="29"/>
        <v>0.42105263157894735</v>
      </c>
      <c r="J37" s="69">
        <f t="shared" si="9"/>
        <v>0.1265022137887413</v>
      </c>
    </row>
    <row r="38" spans="1:10" ht="15.75" customHeight="1">
      <c r="A38" s="488">
        <f t="shared" si="6"/>
        <v>2028</v>
      </c>
      <c r="B38" s="488">
        <f t="shared" si="23"/>
        <v>2</v>
      </c>
      <c r="D38" s="67">
        <f t="shared" si="7"/>
        <v>46783</v>
      </c>
      <c r="E38" s="25">
        <f>SUMIFS('Adj. P&amp;L'!$11:$11,'Adj. P&amp;L'!$9:$9,$D38)</f>
        <v>173.91000000000003</v>
      </c>
      <c r="F38" s="25">
        <f>SUMIFS('Adj. P&amp;L'!$15:$15,'Adj. P&amp;L'!$9:$9,$D38)</f>
        <v>52.25</v>
      </c>
      <c r="G38" s="25">
        <f>SUMIFS('Adj. P&amp;L'!$22:$22,'Adj. P&amp;L'!$9:$9,$D38)</f>
        <v>22</v>
      </c>
      <c r="H38" s="69">
        <f t="shared" ref="H38:I38" si="30">F38/E38</f>
        <v>0.30044275774826057</v>
      </c>
      <c r="I38" s="69">
        <f t="shared" si="30"/>
        <v>0.42105263157894735</v>
      </c>
      <c r="J38" s="69">
        <f t="shared" si="9"/>
        <v>0.1265022137887413</v>
      </c>
    </row>
    <row r="39" spans="1:10" ht="15.75" customHeight="1">
      <c r="A39" s="488">
        <f t="shared" si="6"/>
        <v>2028</v>
      </c>
      <c r="B39" s="488">
        <f t="shared" si="23"/>
        <v>2</v>
      </c>
      <c r="D39" s="67">
        <f t="shared" si="7"/>
        <v>46812</v>
      </c>
      <c r="E39" s="25">
        <f>SUMIFS('Adj. P&amp;L'!$11:$11,'Adj. P&amp;L'!$9:$9,$D39)</f>
        <v>94.860000000000014</v>
      </c>
      <c r="F39" s="25">
        <f>SUMIFS('Adj. P&amp;L'!$15:$15,'Adj. P&amp;L'!$9:$9,$D39)</f>
        <v>28.5</v>
      </c>
      <c r="G39" s="25">
        <f>SUMIFS('Adj. P&amp;L'!$22:$22,'Adj. P&amp;L'!$9:$9,$D39)</f>
        <v>12</v>
      </c>
      <c r="H39" s="69">
        <f t="shared" ref="H39:I39" si="31">F39/E39</f>
        <v>0.30044275774826057</v>
      </c>
      <c r="I39" s="69">
        <f t="shared" si="31"/>
        <v>0.42105263157894735</v>
      </c>
      <c r="J39" s="69">
        <f t="shared" si="9"/>
        <v>0.1265022137887413</v>
      </c>
    </row>
    <row r="40" spans="1:10" ht="15.75" customHeight="1">
      <c r="A40" s="488">
        <f t="shared" si="6"/>
        <v>2028</v>
      </c>
      <c r="B40" s="488">
        <f t="shared" si="23"/>
        <v>2</v>
      </c>
      <c r="D40" s="67">
        <f t="shared" si="7"/>
        <v>46843</v>
      </c>
      <c r="E40" s="25">
        <f>SUMIFS('Adj. P&amp;L'!$11:$11,'Adj. P&amp;L'!$9:$9,$D40)</f>
        <v>142.29000000000002</v>
      </c>
      <c r="F40" s="25">
        <f>SUMIFS('Adj. P&amp;L'!$15:$15,'Adj. P&amp;L'!$9:$9,$D40)</f>
        <v>42.75</v>
      </c>
      <c r="G40" s="25">
        <f>SUMIFS('Adj. P&amp;L'!$22:$22,'Adj. P&amp;L'!$9:$9,$D40)</f>
        <v>18</v>
      </c>
      <c r="H40" s="69">
        <f t="shared" ref="H40:I40" si="32">F40/E40</f>
        <v>0.30044275774826057</v>
      </c>
      <c r="I40" s="69">
        <f t="shared" si="32"/>
        <v>0.42105263157894735</v>
      </c>
      <c r="J40" s="69">
        <f t="shared" si="9"/>
        <v>0.1265022137887413</v>
      </c>
    </row>
    <row r="41" spans="1:10" ht="15.75" customHeight="1">
      <c r="A41" s="488">
        <f t="shared" si="6"/>
        <v>2028</v>
      </c>
      <c r="B41" s="488">
        <f t="shared" si="23"/>
        <v>2</v>
      </c>
      <c r="D41" s="67">
        <f t="shared" si="7"/>
        <v>46873</v>
      </c>
      <c r="E41" s="25">
        <f>SUMIFS('Adj. P&amp;L'!$11:$11,'Adj. P&amp;L'!$9:$9,$D41)</f>
        <v>110.67000000000002</v>
      </c>
      <c r="F41" s="25">
        <f>SUMIFS('Adj. P&amp;L'!$15:$15,'Adj. P&amp;L'!$9:$9,$D41)</f>
        <v>33.25</v>
      </c>
      <c r="G41" s="25">
        <f>SUMIFS('Adj. P&amp;L'!$22:$22,'Adj. P&amp;L'!$9:$9,$D41)</f>
        <v>14</v>
      </c>
      <c r="H41" s="69">
        <f t="shared" ref="H41:I41" si="33">F41/E41</f>
        <v>0.30044275774826057</v>
      </c>
      <c r="I41" s="69">
        <f t="shared" si="33"/>
        <v>0.42105263157894735</v>
      </c>
      <c r="J41" s="69">
        <f t="shared" si="9"/>
        <v>0.1265022137887413</v>
      </c>
    </row>
    <row r="42" spans="1:10" ht="15.75" customHeight="1">
      <c r="A42" s="488">
        <f t="shared" si="6"/>
        <v>2028</v>
      </c>
      <c r="B42" s="488">
        <f t="shared" si="23"/>
        <v>2</v>
      </c>
      <c r="D42" s="67">
        <f t="shared" si="7"/>
        <v>46904</v>
      </c>
      <c r="E42" s="25">
        <f>SUMIFS('Adj. P&amp;L'!$11:$11,'Adj. P&amp;L'!$9:$9,$D42)</f>
        <v>110.67000000000002</v>
      </c>
      <c r="F42" s="25">
        <f>SUMIFS('Adj. P&amp;L'!$15:$15,'Adj. P&amp;L'!$9:$9,$D42)</f>
        <v>33.25</v>
      </c>
      <c r="G42" s="25">
        <f>SUMIFS('Adj. P&amp;L'!$22:$22,'Adj. P&amp;L'!$9:$9,$D42)</f>
        <v>14</v>
      </c>
      <c r="H42" s="69">
        <f t="shared" ref="H42:I42" si="34">F42/E42</f>
        <v>0.30044275774826057</v>
      </c>
      <c r="I42" s="69">
        <f t="shared" si="34"/>
        <v>0.42105263157894735</v>
      </c>
      <c r="J42" s="69">
        <f t="shared" si="9"/>
        <v>0.1265022137887413</v>
      </c>
    </row>
    <row r="43" spans="1:10" ht="15.75" customHeight="1">
      <c r="A43" s="488">
        <f t="shared" si="6"/>
        <v>2028</v>
      </c>
      <c r="B43" s="488">
        <f t="shared" si="23"/>
        <v>3</v>
      </c>
      <c r="D43" s="67">
        <f t="shared" si="7"/>
        <v>46934</v>
      </c>
      <c r="E43" s="25">
        <f>SUMIFS('Adj. P&amp;L'!$11:$11,'Adj. P&amp;L'!$9:$9,$D43)</f>
        <v>166</v>
      </c>
      <c r="F43" s="25">
        <f>SUMIFS('Adj. P&amp;L'!$15:$15,'Adj. P&amp;L'!$9:$9,$D43)</f>
        <v>52.5</v>
      </c>
      <c r="G43" s="25">
        <f>SUMIFS('Adj. P&amp;L'!$22:$22,'Adj. P&amp;L'!$9:$9,$D43)</f>
        <v>21</v>
      </c>
      <c r="H43" s="69">
        <f t="shared" ref="H43:I43" si="35">F43/E43</f>
        <v>0.31626506024096385</v>
      </c>
      <c r="I43" s="69">
        <f t="shared" si="35"/>
        <v>0.4</v>
      </c>
      <c r="J43" s="69">
        <f t="shared" si="9"/>
        <v>0.12650602409638553</v>
      </c>
    </row>
    <row r="44" spans="1:10" ht="15.75" customHeight="1">
      <c r="A44" s="488">
        <f t="shared" si="6"/>
        <v>2028</v>
      </c>
      <c r="B44" s="488">
        <f t="shared" si="23"/>
        <v>3</v>
      </c>
      <c r="D44" s="67">
        <f t="shared" si="7"/>
        <v>46965</v>
      </c>
      <c r="E44" s="25">
        <f>SUMIFS('Adj. P&amp;L'!$11:$11,'Adj. P&amp;L'!$9:$9,$D44)</f>
        <v>237.14285714285714</v>
      </c>
      <c r="F44" s="25">
        <f>SUMIFS('Adj. P&amp;L'!$15:$15,'Adj. P&amp;L'!$9:$9,$D44)</f>
        <v>75</v>
      </c>
      <c r="G44" s="25">
        <f>SUMIFS('Adj. P&amp;L'!$22:$22,'Adj. P&amp;L'!$9:$9,$D44)</f>
        <v>30</v>
      </c>
      <c r="H44" s="69">
        <f t="shared" ref="H44:I44" si="36">F44/E44</f>
        <v>0.31626506024096385</v>
      </c>
      <c r="I44" s="69">
        <f t="shared" si="36"/>
        <v>0.4</v>
      </c>
      <c r="J44" s="69">
        <f t="shared" si="9"/>
        <v>0.12650602409638553</v>
      </c>
    </row>
    <row r="45" spans="1:10" ht="15.75" customHeight="1">
      <c r="A45" s="488">
        <f t="shared" si="6"/>
        <v>2028</v>
      </c>
      <c r="B45" s="488">
        <f t="shared" si="23"/>
        <v>3</v>
      </c>
      <c r="D45" s="67">
        <f t="shared" si="7"/>
        <v>46996</v>
      </c>
      <c r="E45" s="25">
        <f>SUMIFS('Adj. P&amp;L'!$11:$11,'Adj. P&amp;L'!$9:$9,$D45)</f>
        <v>197.61904761904762</v>
      </c>
      <c r="F45" s="25">
        <f>SUMIFS('Adj. P&amp;L'!$15:$15,'Adj. P&amp;L'!$9:$9,$D45)</f>
        <v>62.5</v>
      </c>
      <c r="G45" s="25">
        <f>SUMIFS('Adj. P&amp;L'!$22:$22,'Adj. P&amp;L'!$9:$9,$D45)</f>
        <v>25</v>
      </c>
      <c r="H45" s="69">
        <f t="shared" ref="H45:I45" si="37">F45/E45</f>
        <v>0.31626506024096385</v>
      </c>
      <c r="I45" s="69">
        <f t="shared" si="37"/>
        <v>0.4</v>
      </c>
      <c r="J45" s="69">
        <f t="shared" si="9"/>
        <v>0.12650602409638553</v>
      </c>
    </row>
    <row r="46" spans="1:10" ht="15.75" customHeight="1">
      <c r="A46" s="488">
        <f t="shared" si="6"/>
        <v>2028</v>
      </c>
      <c r="B46" s="488">
        <f t="shared" si="23"/>
        <v>3</v>
      </c>
      <c r="D46" s="67">
        <f t="shared" si="7"/>
        <v>47026</v>
      </c>
      <c r="E46" s="25">
        <f>SUMIFS('Adj. P&amp;L'!$11:$11,'Adj. P&amp;L'!$9:$9,$D46)</f>
        <v>134.38095238095238</v>
      </c>
      <c r="F46" s="25">
        <f>SUMIFS('Adj. P&amp;L'!$15:$15,'Adj. P&amp;L'!$9:$9,$D46)</f>
        <v>42.5</v>
      </c>
      <c r="G46" s="25">
        <f>SUMIFS('Adj. P&amp;L'!$22:$22,'Adj. P&amp;L'!$9:$9,$D46)</f>
        <v>17</v>
      </c>
      <c r="H46" s="69">
        <f t="shared" ref="H46:I46" si="38">F46/E46</f>
        <v>0.31626506024096385</v>
      </c>
      <c r="I46" s="69">
        <f t="shared" si="38"/>
        <v>0.4</v>
      </c>
      <c r="J46" s="69">
        <f t="shared" si="9"/>
        <v>0.12650602409638553</v>
      </c>
    </row>
    <row r="47" spans="1:10" ht="15.75" customHeight="1">
      <c r="A47" s="488">
        <f t="shared" si="6"/>
        <v>2028</v>
      </c>
      <c r="B47" s="488">
        <f t="shared" si="23"/>
        <v>3</v>
      </c>
      <c r="D47" s="67">
        <f t="shared" si="7"/>
        <v>47057</v>
      </c>
      <c r="E47" s="25">
        <f>SUMIFS('Adj. P&amp;L'!$11:$11,'Adj. P&amp;L'!$9:$9,$D47)</f>
        <v>94.857142857142861</v>
      </c>
      <c r="F47" s="25">
        <f>SUMIFS('Adj. P&amp;L'!$15:$15,'Adj. P&amp;L'!$9:$9,$D47)</f>
        <v>30</v>
      </c>
      <c r="G47" s="25">
        <f>SUMIFS('Adj. P&amp;L'!$22:$22,'Adj. P&amp;L'!$9:$9,$D47)</f>
        <v>12</v>
      </c>
      <c r="H47" s="69">
        <f t="shared" ref="H47:I47" si="39">F47/E47</f>
        <v>0.31626506024096385</v>
      </c>
      <c r="I47" s="69">
        <f t="shared" si="39"/>
        <v>0.4</v>
      </c>
      <c r="J47" s="69">
        <f t="shared" si="9"/>
        <v>0.12650602409638553</v>
      </c>
    </row>
    <row r="48" spans="1:10" ht="15.75" customHeight="1">
      <c r="A48" s="488">
        <f t="shared" si="6"/>
        <v>2028</v>
      </c>
      <c r="B48" s="488">
        <f t="shared" si="23"/>
        <v>3</v>
      </c>
      <c r="D48" s="67">
        <f t="shared" si="7"/>
        <v>47087</v>
      </c>
      <c r="E48" s="25">
        <f>SUMIFS('Adj. P&amp;L'!$11:$11,'Adj. P&amp;L'!$9:$9,$D48)</f>
        <v>118.57142857142857</v>
      </c>
      <c r="F48" s="25">
        <f>SUMIFS('Adj. P&amp;L'!$15:$15,'Adj. P&amp;L'!$9:$9,$D48)</f>
        <v>37.5</v>
      </c>
      <c r="G48" s="25">
        <f>SUMIFS('Adj. P&amp;L'!$22:$22,'Adj. P&amp;L'!$9:$9,$D48)</f>
        <v>15</v>
      </c>
      <c r="H48" s="69">
        <f t="shared" ref="H48:I48" si="40">F48/E48</f>
        <v>0.31626506024096385</v>
      </c>
      <c r="I48" s="69">
        <f t="shared" si="40"/>
        <v>0.4</v>
      </c>
      <c r="J48" s="69">
        <f t="shared" si="9"/>
        <v>0.12650602409638553</v>
      </c>
    </row>
    <row r="49" spans="1:10" ht="15.75" customHeight="1">
      <c r="A49" s="488">
        <f t="shared" si="6"/>
        <v>2028</v>
      </c>
      <c r="B49" s="488">
        <f t="shared" si="23"/>
        <v>3</v>
      </c>
      <c r="D49" s="67">
        <f t="shared" si="7"/>
        <v>47118</v>
      </c>
      <c r="E49" s="25">
        <f>SUMIFS('Adj. P&amp;L'!$11:$11,'Adj. P&amp;L'!$9:$9,$D49)</f>
        <v>47.428571428571431</v>
      </c>
      <c r="F49" s="25">
        <f>SUMIFS('Adj. P&amp;L'!$15:$15,'Adj. P&amp;L'!$9:$9,$D49)</f>
        <v>15</v>
      </c>
      <c r="G49" s="25">
        <f>SUMIFS('Adj. P&amp;L'!$22:$22,'Adj. P&amp;L'!$9:$9,$D49)</f>
        <v>6</v>
      </c>
      <c r="H49" s="69">
        <f t="shared" ref="H49:I49" si="41">F49/E49</f>
        <v>0.31626506024096385</v>
      </c>
      <c r="I49" s="69">
        <f t="shared" si="41"/>
        <v>0.4</v>
      </c>
      <c r="J49" s="69">
        <f t="shared" si="9"/>
        <v>0.12650602409638553</v>
      </c>
    </row>
    <row r="50" spans="1:10" ht="15.75" customHeight="1">
      <c r="A50" s="488">
        <f t="shared" si="6"/>
        <v>2029</v>
      </c>
      <c r="B50" s="488">
        <f t="shared" si="23"/>
        <v>3</v>
      </c>
      <c r="D50" s="67">
        <f t="shared" si="7"/>
        <v>47149</v>
      </c>
      <c r="E50" s="25">
        <f>SUMIFS('Adj. P&amp;L'!$11:$11,'Adj. P&amp;L'!$9:$9,$D50)</f>
        <v>181.80952380952382</v>
      </c>
      <c r="F50" s="25">
        <f>SUMIFS('Adj. P&amp;L'!$15:$15,'Adj. P&amp;L'!$9:$9,$D50)</f>
        <v>57.5</v>
      </c>
      <c r="G50" s="25">
        <f>SUMIFS('Adj. P&amp;L'!$22:$22,'Adj. P&amp;L'!$9:$9,$D50)</f>
        <v>23</v>
      </c>
      <c r="H50" s="69">
        <f t="shared" ref="H50:I50" si="42">F50/E50</f>
        <v>0.31626506024096385</v>
      </c>
      <c r="I50" s="69">
        <f t="shared" si="42"/>
        <v>0.4</v>
      </c>
      <c r="J50" s="69">
        <f t="shared" si="9"/>
        <v>0.12650602409638553</v>
      </c>
    </row>
    <row r="51" spans="1:10" ht="15.75" customHeight="1">
      <c r="A51" s="488">
        <f t="shared" si="6"/>
        <v>2029</v>
      </c>
      <c r="B51" s="488">
        <f t="shared" si="23"/>
        <v>3</v>
      </c>
      <c r="D51" s="67">
        <f t="shared" si="7"/>
        <v>47177</v>
      </c>
      <c r="E51" s="25">
        <f>SUMIFS('Adj. P&amp;L'!$11:$11,'Adj. P&amp;L'!$9:$9,$D51)</f>
        <v>94.857142857142861</v>
      </c>
      <c r="F51" s="25">
        <f>SUMIFS('Adj. P&amp;L'!$15:$15,'Adj. P&amp;L'!$9:$9,$D51)</f>
        <v>30</v>
      </c>
      <c r="G51" s="25">
        <f>SUMIFS('Adj. P&amp;L'!$22:$22,'Adj. P&amp;L'!$9:$9,$D51)</f>
        <v>12</v>
      </c>
      <c r="H51" s="69">
        <f t="shared" ref="H51:I51" si="43">F51/E51</f>
        <v>0.31626506024096385</v>
      </c>
      <c r="I51" s="69">
        <f t="shared" si="43"/>
        <v>0.4</v>
      </c>
      <c r="J51" s="69">
        <f t="shared" si="9"/>
        <v>0.12650602409638553</v>
      </c>
    </row>
    <row r="52" spans="1:10" ht="15.75" customHeight="1">
      <c r="A52" s="488">
        <f t="shared" si="6"/>
        <v>2029</v>
      </c>
      <c r="B52" s="488">
        <f t="shared" si="23"/>
        <v>3</v>
      </c>
      <c r="D52" s="67">
        <f t="shared" si="7"/>
        <v>47208</v>
      </c>
      <c r="E52" s="25">
        <f>SUMIFS('Adj. P&amp;L'!$11:$11,'Adj. P&amp;L'!$9:$9,$D52)</f>
        <v>150.1904761904762</v>
      </c>
      <c r="F52" s="25">
        <f>SUMIFS('Adj. P&amp;L'!$15:$15,'Adj. P&amp;L'!$9:$9,$D52)</f>
        <v>47.5</v>
      </c>
      <c r="G52" s="25">
        <f>SUMIFS('Adj. P&amp;L'!$22:$22,'Adj. P&amp;L'!$9:$9,$D52)</f>
        <v>19</v>
      </c>
      <c r="H52" s="69">
        <f t="shared" ref="H52:I52" si="44">F52/E52</f>
        <v>0.31626506024096385</v>
      </c>
      <c r="I52" s="69">
        <f t="shared" si="44"/>
        <v>0.4</v>
      </c>
      <c r="J52" s="69">
        <f t="shared" si="9"/>
        <v>0.12650602409638553</v>
      </c>
    </row>
    <row r="53" spans="1:10" ht="15.75" customHeight="1">
      <c r="A53" s="488">
        <f t="shared" si="6"/>
        <v>2029</v>
      </c>
      <c r="B53" s="488">
        <f t="shared" si="23"/>
        <v>3</v>
      </c>
      <c r="D53" s="67">
        <f t="shared" si="7"/>
        <v>47238</v>
      </c>
      <c r="E53" s="25">
        <f>SUMIFS('Adj. P&amp;L'!$11:$11,'Adj. P&amp;L'!$9:$9,$D53)</f>
        <v>118.57142857142857</v>
      </c>
      <c r="F53" s="25">
        <f>SUMIFS('Adj. P&amp;L'!$15:$15,'Adj. P&amp;L'!$9:$9,$D53)</f>
        <v>37.5</v>
      </c>
      <c r="G53" s="25">
        <f>SUMIFS('Adj. P&amp;L'!$22:$22,'Adj. P&amp;L'!$9:$9,$D53)</f>
        <v>15</v>
      </c>
      <c r="H53" s="69">
        <f t="shared" ref="H53:I53" si="45">F53/E53</f>
        <v>0.31626506024096385</v>
      </c>
      <c r="I53" s="69">
        <f t="shared" si="45"/>
        <v>0.4</v>
      </c>
      <c r="J53" s="69">
        <f t="shared" si="9"/>
        <v>0.12650602409638553</v>
      </c>
    </row>
    <row r="54" spans="1:10" ht="15.75" customHeight="1">
      <c r="A54" s="488">
        <f t="shared" si="6"/>
        <v>2029</v>
      </c>
      <c r="B54" s="488">
        <f t="shared" si="23"/>
        <v>3</v>
      </c>
      <c r="D54" s="67">
        <f t="shared" si="7"/>
        <v>47269</v>
      </c>
      <c r="E54" s="25">
        <f>SUMIFS('Adj. P&amp;L'!$11:$11,'Adj. P&amp;L'!$9:$9,$D54)</f>
        <v>118.57142857142857</v>
      </c>
      <c r="F54" s="25">
        <f>SUMIFS('Adj. P&amp;L'!$15:$15,'Adj. P&amp;L'!$9:$9,$D54)</f>
        <v>37.5</v>
      </c>
      <c r="G54" s="25">
        <f>SUMIFS('Adj. P&amp;L'!$22:$22,'Adj. P&amp;L'!$9:$9,$D54)</f>
        <v>15</v>
      </c>
      <c r="H54" s="69">
        <f t="shared" ref="H54:I54" si="46">F54/E54</f>
        <v>0.31626506024096385</v>
      </c>
      <c r="I54" s="69">
        <f t="shared" si="46"/>
        <v>0.4</v>
      </c>
      <c r="J54" s="69">
        <f t="shared" si="9"/>
        <v>0.12650602409638553</v>
      </c>
    </row>
    <row r="55" spans="1:10" ht="15.75" customHeight="1">
      <c r="A55" s="488">
        <f t="shared" si="6"/>
        <v>2029</v>
      </c>
      <c r="B55" s="488">
        <f t="shared" si="23"/>
        <v>4</v>
      </c>
      <c r="D55" s="67">
        <f t="shared" si="7"/>
        <v>47299</v>
      </c>
      <c r="E55" s="25">
        <f>SUMIFS('Adj. P&amp;L'!$11:$11,'Adj. P&amp;L'!$9:$9,$D55)</f>
        <v>166</v>
      </c>
      <c r="F55" s="25">
        <f>SUMIFS('Adj. P&amp;L'!$15:$15,'Adj. P&amp;L'!$9:$9,$D55)</f>
        <v>52.5</v>
      </c>
      <c r="G55" s="25">
        <f>SUMIFS('Adj. P&amp;L'!$22:$22,'Adj. P&amp;L'!$9:$9,$D55)</f>
        <v>21</v>
      </c>
      <c r="H55" s="69">
        <f t="shared" ref="H55:I55" si="47">F55/E55</f>
        <v>0.31626506024096385</v>
      </c>
      <c r="I55" s="69">
        <f t="shared" si="47"/>
        <v>0.4</v>
      </c>
      <c r="J55" s="69">
        <f t="shared" si="9"/>
        <v>0.12650602409638553</v>
      </c>
    </row>
    <row r="56" spans="1:10" ht="15.75" customHeight="1">
      <c r="A56" s="488">
        <f t="shared" si="6"/>
        <v>2029</v>
      </c>
      <c r="B56" s="488">
        <f t="shared" si="23"/>
        <v>4</v>
      </c>
      <c r="D56" s="67">
        <f t="shared" si="7"/>
        <v>47330</v>
      </c>
      <c r="E56" s="25">
        <f>SUMIFS('Adj. P&amp;L'!$11:$11,'Adj. P&amp;L'!$9:$9,$D56)</f>
        <v>237.14285714285714</v>
      </c>
      <c r="F56" s="25">
        <f>SUMIFS('Adj. P&amp;L'!$15:$15,'Adj. P&amp;L'!$9:$9,$D56)</f>
        <v>75</v>
      </c>
      <c r="G56" s="25">
        <f>SUMIFS('Adj. P&amp;L'!$22:$22,'Adj. P&amp;L'!$9:$9,$D56)</f>
        <v>30</v>
      </c>
      <c r="H56" s="69">
        <f t="shared" ref="H56:I56" si="48">F56/E56</f>
        <v>0.31626506024096385</v>
      </c>
      <c r="I56" s="69">
        <f t="shared" si="48"/>
        <v>0.4</v>
      </c>
      <c r="J56" s="69">
        <f t="shared" si="9"/>
        <v>0.12650602409638553</v>
      </c>
    </row>
    <row r="57" spans="1:10" ht="15.75" customHeight="1">
      <c r="A57" s="488">
        <f t="shared" si="6"/>
        <v>2029</v>
      </c>
      <c r="B57" s="488">
        <f t="shared" si="23"/>
        <v>4</v>
      </c>
      <c r="D57" s="67">
        <f t="shared" si="7"/>
        <v>47361</v>
      </c>
      <c r="E57" s="25">
        <f>SUMIFS('Adj. P&amp;L'!$11:$11,'Adj. P&amp;L'!$9:$9,$D57)</f>
        <v>197.61904761904762</v>
      </c>
      <c r="F57" s="25">
        <f>SUMIFS('Adj. P&amp;L'!$15:$15,'Adj. P&amp;L'!$9:$9,$D57)</f>
        <v>62.5</v>
      </c>
      <c r="G57" s="25">
        <f>SUMIFS('Adj. P&amp;L'!$22:$22,'Adj. P&amp;L'!$9:$9,$D57)</f>
        <v>25</v>
      </c>
      <c r="H57" s="69">
        <f t="shared" ref="H57:I57" si="49">F57/E57</f>
        <v>0.31626506024096385</v>
      </c>
      <c r="I57" s="69">
        <f t="shared" si="49"/>
        <v>0.4</v>
      </c>
      <c r="J57" s="69">
        <f t="shared" si="9"/>
        <v>0.12650602409638553</v>
      </c>
    </row>
    <row r="58" spans="1:10" ht="15.75" customHeight="1">
      <c r="A58" s="488">
        <f t="shared" si="6"/>
        <v>2029</v>
      </c>
      <c r="B58" s="488">
        <f t="shared" si="23"/>
        <v>4</v>
      </c>
      <c r="D58" s="67">
        <f t="shared" si="7"/>
        <v>47391</v>
      </c>
      <c r="E58" s="25">
        <f>SUMIFS('Adj. P&amp;L'!$11:$11,'Adj. P&amp;L'!$9:$9,$D58)</f>
        <v>134.38095238095238</v>
      </c>
      <c r="F58" s="25">
        <f>SUMIFS('Adj. P&amp;L'!$15:$15,'Adj. P&amp;L'!$9:$9,$D58)</f>
        <v>42.5</v>
      </c>
      <c r="G58" s="25">
        <f>SUMIFS('Adj. P&amp;L'!$22:$22,'Adj. P&amp;L'!$9:$9,$D58)</f>
        <v>17</v>
      </c>
      <c r="H58" s="69">
        <f t="shared" ref="H58:I58" si="50">F58/E58</f>
        <v>0.31626506024096385</v>
      </c>
      <c r="I58" s="69">
        <f t="shared" si="50"/>
        <v>0.4</v>
      </c>
      <c r="J58" s="69">
        <f t="shared" si="9"/>
        <v>0.12650602409638553</v>
      </c>
    </row>
    <row r="59" spans="1:10" ht="15.75" customHeight="1">
      <c r="A59" s="488">
        <f t="shared" si="6"/>
        <v>2029</v>
      </c>
      <c r="B59" s="488">
        <f t="shared" si="23"/>
        <v>4</v>
      </c>
      <c r="D59" s="67">
        <f t="shared" si="7"/>
        <v>47422</v>
      </c>
      <c r="E59" s="25">
        <f>SUMIFS('Adj. P&amp;L'!$11:$11,'Adj. P&amp;L'!$9:$9,$D59)</f>
        <v>94.857142857142861</v>
      </c>
      <c r="F59" s="25">
        <f>SUMIFS('Adj. P&amp;L'!$15:$15,'Adj. P&amp;L'!$9:$9,$D59)</f>
        <v>30</v>
      </c>
      <c r="G59" s="25">
        <f>SUMIFS('Adj. P&amp;L'!$22:$22,'Adj. P&amp;L'!$9:$9,$D59)</f>
        <v>12</v>
      </c>
      <c r="H59" s="69">
        <f t="shared" ref="H59:I59" si="51">F59/E59</f>
        <v>0.31626506024096385</v>
      </c>
      <c r="I59" s="69">
        <f t="shared" si="51"/>
        <v>0.4</v>
      </c>
      <c r="J59" s="69">
        <f t="shared" si="9"/>
        <v>0.12650602409638553</v>
      </c>
    </row>
    <row r="60" spans="1:10" ht="15.75" customHeight="1">
      <c r="A60" s="488">
        <f t="shared" si="6"/>
        <v>2029</v>
      </c>
      <c r="B60" s="488">
        <f t="shared" si="23"/>
        <v>4</v>
      </c>
      <c r="D60" s="67">
        <f t="shared" si="7"/>
        <v>47452</v>
      </c>
      <c r="E60" s="25">
        <f>SUMIFS('Adj. P&amp;L'!$11:$11,'Adj. P&amp;L'!$9:$9,$D60)</f>
        <v>118.57142857142857</v>
      </c>
      <c r="F60" s="25">
        <f>SUMIFS('Adj. P&amp;L'!$15:$15,'Adj. P&amp;L'!$9:$9,$D60)</f>
        <v>37.5</v>
      </c>
      <c r="G60" s="25">
        <f>SUMIFS('Adj. P&amp;L'!$22:$22,'Adj. P&amp;L'!$9:$9,$D60)</f>
        <v>15</v>
      </c>
      <c r="H60" s="69">
        <f t="shared" ref="H60:I60" si="52">F60/E60</f>
        <v>0.31626506024096385</v>
      </c>
      <c r="I60" s="69">
        <f t="shared" si="52"/>
        <v>0.4</v>
      </c>
      <c r="J60" s="69">
        <f t="shared" si="9"/>
        <v>0.12650602409638553</v>
      </c>
    </row>
    <row r="61" spans="1:10" ht="15.75" customHeight="1">
      <c r="A61" s="488">
        <f t="shared" si="6"/>
        <v>2029</v>
      </c>
      <c r="B61" s="488">
        <f t="shared" si="23"/>
        <v>4</v>
      </c>
      <c r="D61" s="67">
        <f t="shared" si="7"/>
        <v>47483</v>
      </c>
      <c r="E61" s="25">
        <f>SUMIFS('Adj. P&amp;L'!$11:$11,'Adj. P&amp;L'!$9:$9,$D61)</f>
        <v>47.428571428571431</v>
      </c>
      <c r="F61" s="25">
        <f>SUMIFS('Adj. P&amp;L'!$15:$15,'Adj. P&amp;L'!$9:$9,$D61)</f>
        <v>15</v>
      </c>
      <c r="G61" s="25">
        <f>SUMIFS('Adj. P&amp;L'!$22:$22,'Adj. P&amp;L'!$9:$9,$D61)</f>
        <v>6</v>
      </c>
      <c r="H61" s="69">
        <f t="shared" ref="H61:I61" si="53">F61/E61</f>
        <v>0.31626506024096385</v>
      </c>
      <c r="I61" s="69">
        <f t="shared" si="53"/>
        <v>0.4</v>
      </c>
      <c r="J61" s="69">
        <f t="shared" si="9"/>
        <v>0.12650602409638553</v>
      </c>
    </row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DM119"/>
  <sheetViews>
    <sheetView showGridLines="0" tabSelected="1" zoomScaleNormal="100" workbookViewId="0">
      <pane xSplit="3" ySplit="9" topLeftCell="AG10" activePane="bottomRight" state="frozen"/>
      <selection pane="topRight" activeCell="D1" sqref="D1"/>
      <selection pane="bottomLeft" activeCell="A10" sqref="A10"/>
      <selection pane="bottomRight" activeCell="A2" sqref="A2"/>
    </sheetView>
  </sheetViews>
  <sheetFormatPr defaultColWidth="12.54296875" defaultRowHeight="15" customHeight="1" outlineLevelCol="2"/>
  <cols>
    <col min="1" max="2" width="1.54296875" customWidth="1"/>
    <col min="3" max="3" width="38.81640625" customWidth="1"/>
    <col min="4" max="15" width="8.7265625" hidden="1" customWidth="1" outlineLevel="2"/>
    <col min="16" max="16" width="8.7265625" hidden="1" customWidth="1" outlineLevel="1" collapsed="1"/>
    <col min="17" max="32" width="8.7265625" hidden="1" customWidth="1" outlineLevel="1"/>
    <col min="33" max="33" width="1.7265625" customWidth="1" collapsed="1"/>
    <col min="34" max="57" width="8.7265625" hidden="1" customWidth="1" outlineLevel="1"/>
    <col min="58" max="69" width="8.7265625" hidden="1" customWidth="1" outlineLevel="2"/>
    <col min="70" max="70" width="1.7265625" hidden="1" customWidth="1" outlineLevel="2"/>
    <col min="71" max="77" width="8.7265625" hidden="1" customWidth="1" outlineLevel="2"/>
    <col min="78" max="78" width="1.7265625" customWidth="1" collapsed="1"/>
    <col min="79" max="84" width="10.7265625" customWidth="1"/>
    <col min="85" max="85" width="1.7265625" customWidth="1"/>
    <col min="86" max="88" width="10.7265625" customWidth="1"/>
    <col min="89" max="89" width="1.7265625" customWidth="1"/>
    <col min="90" max="90" width="10.7265625" customWidth="1"/>
    <col min="91" max="91" width="1.7265625" customWidth="1"/>
    <col min="92" max="93" width="10.7265625" customWidth="1"/>
    <col min="94" max="94" width="1.7265625" customWidth="1"/>
    <col min="95" max="95" width="15.81640625" customWidth="1"/>
    <col min="96" max="96" width="41.7265625" customWidth="1"/>
    <col min="97" max="98" width="8.54296875" customWidth="1"/>
    <col min="99" max="102" width="10.7265625" hidden="1" customWidth="1" outlineLevel="1"/>
    <col min="103" max="103" width="8.54296875" customWidth="1" collapsed="1"/>
    <col min="104" max="117" width="8.54296875" customWidth="1"/>
  </cols>
  <sheetData>
    <row r="1" spans="1:117" ht="14.5">
      <c r="D1" s="16">
        <f t="shared" ref="D1:AF1" si="0">YEAR(D9)</f>
        <v>2024</v>
      </c>
      <c r="E1" s="16">
        <f t="shared" si="0"/>
        <v>2024</v>
      </c>
      <c r="F1" s="16">
        <f t="shared" si="0"/>
        <v>2024</v>
      </c>
      <c r="G1" s="16">
        <f t="shared" si="0"/>
        <v>2024</v>
      </c>
      <c r="H1" s="16">
        <f t="shared" si="0"/>
        <v>2024</v>
      </c>
      <c r="I1" s="16">
        <f t="shared" si="0"/>
        <v>2024</v>
      </c>
      <c r="J1" s="16">
        <f t="shared" si="0"/>
        <v>2024</v>
      </c>
      <c r="K1" s="16">
        <f t="shared" si="0"/>
        <v>2024</v>
      </c>
      <c r="L1" s="16">
        <f t="shared" si="0"/>
        <v>2024</v>
      </c>
      <c r="M1" s="16">
        <f t="shared" si="0"/>
        <v>2024</v>
      </c>
      <c r="N1" s="16">
        <f t="shared" si="0"/>
        <v>2024</v>
      </c>
      <c r="O1" s="16">
        <f t="shared" si="0"/>
        <v>2024</v>
      </c>
      <c r="P1" s="16">
        <f t="shared" si="0"/>
        <v>2025</v>
      </c>
      <c r="Q1" s="16">
        <f t="shared" si="0"/>
        <v>2025</v>
      </c>
      <c r="R1" s="16">
        <f t="shared" si="0"/>
        <v>2025</v>
      </c>
      <c r="S1" s="16">
        <f t="shared" si="0"/>
        <v>2025</v>
      </c>
      <c r="T1" s="16">
        <f t="shared" si="0"/>
        <v>2025</v>
      </c>
      <c r="U1" s="16">
        <f t="shared" si="0"/>
        <v>2025</v>
      </c>
      <c r="V1" s="16">
        <f t="shared" si="0"/>
        <v>2025</v>
      </c>
      <c r="W1" s="16">
        <f t="shared" si="0"/>
        <v>2025</v>
      </c>
      <c r="X1" s="16">
        <f t="shared" si="0"/>
        <v>2025</v>
      </c>
      <c r="Y1" s="16">
        <f t="shared" si="0"/>
        <v>2025</v>
      </c>
      <c r="Z1" s="16">
        <f t="shared" si="0"/>
        <v>2025</v>
      </c>
      <c r="AA1" s="16">
        <f t="shared" si="0"/>
        <v>2025</v>
      </c>
      <c r="AB1" s="16">
        <f t="shared" si="0"/>
        <v>2026</v>
      </c>
      <c r="AC1" s="16">
        <f t="shared" si="0"/>
        <v>2026</v>
      </c>
      <c r="AD1" s="16">
        <f t="shared" si="0"/>
        <v>2026</v>
      </c>
      <c r="AE1" s="16">
        <f t="shared" si="0"/>
        <v>2026</v>
      </c>
      <c r="AF1" s="16">
        <f t="shared" si="0"/>
        <v>2026</v>
      </c>
      <c r="AG1" s="14"/>
      <c r="AH1" s="16">
        <f t="shared" ref="AH1:BQ1" si="1">YEAR(AH9)</f>
        <v>2026</v>
      </c>
      <c r="AI1" s="16">
        <f t="shared" si="1"/>
        <v>2026</v>
      </c>
      <c r="AJ1" s="16">
        <f t="shared" si="1"/>
        <v>2026</v>
      </c>
      <c r="AK1" s="16">
        <f t="shared" si="1"/>
        <v>2026</v>
      </c>
      <c r="AL1" s="16">
        <f t="shared" si="1"/>
        <v>2026</v>
      </c>
      <c r="AM1" s="16">
        <f t="shared" si="1"/>
        <v>2026</v>
      </c>
      <c r="AN1" s="16">
        <f t="shared" si="1"/>
        <v>2026</v>
      </c>
      <c r="AO1" s="16">
        <f t="shared" si="1"/>
        <v>2027</v>
      </c>
      <c r="AP1" s="16">
        <f t="shared" si="1"/>
        <v>2027</v>
      </c>
      <c r="AQ1" s="16">
        <f t="shared" si="1"/>
        <v>2027</v>
      </c>
      <c r="AR1" s="16">
        <f t="shared" si="1"/>
        <v>2027</v>
      </c>
      <c r="AS1" s="16">
        <f t="shared" si="1"/>
        <v>2027</v>
      </c>
      <c r="AT1" s="16">
        <f t="shared" si="1"/>
        <v>2027</v>
      </c>
      <c r="AU1" s="16">
        <f t="shared" si="1"/>
        <v>2027</v>
      </c>
      <c r="AV1" s="16">
        <f t="shared" si="1"/>
        <v>2027</v>
      </c>
      <c r="AW1" s="16">
        <f t="shared" si="1"/>
        <v>2027</v>
      </c>
      <c r="AX1" s="16">
        <f t="shared" si="1"/>
        <v>2027</v>
      </c>
      <c r="AY1" s="16">
        <f t="shared" si="1"/>
        <v>2027</v>
      </c>
      <c r="AZ1" s="16">
        <f t="shared" si="1"/>
        <v>2027</v>
      </c>
      <c r="BA1" s="16">
        <f t="shared" si="1"/>
        <v>2028</v>
      </c>
      <c r="BB1" s="16">
        <f t="shared" si="1"/>
        <v>2028</v>
      </c>
      <c r="BC1" s="16">
        <f t="shared" si="1"/>
        <v>2028</v>
      </c>
      <c r="BD1" s="16">
        <f t="shared" si="1"/>
        <v>2028</v>
      </c>
      <c r="BE1" s="16">
        <f t="shared" si="1"/>
        <v>2028</v>
      </c>
      <c r="BF1" s="16">
        <f t="shared" si="1"/>
        <v>2028</v>
      </c>
      <c r="BG1" s="16">
        <f t="shared" si="1"/>
        <v>2028</v>
      </c>
      <c r="BH1" s="16">
        <f t="shared" si="1"/>
        <v>2028</v>
      </c>
      <c r="BI1" s="16">
        <f t="shared" si="1"/>
        <v>2028</v>
      </c>
      <c r="BJ1" s="16">
        <f t="shared" si="1"/>
        <v>2028</v>
      </c>
      <c r="BK1" s="16">
        <f t="shared" si="1"/>
        <v>2028</v>
      </c>
      <c r="BL1" s="16">
        <f t="shared" si="1"/>
        <v>2028</v>
      </c>
      <c r="BM1" s="16">
        <f t="shared" si="1"/>
        <v>2029</v>
      </c>
      <c r="BN1" s="16">
        <f t="shared" si="1"/>
        <v>2029</v>
      </c>
      <c r="BO1" s="16">
        <f t="shared" si="1"/>
        <v>2029</v>
      </c>
      <c r="BP1" s="16">
        <f t="shared" si="1"/>
        <v>2029</v>
      </c>
      <c r="BQ1" s="16">
        <f t="shared" si="1"/>
        <v>2029</v>
      </c>
      <c r="BR1" s="16"/>
      <c r="BS1" s="16">
        <f t="shared" ref="BS1:BY1" si="2">YEAR(BS9)</f>
        <v>2029</v>
      </c>
      <c r="BT1" s="16">
        <f t="shared" si="2"/>
        <v>2029</v>
      </c>
      <c r="BU1" s="16">
        <f t="shared" si="2"/>
        <v>2029</v>
      </c>
      <c r="BV1" s="16">
        <f t="shared" si="2"/>
        <v>2029</v>
      </c>
      <c r="BW1" s="16">
        <f t="shared" si="2"/>
        <v>2029</v>
      </c>
      <c r="BX1" s="16">
        <f t="shared" si="2"/>
        <v>2029</v>
      </c>
      <c r="BY1" s="16">
        <f t="shared" si="2"/>
        <v>2029</v>
      </c>
      <c r="BZ1" s="14"/>
      <c r="CH1" s="15">
        <v>1</v>
      </c>
      <c r="CI1" s="15">
        <v>2</v>
      </c>
      <c r="CJ1" s="15">
        <v>3</v>
      </c>
      <c r="CN1" s="70" t="s">
        <v>204</v>
      </c>
      <c r="CQ1" s="71"/>
      <c r="CR1" s="71"/>
    </row>
    <row r="2" spans="1:117" ht="14.5">
      <c r="D2" s="16">
        <f t="shared" ref="D2:AF2" si="3">MONTH(D9)</f>
        <v>1</v>
      </c>
      <c r="E2" s="16">
        <f t="shared" si="3"/>
        <v>2</v>
      </c>
      <c r="F2" s="16">
        <f t="shared" si="3"/>
        <v>3</v>
      </c>
      <c r="G2" s="16">
        <f t="shared" si="3"/>
        <v>4</v>
      </c>
      <c r="H2" s="16">
        <f t="shared" si="3"/>
        <v>5</v>
      </c>
      <c r="I2" s="16">
        <f t="shared" si="3"/>
        <v>6</v>
      </c>
      <c r="J2" s="16">
        <f t="shared" si="3"/>
        <v>7</v>
      </c>
      <c r="K2" s="16">
        <f t="shared" si="3"/>
        <v>8</v>
      </c>
      <c r="L2" s="16">
        <f t="shared" si="3"/>
        <v>9</v>
      </c>
      <c r="M2" s="16">
        <f t="shared" si="3"/>
        <v>10</v>
      </c>
      <c r="N2" s="16">
        <f t="shared" si="3"/>
        <v>11</v>
      </c>
      <c r="O2" s="16">
        <f t="shared" si="3"/>
        <v>12</v>
      </c>
      <c r="P2" s="16">
        <f t="shared" si="3"/>
        <v>1</v>
      </c>
      <c r="Q2" s="16">
        <f t="shared" si="3"/>
        <v>2</v>
      </c>
      <c r="R2" s="16">
        <f t="shared" si="3"/>
        <v>3</v>
      </c>
      <c r="S2" s="16">
        <f t="shared" si="3"/>
        <v>4</v>
      </c>
      <c r="T2" s="16">
        <f t="shared" si="3"/>
        <v>5</v>
      </c>
      <c r="U2" s="16">
        <f t="shared" si="3"/>
        <v>6</v>
      </c>
      <c r="V2" s="16">
        <f t="shared" si="3"/>
        <v>7</v>
      </c>
      <c r="W2" s="16">
        <f t="shared" si="3"/>
        <v>8</v>
      </c>
      <c r="X2" s="16">
        <f t="shared" si="3"/>
        <v>9</v>
      </c>
      <c r="Y2" s="16">
        <f t="shared" si="3"/>
        <v>10</v>
      </c>
      <c r="Z2" s="16">
        <f t="shared" si="3"/>
        <v>11</v>
      </c>
      <c r="AA2" s="16">
        <f t="shared" si="3"/>
        <v>12</v>
      </c>
      <c r="AB2" s="16">
        <f t="shared" si="3"/>
        <v>1</v>
      </c>
      <c r="AC2" s="16">
        <f t="shared" si="3"/>
        <v>2</v>
      </c>
      <c r="AD2" s="16">
        <f t="shared" si="3"/>
        <v>3</v>
      </c>
      <c r="AE2" s="16">
        <f t="shared" si="3"/>
        <v>4</v>
      </c>
      <c r="AF2" s="16">
        <f t="shared" si="3"/>
        <v>5</v>
      </c>
      <c r="AG2" s="14"/>
      <c r="AH2" s="16">
        <f t="shared" ref="AH2:BQ2" si="4">MONTH(AH9)</f>
        <v>6</v>
      </c>
      <c r="AI2" s="16">
        <f t="shared" si="4"/>
        <v>7</v>
      </c>
      <c r="AJ2" s="16">
        <f t="shared" si="4"/>
        <v>8</v>
      </c>
      <c r="AK2" s="16">
        <f t="shared" si="4"/>
        <v>9</v>
      </c>
      <c r="AL2" s="16">
        <f t="shared" si="4"/>
        <v>10</v>
      </c>
      <c r="AM2" s="16">
        <f t="shared" si="4"/>
        <v>11</v>
      </c>
      <c r="AN2" s="16">
        <f t="shared" si="4"/>
        <v>12</v>
      </c>
      <c r="AO2" s="16">
        <f t="shared" si="4"/>
        <v>1</v>
      </c>
      <c r="AP2" s="16">
        <f t="shared" si="4"/>
        <v>2</v>
      </c>
      <c r="AQ2" s="16">
        <f t="shared" si="4"/>
        <v>3</v>
      </c>
      <c r="AR2" s="16">
        <f t="shared" si="4"/>
        <v>4</v>
      </c>
      <c r="AS2" s="16">
        <f t="shared" si="4"/>
        <v>5</v>
      </c>
      <c r="AT2" s="16">
        <f t="shared" si="4"/>
        <v>6</v>
      </c>
      <c r="AU2" s="16">
        <f t="shared" si="4"/>
        <v>7</v>
      </c>
      <c r="AV2" s="16">
        <f t="shared" si="4"/>
        <v>8</v>
      </c>
      <c r="AW2" s="16">
        <f t="shared" si="4"/>
        <v>9</v>
      </c>
      <c r="AX2" s="16">
        <f t="shared" si="4"/>
        <v>10</v>
      </c>
      <c r="AY2" s="16">
        <f t="shared" si="4"/>
        <v>11</v>
      </c>
      <c r="AZ2" s="16">
        <f t="shared" si="4"/>
        <v>12</v>
      </c>
      <c r="BA2" s="16">
        <f t="shared" si="4"/>
        <v>1</v>
      </c>
      <c r="BB2" s="16">
        <f t="shared" si="4"/>
        <v>2</v>
      </c>
      <c r="BC2" s="16">
        <f t="shared" si="4"/>
        <v>3</v>
      </c>
      <c r="BD2" s="16">
        <f t="shared" si="4"/>
        <v>4</v>
      </c>
      <c r="BE2" s="16">
        <f t="shared" si="4"/>
        <v>5</v>
      </c>
      <c r="BF2" s="16">
        <f t="shared" si="4"/>
        <v>6</v>
      </c>
      <c r="BG2" s="16">
        <f t="shared" si="4"/>
        <v>7</v>
      </c>
      <c r="BH2" s="16">
        <f t="shared" si="4"/>
        <v>8</v>
      </c>
      <c r="BI2" s="16">
        <f t="shared" si="4"/>
        <v>9</v>
      </c>
      <c r="BJ2" s="16">
        <f t="shared" si="4"/>
        <v>10</v>
      </c>
      <c r="BK2" s="16">
        <f t="shared" si="4"/>
        <v>11</v>
      </c>
      <c r="BL2" s="16">
        <f t="shared" si="4"/>
        <v>12</v>
      </c>
      <c r="BM2" s="16">
        <f t="shared" si="4"/>
        <v>1</v>
      </c>
      <c r="BN2" s="16">
        <f t="shared" si="4"/>
        <v>2</v>
      </c>
      <c r="BO2" s="16">
        <f t="shared" si="4"/>
        <v>3</v>
      </c>
      <c r="BP2" s="16">
        <f t="shared" si="4"/>
        <v>4</v>
      </c>
      <c r="BQ2" s="16">
        <f t="shared" si="4"/>
        <v>5</v>
      </c>
      <c r="BR2" s="16"/>
      <c r="BS2" s="16">
        <f t="shared" ref="BS2:BY2" si="5">MONTH(BS9)</f>
        <v>6</v>
      </c>
      <c r="BT2" s="16">
        <f t="shared" si="5"/>
        <v>7</v>
      </c>
      <c r="BU2" s="16">
        <f t="shared" si="5"/>
        <v>8</v>
      </c>
      <c r="BV2" s="16">
        <f t="shared" si="5"/>
        <v>9</v>
      </c>
      <c r="BW2" s="16">
        <f t="shared" si="5"/>
        <v>10</v>
      </c>
      <c r="BX2" s="16">
        <f t="shared" si="5"/>
        <v>11</v>
      </c>
      <c r="BY2" s="16">
        <f t="shared" si="5"/>
        <v>12</v>
      </c>
      <c r="BZ2" s="14"/>
      <c r="CA2" s="16">
        <v>2024</v>
      </c>
      <c r="CB2" s="16">
        <v>2025</v>
      </c>
      <c r="CC2" s="16" t="s">
        <v>65</v>
      </c>
      <c r="CD2" s="15">
        <v>1</v>
      </c>
      <c r="CE2" s="15">
        <v>2</v>
      </c>
      <c r="CF2" s="15">
        <v>3</v>
      </c>
      <c r="CN2" s="72"/>
      <c r="CQ2" s="71"/>
      <c r="CR2" s="71"/>
      <c r="CU2" s="15">
        <v>1</v>
      </c>
      <c r="CV2" s="15">
        <v>2</v>
      </c>
      <c r="CW2" s="15">
        <v>3</v>
      </c>
      <c r="CX2" s="15">
        <v>3</v>
      </c>
    </row>
    <row r="3" spans="1:117" ht="14.5"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 t="s">
        <v>65</v>
      </c>
      <c r="U3" s="16" t="s">
        <v>65</v>
      </c>
      <c r="V3" s="16" t="s">
        <v>65</v>
      </c>
      <c r="W3" s="16" t="s">
        <v>65</v>
      </c>
      <c r="X3" s="16" t="s">
        <v>65</v>
      </c>
      <c r="Y3" s="16" t="s">
        <v>65</v>
      </c>
      <c r="Z3" s="16" t="s">
        <v>65</v>
      </c>
      <c r="AA3" s="16" t="s">
        <v>65</v>
      </c>
      <c r="AB3" s="16" t="s">
        <v>65</v>
      </c>
      <c r="AC3" s="16" t="s">
        <v>65</v>
      </c>
      <c r="AD3" s="16" t="s">
        <v>65</v>
      </c>
      <c r="AE3" s="16" t="s">
        <v>65</v>
      </c>
      <c r="AG3" s="14"/>
      <c r="AH3" s="15">
        <v>1</v>
      </c>
      <c r="AI3" s="15">
        <f t="shared" ref="AI3:AS3" si="6">AH3</f>
        <v>1</v>
      </c>
      <c r="AJ3" s="15">
        <f t="shared" si="6"/>
        <v>1</v>
      </c>
      <c r="AK3" s="15">
        <f t="shared" si="6"/>
        <v>1</v>
      </c>
      <c r="AL3" s="15">
        <f t="shared" si="6"/>
        <v>1</v>
      </c>
      <c r="AM3" s="15">
        <f t="shared" si="6"/>
        <v>1</v>
      </c>
      <c r="AN3" s="15">
        <f t="shared" si="6"/>
        <v>1</v>
      </c>
      <c r="AO3" s="15">
        <f t="shared" si="6"/>
        <v>1</v>
      </c>
      <c r="AP3" s="15">
        <f t="shared" si="6"/>
        <v>1</v>
      </c>
      <c r="AQ3" s="15">
        <f t="shared" si="6"/>
        <v>1</v>
      </c>
      <c r="AR3" s="15">
        <f t="shared" si="6"/>
        <v>1</v>
      </c>
      <c r="AS3" s="15">
        <f t="shared" si="6"/>
        <v>1</v>
      </c>
      <c r="AT3" s="15">
        <f t="shared" ref="AT3:BQ3" si="7">AH3+1</f>
        <v>2</v>
      </c>
      <c r="AU3" s="15">
        <f t="shared" si="7"/>
        <v>2</v>
      </c>
      <c r="AV3" s="15">
        <f t="shared" si="7"/>
        <v>2</v>
      </c>
      <c r="AW3" s="15">
        <f t="shared" si="7"/>
        <v>2</v>
      </c>
      <c r="AX3" s="15">
        <f t="shared" si="7"/>
        <v>2</v>
      </c>
      <c r="AY3" s="15">
        <f t="shared" si="7"/>
        <v>2</v>
      </c>
      <c r="AZ3" s="15">
        <f t="shared" si="7"/>
        <v>2</v>
      </c>
      <c r="BA3" s="15">
        <f t="shared" si="7"/>
        <v>2</v>
      </c>
      <c r="BB3" s="15">
        <f t="shared" si="7"/>
        <v>2</v>
      </c>
      <c r="BC3" s="15">
        <f t="shared" si="7"/>
        <v>2</v>
      </c>
      <c r="BD3" s="15">
        <f t="shared" si="7"/>
        <v>2</v>
      </c>
      <c r="BE3" s="15">
        <f t="shared" si="7"/>
        <v>2</v>
      </c>
      <c r="BF3" s="15">
        <f t="shared" si="7"/>
        <v>3</v>
      </c>
      <c r="BG3" s="15">
        <f t="shared" si="7"/>
        <v>3</v>
      </c>
      <c r="BH3" s="15">
        <f t="shared" si="7"/>
        <v>3</v>
      </c>
      <c r="BI3" s="15">
        <f t="shared" si="7"/>
        <v>3</v>
      </c>
      <c r="BJ3" s="15">
        <f t="shared" si="7"/>
        <v>3</v>
      </c>
      <c r="BK3" s="15">
        <f t="shared" si="7"/>
        <v>3</v>
      </c>
      <c r="BL3" s="15">
        <f t="shared" si="7"/>
        <v>3</v>
      </c>
      <c r="BM3" s="15">
        <f t="shared" si="7"/>
        <v>3</v>
      </c>
      <c r="BN3" s="15">
        <f t="shared" si="7"/>
        <v>3</v>
      </c>
      <c r="BO3" s="15">
        <f t="shared" si="7"/>
        <v>3</v>
      </c>
      <c r="BP3" s="15">
        <f t="shared" si="7"/>
        <v>3</v>
      </c>
      <c r="BQ3" s="15">
        <f t="shared" si="7"/>
        <v>3</v>
      </c>
      <c r="BR3" s="15"/>
      <c r="BS3" s="15">
        <f t="shared" ref="BS3:BY3" si="8">BF3+1</f>
        <v>4</v>
      </c>
      <c r="BT3" s="15">
        <f t="shared" si="8"/>
        <v>4</v>
      </c>
      <c r="BU3" s="15">
        <f t="shared" si="8"/>
        <v>4</v>
      </c>
      <c r="BV3" s="15">
        <f t="shared" si="8"/>
        <v>4</v>
      </c>
      <c r="BW3" s="15">
        <f t="shared" si="8"/>
        <v>4</v>
      </c>
      <c r="BX3" s="15">
        <f t="shared" si="8"/>
        <v>4</v>
      </c>
      <c r="BY3" s="15">
        <f t="shared" si="8"/>
        <v>4</v>
      </c>
      <c r="BZ3" s="14"/>
      <c r="CN3" s="72"/>
      <c r="CQ3" s="71"/>
      <c r="CR3" s="71"/>
    </row>
    <row r="4" spans="1:117" ht="4.5" customHeight="1">
      <c r="AG4" s="14"/>
      <c r="BZ4" s="14"/>
      <c r="CQ4" s="71"/>
      <c r="CR4" s="71"/>
    </row>
    <row r="5" spans="1:117" ht="14.5">
      <c r="C5" s="17" t="str">
        <f>Checks!$C$3</f>
        <v>Firefly Lane</v>
      </c>
      <c r="AG5" s="14"/>
      <c r="BZ5" s="14"/>
      <c r="CN5" s="3" t="str">
        <f t="array" ref="CN5">INDEX('FY25 By Venue Financials'!$1:$1,MATCH(CN1,'FY25 By Venue Financials'!$4:$4,0))</f>
        <v>J</v>
      </c>
      <c r="CQ5" s="71"/>
      <c r="CR5" s="71"/>
    </row>
    <row r="6" spans="1:117" ht="14.5">
      <c r="C6" s="3" t="s">
        <v>23</v>
      </c>
      <c r="CQ6" s="34"/>
      <c r="CR6" s="34"/>
    </row>
    <row r="7" spans="1:117" ht="14.5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484"/>
      <c r="CD7" s="485"/>
      <c r="CE7" s="485"/>
      <c r="CF7" s="485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73"/>
      <c r="CR7" s="73"/>
      <c r="CU7" s="18"/>
      <c r="CV7" s="18"/>
      <c r="CW7" s="18"/>
      <c r="CX7" s="18"/>
    </row>
    <row r="8" spans="1:117" ht="14.5">
      <c r="C8" s="19"/>
      <c r="D8" s="516" t="s">
        <v>81</v>
      </c>
      <c r="E8" s="514"/>
      <c r="F8" s="514"/>
      <c r="G8" s="514"/>
      <c r="H8" s="514"/>
      <c r="I8" s="514"/>
      <c r="J8" s="514"/>
      <c r="K8" s="514"/>
      <c r="L8" s="514"/>
      <c r="M8" s="514"/>
      <c r="N8" s="514"/>
      <c r="O8" s="515"/>
      <c r="P8" s="516" t="s">
        <v>81</v>
      </c>
      <c r="Q8" s="514"/>
      <c r="R8" s="514"/>
      <c r="S8" s="514"/>
      <c r="T8" s="514"/>
      <c r="U8" s="514"/>
      <c r="V8" s="514"/>
      <c r="W8" s="514"/>
      <c r="X8" s="514"/>
      <c r="Y8" s="514"/>
      <c r="Z8" s="514"/>
      <c r="AA8" s="514"/>
      <c r="AB8" s="514"/>
      <c r="AC8" s="514"/>
      <c r="AD8" s="514"/>
      <c r="AE8" s="514"/>
      <c r="AF8" s="515"/>
      <c r="AH8" s="490" t="s">
        <v>82</v>
      </c>
      <c r="AI8" s="490"/>
      <c r="AJ8" s="490"/>
      <c r="AK8" s="490"/>
      <c r="AL8" s="490"/>
      <c r="AM8" s="490"/>
      <c r="AN8" s="490"/>
      <c r="AO8" s="490"/>
      <c r="AP8" s="490"/>
      <c r="AQ8" s="490"/>
      <c r="AR8" s="490"/>
      <c r="AS8" s="490"/>
      <c r="AT8" s="490"/>
      <c r="AU8" s="490"/>
      <c r="AV8" s="490"/>
      <c r="AW8" s="490"/>
      <c r="AX8" s="490"/>
      <c r="AY8" s="490"/>
      <c r="AZ8" s="490"/>
      <c r="BA8" s="490"/>
      <c r="BB8" s="490"/>
      <c r="BC8" s="490"/>
      <c r="BD8" s="490"/>
      <c r="BE8" s="490"/>
      <c r="BF8" s="490"/>
      <c r="BG8" s="490"/>
      <c r="BH8" s="490"/>
      <c r="BI8" s="490"/>
      <c r="BJ8" s="490"/>
      <c r="BK8" s="490"/>
      <c r="BL8" s="490"/>
      <c r="BM8" s="490"/>
      <c r="BN8" s="490"/>
      <c r="BO8" s="490"/>
      <c r="BP8" s="490"/>
      <c r="BQ8" s="490"/>
      <c r="BR8" s="491"/>
      <c r="BS8" s="491"/>
      <c r="BT8" s="491"/>
      <c r="BU8" s="491"/>
      <c r="BV8" s="491"/>
      <c r="BW8" s="491"/>
      <c r="BX8" s="491"/>
      <c r="BY8" s="491"/>
      <c r="BZ8" s="3"/>
      <c r="CA8" s="516" t="s">
        <v>81</v>
      </c>
      <c r="CB8" s="514"/>
      <c r="CC8" s="515"/>
      <c r="CD8" s="516" t="s">
        <v>83</v>
      </c>
      <c r="CE8" s="514"/>
      <c r="CF8" s="515"/>
      <c r="CG8" s="3"/>
      <c r="CH8" s="513" t="s">
        <v>84</v>
      </c>
      <c r="CI8" s="514"/>
      <c r="CJ8" s="514"/>
      <c r="CK8" s="515"/>
      <c r="CL8" s="1" t="s">
        <v>85</v>
      </c>
      <c r="CM8" s="3"/>
      <c r="CN8" s="513" t="s">
        <v>86</v>
      </c>
      <c r="CO8" s="515"/>
      <c r="CP8" s="3"/>
      <c r="CQ8" s="74"/>
      <c r="CR8" s="74"/>
      <c r="CS8" s="3"/>
      <c r="CU8" s="516" t="s">
        <v>25</v>
      </c>
      <c r="CV8" s="514"/>
      <c r="CW8" s="514"/>
      <c r="CX8" s="515"/>
    </row>
    <row r="9" spans="1:117" ht="14.5">
      <c r="C9" s="19"/>
      <c r="D9" s="21">
        <v>45322</v>
      </c>
      <c r="E9" s="21">
        <f t="shared" ref="E9:AF9" si="9">EOMONTH(D9,1)</f>
        <v>45351</v>
      </c>
      <c r="F9" s="21">
        <f t="shared" si="9"/>
        <v>45382</v>
      </c>
      <c r="G9" s="21">
        <f t="shared" si="9"/>
        <v>45412</v>
      </c>
      <c r="H9" s="21">
        <f t="shared" si="9"/>
        <v>45443</v>
      </c>
      <c r="I9" s="21">
        <f t="shared" si="9"/>
        <v>45473</v>
      </c>
      <c r="J9" s="21">
        <f t="shared" si="9"/>
        <v>45504</v>
      </c>
      <c r="K9" s="21">
        <f t="shared" si="9"/>
        <v>45535</v>
      </c>
      <c r="L9" s="21">
        <f t="shared" si="9"/>
        <v>45565</v>
      </c>
      <c r="M9" s="21">
        <f t="shared" si="9"/>
        <v>45596</v>
      </c>
      <c r="N9" s="21">
        <f t="shared" si="9"/>
        <v>45626</v>
      </c>
      <c r="O9" s="21">
        <f t="shared" si="9"/>
        <v>45657</v>
      </c>
      <c r="P9" s="21">
        <f t="shared" si="9"/>
        <v>45688</v>
      </c>
      <c r="Q9" s="21">
        <f t="shared" si="9"/>
        <v>45716</v>
      </c>
      <c r="R9" s="21">
        <f t="shared" si="9"/>
        <v>45747</v>
      </c>
      <c r="S9" s="21">
        <f t="shared" si="9"/>
        <v>45777</v>
      </c>
      <c r="T9" s="21">
        <f t="shared" si="9"/>
        <v>45808</v>
      </c>
      <c r="U9" s="21">
        <f t="shared" si="9"/>
        <v>45838</v>
      </c>
      <c r="V9" s="21">
        <f t="shared" si="9"/>
        <v>45869</v>
      </c>
      <c r="W9" s="21">
        <f t="shared" si="9"/>
        <v>45900</v>
      </c>
      <c r="X9" s="21">
        <f t="shared" si="9"/>
        <v>45930</v>
      </c>
      <c r="Y9" s="21">
        <f t="shared" si="9"/>
        <v>45961</v>
      </c>
      <c r="Z9" s="21">
        <f t="shared" si="9"/>
        <v>45991</v>
      </c>
      <c r="AA9" s="21">
        <f t="shared" si="9"/>
        <v>46022</v>
      </c>
      <c r="AB9" s="21">
        <f t="shared" si="9"/>
        <v>46053</v>
      </c>
      <c r="AC9" s="21">
        <f t="shared" si="9"/>
        <v>46081</v>
      </c>
      <c r="AD9" s="21">
        <f t="shared" si="9"/>
        <v>46112</v>
      </c>
      <c r="AE9" s="21">
        <f t="shared" si="9"/>
        <v>46142</v>
      </c>
      <c r="AF9" s="21">
        <f t="shared" si="9"/>
        <v>46173</v>
      </c>
      <c r="AH9" s="75">
        <f>EOMONTH(AF9,1)</f>
        <v>46203</v>
      </c>
      <c r="AI9" s="75">
        <f t="shared" ref="AI9:BQ9" si="10">EOMONTH(AH9,1)</f>
        <v>46234</v>
      </c>
      <c r="AJ9" s="75">
        <f t="shared" si="10"/>
        <v>46265</v>
      </c>
      <c r="AK9" s="75">
        <f t="shared" si="10"/>
        <v>46295</v>
      </c>
      <c r="AL9" s="75">
        <f t="shared" si="10"/>
        <v>46326</v>
      </c>
      <c r="AM9" s="75">
        <f t="shared" si="10"/>
        <v>46356</v>
      </c>
      <c r="AN9" s="75">
        <f t="shared" si="10"/>
        <v>46387</v>
      </c>
      <c r="AO9" s="75">
        <f t="shared" si="10"/>
        <v>46418</v>
      </c>
      <c r="AP9" s="75">
        <f t="shared" si="10"/>
        <v>46446</v>
      </c>
      <c r="AQ9" s="75">
        <f t="shared" si="10"/>
        <v>46477</v>
      </c>
      <c r="AR9" s="75">
        <f t="shared" si="10"/>
        <v>46507</v>
      </c>
      <c r="AS9" s="75">
        <f t="shared" si="10"/>
        <v>46538</v>
      </c>
      <c r="AT9" s="75">
        <f t="shared" si="10"/>
        <v>46568</v>
      </c>
      <c r="AU9" s="75">
        <f t="shared" si="10"/>
        <v>46599</v>
      </c>
      <c r="AV9" s="75">
        <f t="shared" si="10"/>
        <v>46630</v>
      </c>
      <c r="AW9" s="75">
        <f t="shared" si="10"/>
        <v>46660</v>
      </c>
      <c r="AX9" s="75">
        <f t="shared" si="10"/>
        <v>46691</v>
      </c>
      <c r="AY9" s="75">
        <f t="shared" si="10"/>
        <v>46721</v>
      </c>
      <c r="AZ9" s="75">
        <f t="shared" si="10"/>
        <v>46752</v>
      </c>
      <c r="BA9" s="75">
        <f t="shared" si="10"/>
        <v>46783</v>
      </c>
      <c r="BB9" s="75">
        <f t="shared" si="10"/>
        <v>46812</v>
      </c>
      <c r="BC9" s="75">
        <f t="shared" si="10"/>
        <v>46843</v>
      </c>
      <c r="BD9" s="75">
        <f t="shared" si="10"/>
        <v>46873</v>
      </c>
      <c r="BE9" s="75">
        <f t="shared" si="10"/>
        <v>46904</v>
      </c>
      <c r="BF9" s="75">
        <f t="shared" si="10"/>
        <v>46934</v>
      </c>
      <c r="BG9" s="75">
        <f t="shared" si="10"/>
        <v>46965</v>
      </c>
      <c r="BH9" s="75">
        <f t="shared" si="10"/>
        <v>46996</v>
      </c>
      <c r="BI9" s="75">
        <f t="shared" si="10"/>
        <v>47026</v>
      </c>
      <c r="BJ9" s="75">
        <f t="shared" si="10"/>
        <v>47057</v>
      </c>
      <c r="BK9" s="75">
        <f t="shared" si="10"/>
        <v>47087</v>
      </c>
      <c r="BL9" s="75">
        <f t="shared" si="10"/>
        <v>47118</v>
      </c>
      <c r="BM9" s="75">
        <f t="shared" si="10"/>
        <v>47149</v>
      </c>
      <c r="BN9" s="75">
        <f t="shared" si="10"/>
        <v>47177</v>
      </c>
      <c r="BO9" s="75">
        <f t="shared" si="10"/>
        <v>47208</v>
      </c>
      <c r="BP9" s="75">
        <f t="shared" si="10"/>
        <v>47238</v>
      </c>
      <c r="BQ9" s="75">
        <f t="shared" si="10"/>
        <v>47269</v>
      </c>
      <c r="BR9" s="1"/>
      <c r="BS9" s="75">
        <f>EOMONTH(BQ9,1)</f>
        <v>47299</v>
      </c>
      <c r="BT9" s="75">
        <f t="shared" ref="BT9:BY9" si="11">EOMONTH(BS9,1)</f>
        <v>47330</v>
      </c>
      <c r="BU9" s="75">
        <f t="shared" si="11"/>
        <v>47361</v>
      </c>
      <c r="BV9" s="75">
        <f t="shared" si="11"/>
        <v>47391</v>
      </c>
      <c r="BW9" s="75">
        <f t="shared" si="11"/>
        <v>47422</v>
      </c>
      <c r="BX9" s="75">
        <f t="shared" si="11"/>
        <v>47452</v>
      </c>
      <c r="BY9" s="75">
        <f t="shared" si="11"/>
        <v>47483</v>
      </c>
      <c r="BZ9" s="3"/>
      <c r="CA9" s="19">
        <v>2024</v>
      </c>
      <c r="CB9" s="19">
        <v>2025</v>
      </c>
      <c r="CC9" s="19" t="str">
        <f>'Events Summary'!$C$12</f>
        <v>LTM Apr-26</v>
      </c>
      <c r="CD9" s="19" t="s">
        <v>20</v>
      </c>
      <c r="CE9" s="19" t="s">
        <v>21</v>
      </c>
      <c r="CF9" s="19" t="s">
        <v>22</v>
      </c>
      <c r="CG9" s="3"/>
      <c r="CH9" s="1" t="s">
        <v>20</v>
      </c>
      <c r="CI9" s="1" t="s">
        <v>21</v>
      </c>
      <c r="CJ9" s="1" t="s">
        <v>22</v>
      </c>
      <c r="CL9" s="1" t="s">
        <v>87</v>
      </c>
      <c r="CM9" s="3"/>
      <c r="CN9" s="1" t="s">
        <v>88</v>
      </c>
      <c r="CO9" s="1" t="s">
        <v>87</v>
      </c>
      <c r="CP9" s="3"/>
      <c r="CQ9" s="1" t="s">
        <v>89</v>
      </c>
      <c r="CR9" s="1" t="s">
        <v>90</v>
      </c>
      <c r="CS9" s="3"/>
      <c r="CU9" s="19">
        <v>2026</v>
      </c>
      <c r="CV9" s="19">
        <f t="shared" ref="CV9:CX9" si="12">CU9+1</f>
        <v>2027</v>
      </c>
      <c r="CW9" s="19">
        <f t="shared" si="12"/>
        <v>2028</v>
      </c>
      <c r="CX9" s="19">
        <f t="shared" si="12"/>
        <v>2029</v>
      </c>
    </row>
    <row r="10" spans="1:117" ht="4.5" customHeight="1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H10" s="23"/>
      <c r="CI10" s="23"/>
      <c r="CJ10" s="23"/>
      <c r="CL10" s="23"/>
      <c r="CN10" s="23"/>
      <c r="CO10" s="23"/>
      <c r="CQ10" s="23"/>
      <c r="CR10" s="23"/>
      <c r="CU10" s="23"/>
      <c r="CV10" s="23"/>
      <c r="CW10" s="23"/>
      <c r="CX10" s="23"/>
    </row>
    <row r="11" spans="1:117" ht="14.5">
      <c r="C11" s="76" t="s">
        <v>1</v>
      </c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7"/>
      <c r="AG11" s="79"/>
      <c r="AH11" s="80">
        <f t="shared" ref="AH11:BQ11" si="13">AH15/AH13</f>
        <v>118.89473684210526</v>
      </c>
      <c r="AI11" s="80">
        <f t="shared" si="13"/>
        <v>190.2315789473684</v>
      </c>
      <c r="AJ11" s="80">
        <f t="shared" si="13"/>
        <v>166.45263157894735</v>
      </c>
      <c r="AK11" s="80">
        <f t="shared" si="13"/>
        <v>126.82105263157894</v>
      </c>
      <c r="AL11" s="80">
        <f t="shared" si="13"/>
        <v>95.115789473684202</v>
      </c>
      <c r="AM11" s="80">
        <f t="shared" si="13"/>
        <v>126.82105263157894</v>
      </c>
      <c r="AN11" s="80">
        <f t="shared" si="13"/>
        <v>87.189473684210512</v>
      </c>
      <c r="AO11" s="80">
        <f t="shared" si="13"/>
        <v>166.45263157894735</v>
      </c>
      <c r="AP11" s="80">
        <f t="shared" si="13"/>
        <v>87.189473684210512</v>
      </c>
      <c r="AQ11" s="80">
        <f t="shared" si="13"/>
        <v>134.74736842105261</v>
      </c>
      <c r="AR11" s="80">
        <f t="shared" si="13"/>
        <v>103.04210526315788</v>
      </c>
      <c r="AS11" s="80">
        <f t="shared" si="13"/>
        <v>103.04210526315788</v>
      </c>
      <c r="AT11" s="80">
        <f t="shared" si="13"/>
        <v>158.10000000000002</v>
      </c>
      <c r="AU11" s="80">
        <f t="shared" si="13"/>
        <v>221.34000000000003</v>
      </c>
      <c r="AV11" s="80">
        <f t="shared" si="13"/>
        <v>189.72000000000003</v>
      </c>
      <c r="AW11" s="80">
        <f t="shared" si="13"/>
        <v>126.48</v>
      </c>
      <c r="AX11" s="80">
        <f t="shared" si="13"/>
        <v>94.860000000000014</v>
      </c>
      <c r="AY11" s="80">
        <f t="shared" si="13"/>
        <v>110.67000000000002</v>
      </c>
      <c r="AZ11" s="80">
        <f t="shared" si="13"/>
        <v>47.430000000000007</v>
      </c>
      <c r="BA11" s="80">
        <f t="shared" si="13"/>
        <v>173.91000000000003</v>
      </c>
      <c r="BB11" s="80">
        <f t="shared" si="13"/>
        <v>94.860000000000014</v>
      </c>
      <c r="BC11" s="80">
        <f t="shared" si="13"/>
        <v>142.29000000000002</v>
      </c>
      <c r="BD11" s="80">
        <f t="shared" si="13"/>
        <v>110.67000000000002</v>
      </c>
      <c r="BE11" s="80">
        <f t="shared" si="13"/>
        <v>110.67000000000002</v>
      </c>
      <c r="BF11" s="80">
        <f t="shared" si="13"/>
        <v>166</v>
      </c>
      <c r="BG11" s="80">
        <f t="shared" si="13"/>
        <v>237.14285714285714</v>
      </c>
      <c r="BH11" s="80">
        <f t="shared" si="13"/>
        <v>197.61904761904762</v>
      </c>
      <c r="BI11" s="80">
        <f t="shared" si="13"/>
        <v>134.38095238095238</v>
      </c>
      <c r="BJ11" s="80">
        <f t="shared" si="13"/>
        <v>94.857142857142861</v>
      </c>
      <c r="BK11" s="80">
        <f t="shared" si="13"/>
        <v>118.57142857142857</v>
      </c>
      <c r="BL11" s="80">
        <f t="shared" si="13"/>
        <v>47.428571428571431</v>
      </c>
      <c r="BM11" s="80">
        <f t="shared" si="13"/>
        <v>181.80952380952382</v>
      </c>
      <c r="BN11" s="80">
        <f t="shared" si="13"/>
        <v>94.857142857142861</v>
      </c>
      <c r="BO11" s="80">
        <f t="shared" si="13"/>
        <v>150.1904761904762</v>
      </c>
      <c r="BP11" s="80">
        <f t="shared" si="13"/>
        <v>118.57142857142857</v>
      </c>
      <c r="BQ11" s="81">
        <f t="shared" si="13"/>
        <v>118.57142857142857</v>
      </c>
      <c r="BR11" s="77"/>
      <c r="BS11" s="80">
        <f t="shared" ref="BS11:BY11" si="14">BF11</f>
        <v>166</v>
      </c>
      <c r="BT11" s="80">
        <f t="shared" si="14"/>
        <v>237.14285714285714</v>
      </c>
      <c r="BU11" s="80">
        <f t="shared" si="14"/>
        <v>197.61904761904762</v>
      </c>
      <c r="BV11" s="80">
        <f t="shared" si="14"/>
        <v>134.38095238095238</v>
      </c>
      <c r="BW11" s="80">
        <f t="shared" si="14"/>
        <v>94.857142857142861</v>
      </c>
      <c r="BX11" s="80">
        <f t="shared" si="14"/>
        <v>118.57142857142857</v>
      </c>
      <c r="BY11" s="80">
        <f t="shared" si="14"/>
        <v>47.428571428571431</v>
      </c>
      <c r="BZ11" s="79"/>
      <c r="CA11" s="77">
        <v>0</v>
      </c>
      <c r="CB11" s="77">
        <v>0</v>
      </c>
      <c r="CC11" s="77">
        <v>0</v>
      </c>
      <c r="CD11" s="507">
        <v>1506</v>
      </c>
      <c r="CE11" s="507">
        <f>ROUND(CD11*1.05,0)</f>
        <v>1581</v>
      </c>
      <c r="CF11" s="507">
        <f>ROUND(CE11*1.05,0)</f>
        <v>1660</v>
      </c>
      <c r="CH11" s="512"/>
      <c r="CI11" s="512"/>
      <c r="CJ11" s="512"/>
      <c r="CK11" s="83"/>
      <c r="CL11" s="82"/>
      <c r="CN11" s="82"/>
      <c r="CO11" s="82"/>
      <c r="CQ11" s="71"/>
      <c r="CR11" s="71" t="s">
        <v>2408</v>
      </c>
      <c r="CU11" s="80">
        <f t="shared" ref="CU11:CX11" si="15">SUMIFS($D11:$BZ11,$D$1:$BZ$1,CU$9)</f>
        <v>911.52631578947364</v>
      </c>
      <c r="CV11" s="80">
        <f t="shared" si="15"/>
        <v>1543.0736842105264</v>
      </c>
      <c r="CW11" s="80">
        <f t="shared" si="15"/>
        <v>1628.4</v>
      </c>
      <c r="CX11" s="80">
        <f t="shared" si="15"/>
        <v>1660</v>
      </c>
    </row>
    <row r="12" spans="1:117" ht="4.5" customHeight="1">
      <c r="C12" s="56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26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5"/>
      <c r="BR12" s="84"/>
      <c r="BS12" s="84"/>
      <c r="BT12" s="84"/>
      <c r="BU12" s="84"/>
      <c r="BV12" s="84"/>
      <c r="BW12" s="84"/>
      <c r="BX12" s="84"/>
      <c r="BY12" s="84"/>
      <c r="BZ12" s="26"/>
      <c r="CA12" s="86"/>
      <c r="CB12" s="86"/>
      <c r="CC12" s="86"/>
      <c r="CD12" s="86"/>
      <c r="CE12" s="86"/>
      <c r="CF12" s="86"/>
      <c r="CG12" s="7"/>
      <c r="CH12" s="45"/>
      <c r="CI12" s="45"/>
      <c r="CJ12" s="45"/>
      <c r="CK12" s="7"/>
      <c r="CL12" s="45"/>
      <c r="CM12" s="7"/>
      <c r="CN12" s="45"/>
      <c r="CO12" s="45"/>
      <c r="CQ12" s="71"/>
      <c r="CR12" s="71"/>
      <c r="CU12" s="86"/>
      <c r="CV12" s="86"/>
      <c r="CW12" s="86"/>
      <c r="CX12" s="86"/>
    </row>
    <row r="13" spans="1:117" ht="14.5">
      <c r="A13" s="42"/>
      <c r="B13" s="42"/>
      <c r="C13" s="56" t="s">
        <v>91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9"/>
      <c r="AH13" s="90">
        <f t="shared" ref="AH13:BQ13" si="16">SUMIFS($CD13:$CF13,$CD$2:$CF$2,AH$3)</f>
        <v>0.28220451527224438</v>
      </c>
      <c r="AI13" s="90">
        <f t="shared" si="16"/>
        <v>0.28220451527224438</v>
      </c>
      <c r="AJ13" s="90">
        <f t="shared" si="16"/>
        <v>0.28220451527224438</v>
      </c>
      <c r="AK13" s="90">
        <f t="shared" si="16"/>
        <v>0.28220451527224438</v>
      </c>
      <c r="AL13" s="90">
        <f t="shared" si="16"/>
        <v>0.28220451527224438</v>
      </c>
      <c r="AM13" s="90">
        <f t="shared" si="16"/>
        <v>0.28220451527224438</v>
      </c>
      <c r="AN13" s="90">
        <f t="shared" si="16"/>
        <v>0.28220451527224438</v>
      </c>
      <c r="AO13" s="90">
        <f t="shared" si="16"/>
        <v>0.28220451527224438</v>
      </c>
      <c r="AP13" s="90">
        <f t="shared" si="16"/>
        <v>0.28220451527224438</v>
      </c>
      <c r="AQ13" s="90">
        <f t="shared" si="16"/>
        <v>0.28220451527224438</v>
      </c>
      <c r="AR13" s="90">
        <f t="shared" si="16"/>
        <v>0.28220451527224438</v>
      </c>
      <c r="AS13" s="90">
        <f t="shared" si="16"/>
        <v>0.28220451527224438</v>
      </c>
      <c r="AT13" s="90">
        <f t="shared" si="16"/>
        <v>0.30044275774826057</v>
      </c>
      <c r="AU13" s="90">
        <f t="shared" si="16"/>
        <v>0.30044275774826057</v>
      </c>
      <c r="AV13" s="90">
        <f t="shared" si="16"/>
        <v>0.30044275774826057</v>
      </c>
      <c r="AW13" s="90">
        <f t="shared" si="16"/>
        <v>0.30044275774826057</v>
      </c>
      <c r="AX13" s="90">
        <f t="shared" si="16"/>
        <v>0.30044275774826057</v>
      </c>
      <c r="AY13" s="90">
        <f t="shared" si="16"/>
        <v>0.30044275774826057</v>
      </c>
      <c r="AZ13" s="90">
        <f t="shared" si="16"/>
        <v>0.30044275774826057</v>
      </c>
      <c r="BA13" s="90">
        <f t="shared" si="16"/>
        <v>0.30044275774826057</v>
      </c>
      <c r="BB13" s="90">
        <f t="shared" si="16"/>
        <v>0.30044275774826057</v>
      </c>
      <c r="BC13" s="90">
        <f t="shared" si="16"/>
        <v>0.30044275774826057</v>
      </c>
      <c r="BD13" s="90">
        <f t="shared" si="16"/>
        <v>0.30044275774826057</v>
      </c>
      <c r="BE13" s="90">
        <f t="shared" si="16"/>
        <v>0.30044275774826057</v>
      </c>
      <c r="BF13" s="90">
        <f t="shared" si="16"/>
        <v>0.31626506024096385</v>
      </c>
      <c r="BG13" s="90">
        <f t="shared" si="16"/>
        <v>0.31626506024096385</v>
      </c>
      <c r="BH13" s="90">
        <f t="shared" si="16"/>
        <v>0.31626506024096385</v>
      </c>
      <c r="BI13" s="90">
        <f t="shared" si="16"/>
        <v>0.31626506024096385</v>
      </c>
      <c r="BJ13" s="90">
        <f t="shared" si="16"/>
        <v>0.31626506024096385</v>
      </c>
      <c r="BK13" s="90">
        <f t="shared" si="16"/>
        <v>0.31626506024096385</v>
      </c>
      <c r="BL13" s="90">
        <f t="shared" si="16"/>
        <v>0.31626506024096385</v>
      </c>
      <c r="BM13" s="90">
        <f t="shared" si="16"/>
        <v>0.31626506024096385</v>
      </c>
      <c r="BN13" s="90">
        <f t="shared" si="16"/>
        <v>0.31626506024096385</v>
      </c>
      <c r="BO13" s="90">
        <f t="shared" si="16"/>
        <v>0.31626506024096385</v>
      </c>
      <c r="BP13" s="90">
        <f t="shared" si="16"/>
        <v>0.31626506024096385</v>
      </c>
      <c r="BQ13" s="91">
        <f t="shared" si="16"/>
        <v>0.31626506024096385</v>
      </c>
      <c r="BR13" s="90"/>
      <c r="BS13" s="90"/>
      <c r="BT13" s="90"/>
      <c r="BU13" s="90"/>
      <c r="BV13" s="90"/>
      <c r="BW13" s="90"/>
      <c r="BX13" s="90"/>
      <c r="BY13" s="90"/>
      <c r="BZ13" s="89"/>
      <c r="CA13" s="92">
        <v>0</v>
      </c>
      <c r="CB13" s="92">
        <v>0</v>
      </c>
      <c r="CC13" s="92">
        <v>0</v>
      </c>
      <c r="CD13" s="508">
        <f>CD15/CD11</f>
        <v>0.28220451527224438</v>
      </c>
      <c r="CE13" s="508">
        <f t="shared" ref="CE13:CF13" si="17">CE15/CE11</f>
        <v>0.30044275774826057</v>
      </c>
      <c r="CF13" s="508">
        <f t="shared" si="17"/>
        <v>0.31626506024096385</v>
      </c>
      <c r="CG13" s="83"/>
      <c r="CH13" s="82"/>
      <c r="CI13" s="82"/>
      <c r="CJ13" s="82"/>
      <c r="CK13" s="83"/>
      <c r="CL13" s="82"/>
      <c r="CM13" s="83"/>
      <c r="CN13" s="82"/>
      <c r="CO13" s="82"/>
      <c r="CP13" s="42"/>
      <c r="CQ13" s="71"/>
      <c r="CR13" s="71"/>
      <c r="CS13" s="42"/>
      <c r="CT13" s="42"/>
      <c r="CU13" s="93">
        <v>0.12</v>
      </c>
      <c r="CV13" s="93">
        <v>0.12</v>
      </c>
      <c r="CW13" s="93">
        <v>0.12</v>
      </c>
      <c r="CX13" s="93">
        <v>0.12</v>
      </c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</row>
    <row r="14" spans="1:117" ht="4.5" customHeight="1">
      <c r="C14" s="56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26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5"/>
      <c r="BR14" s="84"/>
      <c r="BS14" s="84"/>
      <c r="BT14" s="84"/>
      <c r="BU14" s="84"/>
      <c r="BV14" s="84"/>
      <c r="BW14" s="84"/>
      <c r="BX14" s="84"/>
      <c r="BY14" s="84"/>
      <c r="BZ14" s="26"/>
      <c r="CA14" s="86"/>
      <c r="CB14" s="86"/>
      <c r="CC14" s="86"/>
      <c r="CD14" s="86"/>
      <c r="CE14" s="86"/>
      <c r="CF14" s="86"/>
      <c r="CG14" s="7"/>
      <c r="CH14" s="45"/>
      <c r="CI14" s="45"/>
      <c r="CJ14" s="45"/>
      <c r="CK14" s="7"/>
      <c r="CL14" s="45"/>
      <c r="CM14" s="7"/>
      <c r="CN14" s="45"/>
      <c r="CO14" s="45"/>
      <c r="CQ14" s="71"/>
      <c r="CR14" s="71"/>
      <c r="CU14" s="86"/>
      <c r="CV14" s="86"/>
      <c r="CW14" s="86"/>
      <c r="CX14" s="86"/>
    </row>
    <row r="15" spans="1:117" ht="14.5">
      <c r="C15" s="76" t="s">
        <v>76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94">
        <f>SUMIFS('Leads &amp; Tours'!$D:$D,'Leads &amp; Tours'!$A:$A,P$9)</f>
        <v>29</v>
      </c>
      <c r="Q15" s="94">
        <f>SUMIFS('Leads &amp; Tours'!$D:$D,'Leads &amp; Tours'!$A:$A,Q$9)</f>
        <v>16</v>
      </c>
      <c r="R15" s="94">
        <f>SUMIFS('Leads &amp; Tours'!$D:$D,'Leads &amp; Tours'!$A:$A,R$9)</f>
        <v>17</v>
      </c>
      <c r="S15" s="94">
        <f>SUMIFS('Leads &amp; Tours'!$D:$D,'Leads &amp; Tours'!$A:$A,S$9)</f>
        <v>13</v>
      </c>
      <c r="T15" s="94">
        <f>SUMIFS('Leads &amp; Tours'!$D:$D,'Leads &amp; Tours'!$A:$A,T$9)</f>
        <v>19</v>
      </c>
      <c r="U15" s="94">
        <f>SUMIFS('Leads &amp; Tours'!$D:$D,'Leads &amp; Tours'!$A:$A,U$9)</f>
        <v>24</v>
      </c>
      <c r="V15" s="94">
        <f>SUMIFS('Leads &amp; Tours'!$D:$D,'Leads &amp; Tours'!$A:$A,V$9)</f>
        <v>34</v>
      </c>
      <c r="W15" s="94">
        <f>SUMIFS('Leads &amp; Tours'!$D:$D,'Leads &amp; Tours'!$A:$A,W$9)</f>
        <v>30</v>
      </c>
      <c r="X15" s="94">
        <f>SUMIFS('Leads &amp; Tours'!$D:$D,'Leads &amp; Tours'!$A:$A,X$9)</f>
        <v>24</v>
      </c>
      <c r="Y15" s="94">
        <f>SUMIFS('Leads &amp; Tours'!$D:$D,'Leads &amp; Tours'!$A:$A,Y$9)</f>
        <v>25</v>
      </c>
      <c r="Z15" s="94">
        <f>SUMIFS('Leads &amp; Tours'!$D:$D,'Leads &amp; Tours'!$A:$A,Z$9)</f>
        <v>26</v>
      </c>
      <c r="AA15" s="94">
        <f>SUMIFS('Leads &amp; Tours'!$D:$D,'Leads &amp; Tours'!$A:$A,AA$9)</f>
        <v>24</v>
      </c>
      <c r="AB15" s="94">
        <f>SUMIFS('Leads &amp; Tours'!$D:$D,'Leads &amp; Tours'!$A:$A,AB$9)</f>
        <v>26</v>
      </c>
      <c r="AC15" s="94">
        <f>SUMIFS('Leads &amp; Tours'!$D:$D,'Leads &amp; Tours'!$A:$A,AC$9)</f>
        <v>21</v>
      </c>
      <c r="AD15" s="94">
        <f>SUMIFS('Leads &amp; Tours'!$D:$D,'Leads &amp; Tours'!$A:$A,AD$9)</f>
        <v>30</v>
      </c>
      <c r="AE15" s="94">
        <f>SUMIFS('Leads &amp; Tours'!$D:$D,'Leads &amp; Tours'!$A:$A,AE$9)</f>
        <v>29</v>
      </c>
      <c r="AF15" s="94">
        <f>SUMIFS('Leads &amp; Tours'!$D:$D,'Leads &amp; Tours'!$A:$A,AF$9)</f>
        <v>16</v>
      </c>
      <c r="AG15" s="79"/>
      <c r="AH15" s="80">
        <f t="shared" ref="AH15:AN15" si="18">AH22/AH17</f>
        <v>33.55263157894737</v>
      </c>
      <c r="AI15" s="80">
        <f t="shared" si="18"/>
        <v>53.684210526315788</v>
      </c>
      <c r="AJ15" s="80">
        <f t="shared" si="18"/>
        <v>46.973684210526315</v>
      </c>
      <c r="AK15" s="80">
        <f t="shared" si="18"/>
        <v>35.789473684210527</v>
      </c>
      <c r="AL15" s="80">
        <f t="shared" si="18"/>
        <v>26.842105263157894</v>
      </c>
      <c r="AM15" s="80">
        <f t="shared" si="18"/>
        <v>35.789473684210527</v>
      </c>
      <c r="AN15" s="80">
        <f t="shared" si="18"/>
        <v>24.605263157894736</v>
      </c>
      <c r="AO15" s="80">
        <f t="shared" ref="AO15:BQ15" si="19">AO22/AO17</f>
        <v>46.973684210526315</v>
      </c>
      <c r="AP15" s="80">
        <f t="shared" si="19"/>
        <v>24.605263157894736</v>
      </c>
      <c r="AQ15" s="80">
        <f t="shared" si="19"/>
        <v>38.026315789473685</v>
      </c>
      <c r="AR15" s="80">
        <f t="shared" si="19"/>
        <v>29.078947368421051</v>
      </c>
      <c r="AS15" s="80">
        <f t="shared" si="19"/>
        <v>29.078947368421051</v>
      </c>
      <c r="AT15" s="80">
        <f t="shared" si="19"/>
        <v>47.5</v>
      </c>
      <c r="AU15" s="80">
        <f t="shared" si="19"/>
        <v>66.5</v>
      </c>
      <c r="AV15" s="80">
        <f t="shared" si="19"/>
        <v>57</v>
      </c>
      <c r="AW15" s="80">
        <f t="shared" si="19"/>
        <v>38</v>
      </c>
      <c r="AX15" s="80">
        <f t="shared" si="19"/>
        <v>28.5</v>
      </c>
      <c r="AY15" s="80">
        <f t="shared" si="19"/>
        <v>33.25</v>
      </c>
      <c r="AZ15" s="80">
        <f t="shared" si="19"/>
        <v>14.25</v>
      </c>
      <c r="BA15" s="80">
        <f t="shared" si="19"/>
        <v>52.25</v>
      </c>
      <c r="BB15" s="80">
        <f t="shared" si="19"/>
        <v>28.5</v>
      </c>
      <c r="BC15" s="80">
        <f t="shared" si="19"/>
        <v>42.75</v>
      </c>
      <c r="BD15" s="80">
        <f t="shared" si="19"/>
        <v>33.25</v>
      </c>
      <c r="BE15" s="80">
        <f t="shared" si="19"/>
        <v>33.25</v>
      </c>
      <c r="BF15" s="80">
        <f t="shared" si="19"/>
        <v>52.5</v>
      </c>
      <c r="BG15" s="80">
        <f t="shared" si="19"/>
        <v>75</v>
      </c>
      <c r="BH15" s="80">
        <f t="shared" si="19"/>
        <v>62.5</v>
      </c>
      <c r="BI15" s="80">
        <f t="shared" si="19"/>
        <v>42.5</v>
      </c>
      <c r="BJ15" s="80">
        <f t="shared" si="19"/>
        <v>30</v>
      </c>
      <c r="BK15" s="80">
        <f t="shared" si="19"/>
        <v>37.5</v>
      </c>
      <c r="BL15" s="80">
        <f t="shared" si="19"/>
        <v>15</v>
      </c>
      <c r="BM15" s="80">
        <f t="shared" si="19"/>
        <v>57.5</v>
      </c>
      <c r="BN15" s="80">
        <f t="shared" si="19"/>
        <v>30</v>
      </c>
      <c r="BO15" s="80">
        <f t="shared" si="19"/>
        <v>47.5</v>
      </c>
      <c r="BP15" s="80">
        <f t="shared" si="19"/>
        <v>37.5</v>
      </c>
      <c r="BQ15" s="80">
        <f t="shared" si="19"/>
        <v>37.5</v>
      </c>
      <c r="BR15" s="77"/>
      <c r="BS15" s="80">
        <f t="shared" ref="BS15:BY15" si="20">BF15</f>
        <v>52.5</v>
      </c>
      <c r="BT15" s="80">
        <f t="shared" si="20"/>
        <v>75</v>
      </c>
      <c r="BU15" s="80">
        <f t="shared" si="20"/>
        <v>62.5</v>
      </c>
      <c r="BV15" s="80">
        <f t="shared" si="20"/>
        <v>42.5</v>
      </c>
      <c r="BW15" s="80">
        <f t="shared" si="20"/>
        <v>30</v>
      </c>
      <c r="BX15" s="80">
        <f t="shared" si="20"/>
        <v>37.5</v>
      </c>
      <c r="BY15" s="80">
        <f t="shared" si="20"/>
        <v>15</v>
      </c>
      <c r="BZ15" s="79"/>
      <c r="CA15" s="80">
        <f t="shared" ref="CA15:CB15" si="21">SUMIFS($D15:$BZ15,$D$1:$BZ$1,CA$2)</f>
        <v>0</v>
      </c>
      <c r="CB15" s="80">
        <f t="shared" si="21"/>
        <v>281</v>
      </c>
      <c r="CC15" s="80">
        <f>SUMIFS($P15:$AF15,$P$3:$AF$3,$CC$2)</f>
        <v>312</v>
      </c>
      <c r="CD15" s="507">
        <v>425</v>
      </c>
      <c r="CE15" s="507">
        <v>475</v>
      </c>
      <c r="CF15" s="507">
        <v>525</v>
      </c>
      <c r="CH15" s="512"/>
      <c r="CI15" s="512"/>
      <c r="CJ15" s="512"/>
      <c r="CK15" s="83"/>
      <c r="CL15" s="82"/>
      <c r="CN15" s="82"/>
      <c r="CO15" s="82"/>
      <c r="CQ15" s="71"/>
      <c r="CR15" s="71"/>
      <c r="CU15" s="80">
        <f t="shared" ref="CU15:CX15" si="22">SUMIFS($D15:$BZ15,$D$1:$BZ$1,CU$9)</f>
        <v>379.23684210526318</v>
      </c>
      <c r="CV15" s="80">
        <f t="shared" si="22"/>
        <v>452.76315789473682</v>
      </c>
      <c r="CW15" s="80">
        <f t="shared" si="22"/>
        <v>505</v>
      </c>
      <c r="CX15" s="80">
        <f t="shared" si="22"/>
        <v>525</v>
      </c>
    </row>
    <row r="16" spans="1:117" ht="4.5" customHeight="1">
      <c r="C16" s="56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26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26"/>
      <c r="CA16" s="86"/>
      <c r="CB16" s="86"/>
      <c r="CC16" s="86"/>
      <c r="CD16" s="86"/>
      <c r="CE16" s="86"/>
      <c r="CF16" s="86"/>
      <c r="CG16" s="7"/>
      <c r="CH16" s="45"/>
      <c r="CI16" s="45"/>
      <c r="CJ16" s="45"/>
      <c r="CK16" s="7"/>
      <c r="CL16" s="45"/>
      <c r="CM16" s="7"/>
      <c r="CN16" s="45"/>
      <c r="CO16" s="45"/>
      <c r="CQ16" s="71"/>
      <c r="CR16" s="71"/>
      <c r="CU16" s="86"/>
      <c r="CV16" s="86"/>
      <c r="CW16" s="86"/>
      <c r="CX16" s="86"/>
    </row>
    <row r="17" spans="1:117" ht="14.5">
      <c r="A17" s="42"/>
      <c r="B17" s="42"/>
      <c r="C17" s="56" t="s">
        <v>92</v>
      </c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9"/>
      <c r="AH17" s="505">
        <f t="shared" ref="AH17:BQ17" si="23">SUMIFS($CD17:$CF17,$CD$2:$CF$2,AH$3)</f>
        <v>0.44705882352941179</v>
      </c>
      <c r="AI17" s="505">
        <f t="shared" si="23"/>
        <v>0.44705882352941179</v>
      </c>
      <c r="AJ17" s="505">
        <f t="shared" si="23"/>
        <v>0.44705882352941179</v>
      </c>
      <c r="AK17" s="505">
        <f t="shared" si="23"/>
        <v>0.44705882352941179</v>
      </c>
      <c r="AL17" s="505">
        <f t="shared" si="23"/>
        <v>0.44705882352941179</v>
      </c>
      <c r="AM17" s="505">
        <f t="shared" si="23"/>
        <v>0.44705882352941179</v>
      </c>
      <c r="AN17" s="505">
        <f t="shared" si="23"/>
        <v>0.44705882352941179</v>
      </c>
      <c r="AO17" s="505">
        <f t="shared" si="23"/>
        <v>0.44705882352941179</v>
      </c>
      <c r="AP17" s="505">
        <f t="shared" si="23"/>
        <v>0.44705882352941179</v>
      </c>
      <c r="AQ17" s="505">
        <f t="shared" si="23"/>
        <v>0.44705882352941179</v>
      </c>
      <c r="AR17" s="505">
        <f t="shared" si="23"/>
        <v>0.44705882352941179</v>
      </c>
      <c r="AS17" s="505">
        <f t="shared" si="23"/>
        <v>0.44705882352941179</v>
      </c>
      <c r="AT17" s="505">
        <f t="shared" si="23"/>
        <v>0.42105263157894735</v>
      </c>
      <c r="AU17" s="505">
        <f t="shared" si="23"/>
        <v>0.42105263157894735</v>
      </c>
      <c r="AV17" s="505">
        <f t="shared" si="23"/>
        <v>0.42105263157894735</v>
      </c>
      <c r="AW17" s="505">
        <f t="shared" si="23"/>
        <v>0.42105263157894735</v>
      </c>
      <c r="AX17" s="505">
        <f t="shared" si="23"/>
        <v>0.42105263157894735</v>
      </c>
      <c r="AY17" s="505">
        <f t="shared" si="23"/>
        <v>0.42105263157894735</v>
      </c>
      <c r="AZ17" s="505">
        <f t="shared" si="23"/>
        <v>0.42105263157894735</v>
      </c>
      <c r="BA17" s="505">
        <f t="shared" si="23"/>
        <v>0.42105263157894735</v>
      </c>
      <c r="BB17" s="505">
        <f t="shared" si="23"/>
        <v>0.42105263157894735</v>
      </c>
      <c r="BC17" s="505">
        <f t="shared" si="23"/>
        <v>0.42105263157894735</v>
      </c>
      <c r="BD17" s="505">
        <f t="shared" si="23"/>
        <v>0.42105263157894735</v>
      </c>
      <c r="BE17" s="505">
        <f t="shared" si="23"/>
        <v>0.42105263157894735</v>
      </c>
      <c r="BF17" s="505">
        <f t="shared" si="23"/>
        <v>0.4</v>
      </c>
      <c r="BG17" s="505">
        <f t="shared" si="23"/>
        <v>0.4</v>
      </c>
      <c r="BH17" s="505">
        <f t="shared" si="23"/>
        <v>0.4</v>
      </c>
      <c r="BI17" s="505">
        <f t="shared" si="23"/>
        <v>0.4</v>
      </c>
      <c r="BJ17" s="505">
        <f t="shared" si="23"/>
        <v>0.4</v>
      </c>
      <c r="BK17" s="505">
        <f t="shared" si="23"/>
        <v>0.4</v>
      </c>
      <c r="BL17" s="505">
        <f t="shared" si="23"/>
        <v>0.4</v>
      </c>
      <c r="BM17" s="505">
        <f t="shared" si="23"/>
        <v>0.4</v>
      </c>
      <c r="BN17" s="505">
        <f t="shared" si="23"/>
        <v>0.4</v>
      </c>
      <c r="BO17" s="505">
        <f t="shared" si="23"/>
        <v>0.4</v>
      </c>
      <c r="BP17" s="505">
        <f t="shared" si="23"/>
        <v>0.4</v>
      </c>
      <c r="BQ17" s="505">
        <f t="shared" si="23"/>
        <v>0.4</v>
      </c>
      <c r="BR17" s="90"/>
      <c r="BS17" s="90"/>
      <c r="BT17" s="90"/>
      <c r="BU17" s="90"/>
      <c r="BV17" s="90"/>
      <c r="BW17" s="90"/>
      <c r="BX17" s="90"/>
      <c r="BY17" s="90"/>
      <c r="BZ17" s="89"/>
      <c r="CA17" s="92">
        <v>0</v>
      </c>
      <c r="CB17" s="505">
        <f t="shared" ref="CB17:CC17" si="24">CB22/CB15</f>
        <v>0.54092526690391463</v>
      </c>
      <c r="CC17" s="505">
        <f t="shared" si="24"/>
        <v>0.47756410256410259</v>
      </c>
      <c r="CD17" s="508">
        <f>CD22/CD15</f>
        <v>0.44705882352941179</v>
      </c>
      <c r="CE17" s="508">
        <f t="shared" ref="CE17:CF17" si="25">CE22/CE15</f>
        <v>0.42105263157894735</v>
      </c>
      <c r="CF17" s="508">
        <f t="shared" si="25"/>
        <v>0.4</v>
      </c>
      <c r="CG17" s="83"/>
      <c r="CH17" s="82"/>
      <c r="CI17" s="82"/>
      <c r="CJ17" s="82"/>
      <c r="CK17" s="83"/>
      <c r="CL17" s="82"/>
      <c r="CM17" s="83"/>
      <c r="CN17" s="82"/>
      <c r="CO17" s="82"/>
      <c r="CP17" s="42"/>
      <c r="CQ17" s="71"/>
      <c r="CR17" s="71"/>
      <c r="CS17" s="42"/>
      <c r="CT17" s="42"/>
      <c r="CU17" s="95">
        <f t="shared" ref="CU17:CX17" si="26">AVERAGE(0.39,0.4)</f>
        <v>0.39500000000000002</v>
      </c>
      <c r="CV17" s="95">
        <f t="shared" si="26"/>
        <v>0.39500000000000002</v>
      </c>
      <c r="CW17" s="95">
        <f t="shared" si="26"/>
        <v>0.39500000000000002</v>
      </c>
      <c r="CX17" s="95">
        <f t="shared" si="26"/>
        <v>0.39500000000000002</v>
      </c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</row>
    <row r="18" spans="1:117" ht="4.5" customHeight="1">
      <c r="C18" s="56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26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5"/>
      <c r="BR18" s="84"/>
      <c r="BS18" s="84"/>
      <c r="BT18" s="84"/>
      <c r="BU18" s="84"/>
      <c r="BV18" s="84"/>
      <c r="BW18" s="84"/>
      <c r="BX18" s="84"/>
      <c r="BY18" s="84"/>
      <c r="BZ18" s="26"/>
      <c r="CA18" s="86"/>
      <c r="CB18" s="86"/>
      <c r="CC18" s="86"/>
      <c r="CD18" s="86"/>
      <c r="CE18" s="86"/>
      <c r="CF18" s="86"/>
      <c r="CG18" s="7"/>
      <c r="CH18" s="82"/>
      <c r="CI18" s="45"/>
      <c r="CJ18" s="45"/>
      <c r="CK18" s="7"/>
      <c r="CL18" s="45"/>
      <c r="CM18" s="7"/>
      <c r="CN18" s="45"/>
      <c r="CO18" s="45"/>
      <c r="CQ18" s="71"/>
      <c r="CR18" s="71"/>
      <c r="CU18" s="86"/>
      <c r="CV18" s="86"/>
      <c r="CW18" s="86"/>
      <c r="CX18" s="86"/>
    </row>
    <row r="19" spans="1:117" ht="14.5">
      <c r="C19" s="8" t="s">
        <v>93</v>
      </c>
      <c r="D19" s="84">
        <f>SUMIFS('Events Summary'!$L:$L,'Events Summary'!$C:$C,D$9)</f>
        <v>0</v>
      </c>
      <c r="E19" s="84">
        <f>SUMIFS('Events Summary'!$L:$L,'Events Summary'!$C:$C,E$9)</f>
        <v>0</v>
      </c>
      <c r="F19" s="84">
        <f>SUMIFS('Events Summary'!$L:$L,'Events Summary'!$C:$C,F$9)</f>
        <v>5</v>
      </c>
      <c r="G19" s="84">
        <f>SUMIFS('Events Summary'!$L:$L,'Events Summary'!$C:$C,G$9)</f>
        <v>20</v>
      </c>
      <c r="H19" s="84">
        <f>SUMIFS('Events Summary'!$L:$L,'Events Summary'!$C:$C,H$9)</f>
        <v>17</v>
      </c>
      <c r="I19" s="84">
        <f>SUMIFS('Events Summary'!$L:$L,'Events Summary'!$C:$C,I$9)</f>
        <v>16</v>
      </c>
      <c r="J19" s="84">
        <f>SUMIFS('Events Summary'!$L:$L,'Events Summary'!$C:$C,J$9)</f>
        <v>7</v>
      </c>
      <c r="K19" s="84">
        <f>SUMIFS('Events Summary'!$L:$L,'Events Summary'!$C:$C,K$9)</f>
        <v>16</v>
      </c>
      <c r="L19" s="84">
        <f>SUMIFS('Events Summary'!$L:$L,'Events Summary'!$C:$C,L$9)</f>
        <v>22</v>
      </c>
      <c r="M19" s="84">
        <f>SUMIFS('Events Summary'!$L:$L,'Events Summary'!$C:$C,M$9)</f>
        <v>22</v>
      </c>
      <c r="N19" s="84">
        <f>SUMIFS('Events Summary'!$L:$L,'Events Summary'!$C:$C,N$9)</f>
        <v>19</v>
      </c>
      <c r="O19" s="84">
        <f>SUMIFS('Events Summary'!$L:$L,'Events Summary'!$C:$C,O$9)</f>
        <v>9</v>
      </c>
      <c r="P19" s="84">
        <f>SUMIFS('Date Booked Summary'!$D:$D,'Date Booked Summary'!$C:$C,P$9)</f>
        <v>4</v>
      </c>
      <c r="Q19" s="84">
        <f>SUMIFS('Date Booked Summary'!$D:$D,'Date Booked Summary'!$C:$C,Q$9)</f>
        <v>1</v>
      </c>
      <c r="R19" s="84">
        <f>SUMIFS('Date Booked Summary'!$D:$D,'Date Booked Summary'!$C:$C,R$9)</f>
        <v>4</v>
      </c>
      <c r="S19" s="84">
        <f>SUMIFS('Date Booked Summary'!$D:$D,'Date Booked Summary'!$C:$C,S$9)</f>
        <v>5</v>
      </c>
      <c r="T19" s="84">
        <f>SUMIFS('Date Booked Summary'!$D:$D,'Date Booked Summary'!$C:$C,T$9)</f>
        <v>1</v>
      </c>
      <c r="U19" s="84">
        <f>SUMIFS('Date Booked Summary'!$D:$D,'Date Booked Summary'!$C:$C,U$9)</f>
        <v>1</v>
      </c>
      <c r="V19" s="84">
        <f>SUMIFS('Date Booked Summary'!$D:$D,'Date Booked Summary'!$C:$C,V$9)</f>
        <v>7</v>
      </c>
      <c r="W19" s="84">
        <f>SUMIFS('Date Booked Summary'!$D:$D,'Date Booked Summary'!$C:$C,W$9)</f>
        <v>4</v>
      </c>
      <c r="X19" s="84">
        <f>SUMIFS('Date Booked Summary'!$D:$D,'Date Booked Summary'!$C:$C,X$9)</f>
        <v>4</v>
      </c>
      <c r="Y19" s="84">
        <f>SUMIFS('Date Booked Summary'!$D:$D,'Date Booked Summary'!$C:$C,Y$9)</f>
        <v>2</v>
      </c>
      <c r="Z19" s="84">
        <f>SUMIFS('Date Booked Summary'!$D:$D,'Date Booked Summary'!$C:$C,Z$9)</f>
        <v>5</v>
      </c>
      <c r="AA19" s="84">
        <f>SUMIFS('Date Booked Summary'!$D:$D,'Date Booked Summary'!$C:$C,AA$9)</f>
        <v>2</v>
      </c>
      <c r="AB19" s="84">
        <f>SUMIFS('Date Booked Summary'!$D:$D,'Date Booked Summary'!$C:$C,AB$9)</f>
        <v>3</v>
      </c>
      <c r="AC19" s="84">
        <f>SUMIFS('Date Booked Summary'!$D:$D,'Date Booked Summary'!$C:$C,AC$9)</f>
        <v>4</v>
      </c>
      <c r="AD19" s="84">
        <f>SUMIFS('Date Booked Summary'!$D:$D,'Date Booked Summary'!$C:$C,AD$9)</f>
        <v>4</v>
      </c>
      <c r="AE19" s="84">
        <f>SUMIFS('Date Booked Summary'!$D:$D,'Date Booked Summary'!$C:$C,AE$9)</f>
        <v>3</v>
      </c>
      <c r="AF19" s="84">
        <f>SUMIFS('Date Booked Summary'!$D:$D,'Date Booked Summary'!$C:$C,AF$9)</f>
        <v>0</v>
      </c>
      <c r="AG19" s="380"/>
      <c r="AH19" s="511">
        <v>4</v>
      </c>
      <c r="AI19" s="511">
        <v>6</v>
      </c>
      <c r="AJ19" s="511">
        <v>5</v>
      </c>
      <c r="AK19" s="511">
        <v>5</v>
      </c>
      <c r="AL19" s="511">
        <v>3</v>
      </c>
      <c r="AM19" s="511">
        <v>4</v>
      </c>
      <c r="AN19" s="511">
        <v>2</v>
      </c>
      <c r="AO19" s="511">
        <v>6</v>
      </c>
      <c r="AP19" s="511">
        <v>3</v>
      </c>
      <c r="AQ19" s="511">
        <v>5</v>
      </c>
      <c r="AR19" s="511">
        <v>3</v>
      </c>
      <c r="AS19" s="511">
        <v>4</v>
      </c>
      <c r="AT19" s="25">
        <f t="shared" ref="AT19:BQ21" si="27">ROUND(SUMIFS($CD19:$CF19,$CD$2:$CF$2,AT$3)*AT$23,0)</f>
        <v>6</v>
      </c>
      <c r="AU19" s="25">
        <f t="shared" si="27"/>
        <v>8</v>
      </c>
      <c r="AV19" s="25">
        <f t="shared" si="27"/>
        <v>7</v>
      </c>
      <c r="AW19" s="25">
        <f t="shared" si="27"/>
        <v>5</v>
      </c>
      <c r="AX19" s="25">
        <f t="shared" si="27"/>
        <v>4</v>
      </c>
      <c r="AY19" s="25">
        <f t="shared" si="27"/>
        <v>4</v>
      </c>
      <c r="AZ19" s="25">
        <f t="shared" si="27"/>
        <v>2</v>
      </c>
      <c r="BA19" s="25">
        <f t="shared" si="27"/>
        <v>7</v>
      </c>
      <c r="BB19" s="25">
        <f t="shared" si="27"/>
        <v>4</v>
      </c>
      <c r="BC19" s="25">
        <f t="shared" si="27"/>
        <v>5</v>
      </c>
      <c r="BD19" s="25">
        <f t="shared" si="27"/>
        <v>4</v>
      </c>
      <c r="BE19" s="25">
        <f t="shared" si="27"/>
        <v>4</v>
      </c>
      <c r="BF19" s="25">
        <f t="shared" si="27"/>
        <v>7</v>
      </c>
      <c r="BG19" s="25">
        <f t="shared" si="27"/>
        <v>10</v>
      </c>
      <c r="BH19" s="25">
        <f t="shared" si="27"/>
        <v>8</v>
      </c>
      <c r="BI19" s="25">
        <f t="shared" si="27"/>
        <v>6</v>
      </c>
      <c r="BJ19" s="25">
        <f t="shared" si="27"/>
        <v>4</v>
      </c>
      <c r="BK19" s="25">
        <f t="shared" si="27"/>
        <v>5</v>
      </c>
      <c r="BL19" s="117">
        <v>2</v>
      </c>
      <c r="BM19" s="25">
        <f t="shared" si="27"/>
        <v>8</v>
      </c>
      <c r="BN19" s="25">
        <f t="shared" si="27"/>
        <v>4</v>
      </c>
      <c r="BO19" s="25">
        <f t="shared" si="27"/>
        <v>6</v>
      </c>
      <c r="BP19" s="25">
        <f t="shared" si="27"/>
        <v>5</v>
      </c>
      <c r="BQ19" s="25">
        <f t="shared" si="27"/>
        <v>5</v>
      </c>
      <c r="BR19" s="84"/>
      <c r="BS19" s="25">
        <f t="shared" ref="BS19:BY19" si="28">BF19</f>
        <v>7</v>
      </c>
      <c r="BT19" s="25">
        <f t="shared" si="28"/>
        <v>10</v>
      </c>
      <c r="BU19" s="25">
        <f t="shared" si="28"/>
        <v>8</v>
      </c>
      <c r="BV19" s="25">
        <f t="shared" si="28"/>
        <v>6</v>
      </c>
      <c r="BW19" s="25">
        <f t="shared" si="28"/>
        <v>4</v>
      </c>
      <c r="BX19" s="25">
        <f t="shared" si="28"/>
        <v>5</v>
      </c>
      <c r="BY19" s="25">
        <f t="shared" si="28"/>
        <v>2</v>
      </c>
      <c r="BZ19" s="26"/>
      <c r="CA19" s="25">
        <v>0</v>
      </c>
      <c r="CB19" s="25">
        <f>SUMIFS($D19:$BZ19,$D$1:$BZ$1,CB$2)</f>
        <v>40</v>
      </c>
      <c r="CC19" s="25">
        <f t="shared" ref="CC19:CC22" si="29">SUMIFS($P19:$AF19,$P$3:$AF$3,$CC$2)</f>
        <v>40</v>
      </c>
      <c r="CD19" s="25">
        <f t="shared" ref="CD19:CD21" si="30">SUMIFS($D19:$BZ19,$D$3:$BZ$3,CD$2)</f>
        <v>50</v>
      </c>
      <c r="CE19" s="97">
        <v>60</v>
      </c>
      <c r="CF19" s="97">
        <v>70</v>
      </c>
      <c r="CH19" s="512"/>
      <c r="CI19" s="512"/>
      <c r="CJ19" s="512"/>
      <c r="CL19" s="98"/>
      <c r="CN19" s="98"/>
      <c r="CO19" s="98"/>
      <c r="CQ19" s="71"/>
      <c r="CR19" s="71"/>
      <c r="CU19" s="25">
        <f t="shared" ref="CU19:CX19" si="31">SUMIFS($D19:$BZ19,$D$1:$BZ$1,CU$9)</f>
        <v>43</v>
      </c>
      <c r="CV19" s="25">
        <f t="shared" si="31"/>
        <v>57</v>
      </c>
      <c r="CW19" s="25">
        <f t="shared" si="31"/>
        <v>66</v>
      </c>
      <c r="CX19" s="25">
        <f t="shared" si="31"/>
        <v>70</v>
      </c>
    </row>
    <row r="20" spans="1:117" ht="14.5">
      <c r="C20" s="8" t="s">
        <v>94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84">
        <f>SUMIFS('Date Booked Summary'!$E:$E,'Date Booked Summary'!$C:$C,P$9)</f>
        <v>6</v>
      </c>
      <c r="Q20" s="84">
        <f>SUMIFS('Date Booked Summary'!$E:$E,'Date Booked Summary'!$C:$C,Q$9)</f>
        <v>6</v>
      </c>
      <c r="R20" s="84">
        <f>SUMIFS('Date Booked Summary'!$E:$E,'Date Booked Summary'!$C:$C,R$9)</f>
        <v>4</v>
      </c>
      <c r="S20" s="84">
        <f>SUMIFS('Date Booked Summary'!$E:$E,'Date Booked Summary'!$C:$C,S$9)</f>
        <v>3</v>
      </c>
      <c r="T20" s="84">
        <f>SUMIFS('Date Booked Summary'!$E:$E,'Date Booked Summary'!$C:$C,T$9)</f>
        <v>3</v>
      </c>
      <c r="U20" s="84">
        <f>SUMIFS('Date Booked Summary'!$E:$E,'Date Booked Summary'!$C:$C,U$9)</f>
        <v>8</v>
      </c>
      <c r="V20" s="84">
        <f>SUMIFS('Date Booked Summary'!$E:$E,'Date Booked Summary'!$C:$C,V$9)</f>
        <v>11</v>
      </c>
      <c r="W20" s="84">
        <f>SUMIFS('Date Booked Summary'!$E:$E,'Date Booked Summary'!$C:$C,W$9)</f>
        <v>13</v>
      </c>
      <c r="X20" s="84">
        <f>SUMIFS('Date Booked Summary'!$E:$E,'Date Booked Summary'!$C:$C,X$9)</f>
        <v>6</v>
      </c>
      <c r="Y20" s="84">
        <f>SUMIFS('Date Booked Summary'!$E:$E,'Date Booked Summary'!$C:$C,Y$9)</f>
        <v>3</v>
      </c>
      <c r="Z20" s="84">
        <f>SUMIFS('Date Booked Summary'!$E:$E,'Date Booked Summary'!$C:$C,Z$9)</f>
        <v>7</v>
      </c>
      <c r="AA20" s="84">
        <f>SUMIFS('Date Booked Summary'!$E:$E,'Date Booked Summary'!$C:$C,AA$9)</f>
        <v>5</v>
      </c>
      <c r="AB20" s="84">
        <f>SUMIFS('Date Booked Summary'!$E:$E,'Date Booked Summary'!$C:$C,AB$9)</f>
        <v>7</v>
      </c>
      <c r="AC20" s="84">
        <f>SUMIFS('Date Booked Summary'!$E:$E,'Date Booked Summary'!$C:$C,AC$9)</f>
        <v>7</v>
      </c>
      <c r="AD20" s="84">
        <f>SUMIFS('Date Booked Summary'!$E:$E,'Date Booked Summary'!$C:$C,AD$9)</f>
        <v>6</v>
      </c>
      <c r="AE20" s="84">
        <f>SUMIFS('Date Booked Summary'!$E:$E,'Date Booked Summary'!$C:$C,AE$9)</f>
        <v>5</v>
      </c>
      <c r="AF20" s="84">
        <f>SUMIFS('Date Booked Summary'!$E:$E,'Date Booked Summary'!$C:$C,AF$9)</f>
        <v>0</v>
      </c>
      <c r="AG20" s="26"/>
      <c r="AH20" s="511">
        <v>8</v>
      </c>
      <c r="AI20" s="511">
        <v>13</v>
      </c>
      <c r="AJ20" s="511">
        <v>11</v>
      </c>
      <c r="AK20" s="511">
        <v>8</v>
      </c>
      <c r="AL20" s="511">
        <v>6</v>
      </c>
      <c r="AM20" s="511">
        <v>9</v>
      </c>
      <c r="AN20" s="511">
        <v>6</v>
      </c>
      <c r="AO20" s="511">
        <v>11</v>
      </c>
      <c r="AP20" s="511">
        <v>6</v>
      </c>
      <c r="AQ20" s="511">
        <v>9</v>
      </c>
      <c r="AR20" s="511">
        <v>7</v>
      </c>
      <c r="AS20" s="511">
        <v>6</v>
      </c>
      <c r="AT20" s="25">
        <f t="shared" si="27"/>
        <v>10</v>
      </c>
      <c r="AU20" s="25">
        <f t="shared" si="27"/>
        <v>14</v>
      </c>
      <c r="AV20" s="25">
        <f t="shared" si="27"/>
        <v>12</v>
      </c>
      <c r="AW20" s="25">
        <f t="shared" si="27"/>
        <v>8</v>
      </c>
      <c r="AX20" s="25">
        <f t="shared" si="27"/>
        <v>6</v>
      </c>
      <c r="AY20" s="25">
        <f t="shared" si="27"/>
        <v>7</v>
      </c>
      <c r="AZ20" s="117">
        <v>3</v>
      </c>
      <c r="BA20" s="25">
        <f t="shared" si="27"/>
        <v>11</v>
      </c>
      <c r="BB20" s="25">
        <f t="shared" si="27"/>
        <v>6</v>
      </c>
      <c r="BC20" s="25">
        <f t="shared" si="27"/>
        <v>9</v>
      </c>
      <c r="BD20" s="25">
        <f t="shared" si="27"/>
        <v>7</v>
      </c>
      <c r="BE20" s="25">
        <f t="shared" si="27"/>
        <v>7</v>
      </c>
      <c r="BF20" s="25">
        <f t="shared" si="27"/>
        <v>10</v>
      </c>
      <c r="BG20" s="25">
        <f t="shared" si="27"/>
        <v>14</v>
      </c>
      <c r="BH20" s="25">
        <f t="shared" si="27"/>
        <v>12</v>
      </c>
      <c r="BI20" s="25">
        <f t="shared" si="27"/>
        <v>8</v>
      </c>
      <c r="BJ20" s="25">
        <f t="shared" si="27"/>
        <v>6</v>
      </c>
      <c r="BK20" s="25">
        <f t="shared" si="27"/>
        <v>7</v>
      </c>
      <c r="BL20" s="117">
        <v>3</v>
      </c>
      <c r="BM20" s="25">
        <f t="shared" si="27"/>
        <v>11</v>
      </c>
      <c r="BN20" s="25">
        <f t="shared" si="27"/>
        <v>6</v>
      </c>
      <c r="BO20" s="25">
        <f t="shared" si="27"/>
        <v>9</v>
      </c>
      <c r="BP20" s="25">
        <f t="shared" si="27"/>
        <v>7</v>
      </c>
      <c r="BQ20" s="25">
        <f t="shared" si="27"/>
        <v>7</v>
      </c>
      <c r="BR20" s="25"/>
      <c r="BS20" s="25">
        <f t="shared" ref="BS20:BY20" si="32">BF20</f>
        <v>10</v>
      </c>
      <c r="BT20" s="25">
        <f t="shared" si="32"/>
        <v>14</v>
      </c>
      <c r="BU20" s="25">
        <f t="shared" si="32"/>
        <v>12</v>
      </c>
      <c r="BV20" s="25">
        <f t="shared" si="32"/>
        <v>8</v>
      </c>
      <c r="BW20" s="25">
        <f t="shared" si="32"/>
        <v>6</v>
      </c>
      <c r="BX20" s="25">
        <f t="shared" si="32"/>
        <v>7</v>
      </c>
      <c r="BY20" s="25">
        <f t="shared" si="32"/>
        <v>3</v>
      </c>
      <c r="BZ20" s="26"/>
      <c r="CA20" s="25">
        <f t="shared" ref="CA20:CB20" si="33">SUMIFS($D20:$BZ20,$D$1:$BZ$1,CA$2)</f>
        <v>0</v>
      </c>
      <c r="CB20" s="25">
        <f t="shared" si="33"/>
        <v>75</v>
      </c>
      <c r="CC20" s="25">
        <f t="shared" si="29"/>
        <v>81</v>
      </c>
      <c r="CD20" s="25">
        <f t="shared" si="30"/>
        <v>100</v>
      </c>
      <c r="CE20" s="97">
        <v>100</v>
      </c>
      <c r="CF20" s="97">
        <v>100</v>
      </c>
      <c r="CH20" s="512"/>
      <c r="CI20" s="512"/>
      <c r="CJ20" s="512"/>
      <c r="CL20" s="98"/>
      <c r="CN20" s="98"/>
      <c r="CO20" s="98"/>
      <c r="CQ20" s="71"/>
      <c r="CR20" s="71"/>
      <c r="CU20" s="25">
        <f t="shared" ref="CU20:CX20" si="34">SUMIFS($D20:$BZ20,$D$1:$BZ$1,CU$9)</f>
        <v>86</v>
      </c>
      <c r="CV20" s="25">
        <f t="shared" si="34"/>
        <v>99</v>
      </c>
      <c r="CW20" s="25">
        <f t="shared" si="34"/>
        <v>100</v>
      </c>
      <c r="CX20" s="25">
        <f t="shared" si="34"/>
        <v>100</v>
      </c>
    </row>
    <row r="21" spans="1:117" ht="15.75" customHeight="1">
      <c r="C21" s="8" t="s">
        <v>95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84">
        <f>SUMIFS('Date Booked Summary'!$H:$H,'Date Booked Summary'!$C:$C,P$9)</f>
        <v>9</v>
      </c>
      <c r="Q21" s="84">
        <f>SUMIFS('Date Booked Summary'!$H:$H,'Date Booked Summary'!$C:$C,Q$9)</f>
        <v>5</v>
      </c>
      <c r="R21" s="84">
        <f>SUMIFS('Date Booked Summary'!$H:$H,'Date Booked Summary'!$C:$C,R$9)</f>
        <v>2</v>
      </c>
      <c r="S21" s="84">
        <f>SUMIFS('Date Booked Summary'!$H:$H,'Date Booked Summary'!$C:$C,S$9)</f>
        <v>2</v>
      </c>
      <c r="T21" s="84">
        <f>SUMIFS('Date Booked Summary'!$H:$H,'Date Booked Summary'!$C:$C,T$9)</f>
        <v>0</v>
      </c>
      <c r="U21" s="84">
        <f>SUMIFS('Date Booked Summary'!$H:$H,'Date Booked Summary'!$C:$C,U$9)</f>
        <v>4</v>
      </c>
      <c r="V21" s="84">
        <f>SUMIFS('Date Booked Summary'!$H:$H,'Date Booked Summary'!$C:$C,V$9)</f>
        <v>4</v>
      </c>
      <c r="W21" s="84">
        <f>SUMIFS('Date Booked Summary'!$H:$H,'Date Booked Summary'!$C:$C,W$9)</f>
        <v>1</v>
      </c>
      <c r="X21" s="84">
        <f>SUMIFS('Date Booked Summary'!$H:$H,'Date Booked Summary'!$C:$C,X$9)</f>
        <v>1</v>
      </c>
      <c r="Y21" s="84">
        <f>SUMIFS('Date Booked Summary'!$H:$H,'Date Booked Summary'!$C:$C,Y$9)</f>
        <v>1</v>
      </c>
      <c r="Z21" s="84">
        <f>SUMIFS('Date Booked Summary'!$H:$H,'Date Booked Summary'!$C:$C,Z$9)</f>
        <v>4</v>
      </c>
      <c r="AA21" s="84">
        <f>SUMIFS('Date Booked Summary'!$H:$H,'Date Booked Summary'!$C:$C,AA$9)</f>
        <v>4</v>
      </c>
      <c r="AB21" s="84">
        <f>SUMIFS('Date Booked Summary'!$H:$H,'Date Booked Summary'!$C:$C,AB$9)</f>
        <v>4</v>
      </c>
      <c r="AC21" s="84">
        <f>SUMIFS('Date Booked Summary'!$H:$H,'Date Booked Summary'!$C:$C,AC$9)</f>
        <v>0</v>
      </c>
      <c r="AD21" s="84">
        <f>SUMIFS('Date Booked Summary'!$H:$H,'Date Booked Summary'!$C:$C,AD$9)</f>
        <v>4</v>
      </c>
      <c r="AE21" s="84">
        <f>SUMIFS('Date Booked Summary'!$H:$H,'Date Booked Summary'!$C:$C,AE$9)</f>
        <v>1</v>
      </c>
      <c r="AF21" s="84">
        <f>SUMIFS('Date Booked Summary'!$H:$H,'Date Booked Summary'!$C:$C,AF$9)</f>
        <v>0</v>
      </c>
      <c r="AG21" s="26"/>
      <c r="AH21" s="511">
        <v>3</v>
      </c>
      <c r="AI21" s="511">
        <v>5</v>
      </c>
      <c r="AJ21" s="511">
        <v>5</v>
      </c>
      <c r="AK21" s="511">
        <v>3</v>
      </c>
      <c r="AL21" s="511">
        <v>3</v>
      </c>
      <c r="AM21" s="511">
        <v>3</v>
      </c>
      <c r="AN21" s="511">
        <v>3</v>
      </c>
      <c r="AO21" s="511">
        <v>4</v>
      </c>
      <c r="AP21" s="511">
        <v>2</v>
      </c>
      <c r="AQ21" s="511">
        <v>3</v>
      </c>
      <c r="AR21" s="511">
        <v>3</v>
      </c>
      <c r="AS21" s="511">
        <v>3</v>
      </c>
      <c r="AT21" s="25">
        <f t="shared" si="27"/>
        <v>4</v>
      </c>
      <c r="AU21" s="25">
        <f t="shared" si="27"/>
        <v>6</v>
      </c>
      <c r="AV21" s="25">
        <f t="shared" si="27"/>
        <v>5</v>
      </c>
      <c r="AW21" s="25">
        <f t="shared" si="27"/>
        <v>3</v>
      </c>
      <c r="AX21" s="25">
        <f t="shared" si="27"/>
        <v>2</v>
      </c>
      <c r="AY21" s="25">
        <f t="shared" si="27"/>
        <v>3</v>
      </c>
      <c r="AZ21" s="117">
        <v>1</v>
      </c>
      <c r="BA21" s="25">
        <f t="shared" si="27"/>
        <v>4</v>
      </c>
      <c r="BB21" s="25">
        <f t="shared" si="27"/>
        <v>2</v>
      </c>
      <c r="BC21" s="25">
        <f t="shared" si="27"/>
        <v>4</v>
      </c>
      <c r="BD21" s="25">
        <f t="shared" si="27"/>
        <v>3</v>
      </c>
      <c r="BE21" s="25">
        <f t="shared" si="27"/>
        <v>3</v>
      </c>
      <c r="BF21" s="25">
        <f t="shared" si="27"/>
        <v>4</v>
      </c>
      <c r="BG21" s="25">
        <f t="shared" si="27"/>
        <v>6</v>
      </c>
      <c r="BH21" s="25">
        <f t="shared" si="27"/>
        <v>5</v>
      </c>
      <c r="BI21" s="25">
        <f t="shared" si="27"/>
        <v>3</v>
      </c>
      <c r="BJ21" s="25">
        <f t="shared" si="27"/>
        <v>2</v>
      </c>
      <c r="BK21" s="25">
        <f t="shared" si="27"/>
        <v>3</v>
      </c>
      <c r="BL21" s="117">
        <v>1</v>
      </c>
      <c r="BM21" s="25">
        <f t="shared" si="27"/>
        <v>4</v>
      </c>
      <c r="BN21" s="25">
        <f t="shared" si="27"/>
        <v>2</v>
      </c>
      <c r="BO21" s="25">
        <f t="shared" si="27"/>
        <v>4</v>
      </c>
      <c r="BP21" s="25">
        <f t="shared" si="27"/>
        <v>3</v>
      </c>
      <c r="BQ21" s="25">
        <f t="shared" si="27"/>
        <v>3</v>
      </c>
      <c r="BR21" s="25"/>
      <c r="BS21" s="25">
        <f t="shared" ref="BS21:BY21" si="35">BF21</f>
        <v>4</v>
      </c>
      <c r="BT21" s="25">
        <f t="shared" si="35"/>
        <v>6</v>
      </c>
      <c r="BU21" s="25">
        <f t="shared" si="35"/>
        <v>5</v>
      </c>
      <c r="BV21" s="25">
        <f t="shared" si="35"/>
        <v>3</v>
      </c>
      <c r="BW21" s="25">
        <f t="shared" si="35"/>
        <v>2</v>
      </c>
      <c r="BX21" s="25">
        <f t="shared" si="35"/>
        <v>3</v>
      </c>
      <c r="BY21" s="25">
        <f t="shared" si="35"/>
        <v>1</v>
      </c>
      <c r="CA21" s="25">
        <f t="shared" ref="CA21:CB21" si="36">SUMIFS($D21:$BZ21,$D$1:$BZ$1,CA$2)</f>
        <v>0</v>
      </c>
      <c r="CB21" s="25">
        <f t="shared" si="36"/>
        <v>37</v>
      </c>
      <c r="CC21" s="25">
        <f t="shared" si="29"/>
        <v>28</v>
      </c>
      <c r="CD21" s="25">
        <f t="shared" si="30"/>
        <v>40</v>
      </c>
      <c r="CE21" s="97">
        <v>40</v>
      </c>
      <c r="CF21" s="97">
        <v>40</v>
      </c>
      <c r="CH21" s="512"/>
      <c r="CI21" s="512"/>
      <c r="CJ21" s="512"/>
      <c r="CL21" s="98"/>
      <c r="CN21" s="98"/>
      <c r="CO21" s="98"/>
      <c r="CQ21" s="71"/>
      <c r="CR21" s="71"/>
      <c r="CU21" s="25">
        <f t="shared" ref="CU21:CX21" si="37">SUMIFS($D21:$BZ21,$D$1:$BZ$1,CU$9)</f>
        <v>34</v>
      </c>
      <c r="CV21" s="25">
        <f t="shared" si="37"/>
        <v>39</v>
      </c>
      <c r="CW21" s="25">
        <f t="shared" si="37"/>
        <v>40</v>
      </c>
      <c r="CX21" s="25">
        <f t="shared" si="37"/>
        <v>40</v>
      </c>
    </row>
    <row r="22" spans="1:117" ht="15.75" customHeight="1">
      <c r="C22" s="100" t="s">
        <v>29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0</v>
      </c>
      <c r="L22" s="101">
        <v>0</v>
      </c>
      <c r="M22" s="101">
        <v>0</v>
      </c>
      <c r="N22" s="101">
        <v>0</v>
      </c>
      <c r="O22" s="101">
        <v>0</v>
      </c>
      <c r="P22" s="101">
        <f t="shared" ref="P22:AF22" si="38">SUM(P19:P21)</f>
        <v>19</v>
      </c>
      <c r="Q22" s="101">
        <f t="shared" si="38"/>
        <v>12</v>
      </c>
      <c r="R22" s="101">
        <f t="shared" si="38"/>
        <v>10</v>
      </c>
      <c r="S22" s="101">
        <f t="shared" si="38"/>
        <v>10</v>
      </c>
      <c r="T22" s="101">
        <f t="shared" si="38"/>
        <v>4</v>
      </c>
      <c r="U22" s="101">
        <f t="shared" si="38"/>
        <v>13</v>
      </c>
      <c r="V22" s="101">
        <f t="shared" si="38"/>
        <v>22</v>
      </c>
      <c r="W22" s="101">
        <f t="shared" si="38"/>
        <v>18</v>
      </c>
      <c r="X22" s="101">
        <f t="shared" si="38"/>
        <v>11</v>
      </c>
      <c r="Y22" s="101">
        <f t="shared" si="38"/>
        <v>6</v>
      </c>
      <c r="Z22" s="101">
        <f t="shared" si="38"/>
        <v>16</v>
      </c>
      <c r="AA22" s="101">
        <f t="shared" si="38"/>
        <v>11</v>
      </c>
      <c r="AB22" s="101">
        <f t="shared" si="38"/>
        <v>14</v>
      </c>
      <c r="AC22" s="101">
        <f t="shared" si="38"/>
        <v>11</v>
      </c>
      <c r="AD22" s="101">
        <f t="shared" si="38"/>
        <v>14</v>
      </c>
      <c r="AE22" s="101">
        <f t="shared" si="38"/>
        <v>9</v>
      </c>
      <c r="AF22" s="101">
        <f t="shared" si="38"/>
        <v>0</v>
      </c>
      <c r="AG22" s="79"/>
      <c r="AH22" s="104">
        <f t="shared" ref="AH22:BQ22" si="39">SUM(AH19:AH21)</f>
        <v>15</v>
      </c>
      <c r="AI22" s="104">
        <f t="shared" si="39"/>
        <v>24</v>
      </c>
      <c r="AJ22" s="104">
        <f t="shared" si="39"/>
        <v>21</v>
      </c>
      <c r="AK22" s="104">
        <f t="shared" si="39"/>
        <v>16</v>
      </c>
      <c r="AL22" s="104">
        <f t="shared" si="39"/>
        <v>12</v>
      </c>
      <c r="AM22" s="104">
        <f t="shared" si="39"/>
        <v>16</v>
      </c>
      <c r="AN22" s="104">
        <f t="shared" si="39"/>
        <v>11</v>
      </c>
      <c r="AO22" s="104">
        <f t="shared" si="39"/>
        <v>21</v>
      </c>
      <c r="AP22" s="104">
        <f t="shared" si="39"/>
        <v>11</v>
      </c>
      <c r="AQ22" s="104">
        <f t="shared" si="39"/>
        <v>17</v>
      </c>
      <c r="AR22" s="104">
        <f t="shared" si="39"/>
        <v>13</v>
      </c>
      <c r="AS22" s="104">
        <f t="shared" si="39"/>
        <v>13</v>
      </c>
      <c r="AT22" s="102">
        <f t="shared" si="39"/>
        <v>20</v>
      </c>
      <c r="AU22" s="102">
        <f t="shared" si="39"/>
        <v>28</v>
      </c>
      <c r="AV22" s="102">
        <f t="shared" si="39"/>
        <v>24</v>
      </c>
      <c r="AW22" s="102">
        <f t="shared" si="39"/>
        <v>16</v>
      </c>
      <c r="AX22" s="102">
        <f t="shared" si="39"/>
        <v>12</v>
      </c>
      <c r="AY22" s="102">
        <f t="shared" si="39"/>
        <v>14</v>
      </c>
      <c r="AZ22" s="102">
        <f t="shared" si="39"/>
        <v>6</v>
      </c>
      <c r="BA22" s="102">
        <f t="shared" si="39"/>
        <v>22</v>
      </c>
      <c r="BB22" s="102">
        <f t="shared" si="39"/>
        <v>12</v>
      </c>
      <c r="BC22" s="102">
        <f t="shared" si="39"/>
        <v>18</v>
      </c>
      <c r="BD22" s="102">
        <f t="shared" si="39"/>
        <v>14</v>
      </c>
      <c r="BE22" s="102">
        <f t="shared" si="39"/>
        <v>14</v>
      </c>
      <c r="BF22" s="102">
        <f t="shared" si="39"/>
        <v>21</v>
      </c>
      <c r="BG22" s="102">
        <f t="shared" si="39"/>
        <v>30</v>
      </c>
      <c r="BH22" s="102">
        <f t="shared" si="39"/>
        <v>25</v>
      </c>
      <c r="BI22" s="102">
        <f t="shared" si="39"/>
        <v>17</v>
      </c>
      <c r="BJ22" s="102">
        <f t="shared" si="39"/>
        <v>12</v>
      </c>
      <c r="BK22" s="102">
        <f t="shared" si="39"/>
        <v>15</v>
      </c>
      <c r="BL22" s="102">
        <f t="shared" si="39"/>
        <v>6</v>
      </c>
      <c r="BM22" s="102">
        <f t="shared" si="39"/>
        <v>23</v>
      </c>
      <c r="BN22" s="102">
        <f t="shared" si="39"/>
        <v>12</v>
      </c>
      <c r="BO22" s="102">
        <f t="shared" si="39"/>
        <v>19</v>
      </c>
      <c r="BP22" s="102">
        <f t="shared" si="39"/>
        <v>15</v>
      </c>
      <c r="BQ22" s="103">
        <f t="shared" si="39"/>
        <v>15</v>
      </c>
      <c r="BR22" s="101"/>
      <c r="BS22" s="102">
        <f t="shared" ref="BS22:BY22" si="40">SUM(BS19:BS21)</f>
        <v>21</v>
      </c>
      <c r="BT22" s="102">
        <f t="shared" si="40"/>
        <v>30</v>
      </c>
      <c r="BU22" s="102">
        <f t="shared" si="40"/>
        <v>25</v>
      </c>
      <c r="BV22" s="102">
        <f t="shared" si="40"/>
        <v>17</v>
      </c>
      <c r="BW22" s="102">
        <f t="shared" si="40"/>
        <v>12</v>
      </c>
      <c r="BX22" s="102">
        <f t="shared" si="40"/>
        <v>15</v>
      </c>
      <c r="BY22" s="102">
        <f t="shared" si="40"/>
        <v>6</v>
      </c>
      <c r="CA22" s="102">
        <f t="shared" ref="CA22:CB22" si="41">SUMIFS($D22:$BZ22,$D$1:$BZ$1,CA$2)</f>
        <v>0</v>
      </c>
      <c r="CB22" s="102">
        <f t="shared" si="41"/>
        <v>152</v>
      </c>
      <c r="CC22" s="102">
        <f t="shared" si="29"/>
        <v>149</v>
      </c>
      <c r="CD22" s="102">
        <f t="shared" ref="CD22:CF22" si="42">SUM(CD19:CD21)</f>
        <v>190</v>
      </c>
      <c r="CE22" s="104">
        <f t="shared" si="42"/>
        <v>200</v>
      </c>
      <c r="CF22" s="104">
        <f t="shared" si="42"/>
        <v>210</v>
      </c>
      <c r="CH22" s="82"/>
      <c r="CI22" s="98"/>
      <c r="CJ22" s="98"/>
      <c r="CL22" s="98"/>
      <c r="CN22" s="98"/>
      <c r="CO22" s="98"/>
      <c r="CQ22" s="71"/>
      <c r="CR22" s="71" t="s">
        <v>96</v>
      </c>
      <c r="CU22" s="80">
        <f t="shared" ref="CU22:CX22" si="43">SUMIFS($D22:$BZ22,$D$1:$BZ$1,CU$9)</f>
        <v>163</v>
      </c>
      <c r="CV22" s="80">
        <f t="shared" si="43"/>
        <v>195</v>
      </c>
      <c r="CW22" s="80">
        <f t="shared" si="43"/>
        <v>206</v>
      </c>
      <c r="CX22" s="80">
        <f t="shared" si="43"/>
        <v>210</v>
      </c>
    </row>
    <row r="23" spans="1:117" ht="15.75" customHeight="1">
      <c r="C23" s="105" t="s">
        <v>97</v>
      </c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26"/>
      <c r="AH23" s="90">
        <f t="array" ref="AH23">INDEX('Date Booked Summary'!$T$19:$T$30,MATCH(AH2,'Date Booked Summary'!$S$19:$S$30,0))</f>
        <v>0.1</v>
      </c>
      <c r="AI23" s="90">
        <f t="array" ref="AI23">INDEX('Date Booked Summary'!$T$19:$T$30,MATCH(AI2,'Date Booked Summary'!$S$19:$S$30,0))</f>
        <v>0.14000000000000001</v>
      </c>
      <c r="AJ23" s="90">
        <f t="array" ref="AJ23">INDEX('Date Booked Summary'!$T$19:$T$30,MATCH(AJ2,'Date Booked Summary'!$S$19:$S$30,0))</f>
        <v>0.12</v>
      </c>
      <c r="AK23" s="90">
        <f t="array" ref="AK23">INDEX('Date Booked Summary'!$T$19:$T$30,MATCH(AK2,'Date Booked Summary'!$S$19:$S$30,0))</f>
        <v>0.08</v>
      </c>
      <c r="AL23" s="90">
        <f t="array" ref="AL23">INDEX('Date Booked Summary'!$T$19:$T$30,MATCH(AL2,'Date Booked Summary'!$S$19:$S$30,0))</f>
        <v>0.06</v>
      </c>
      <c r="AM23" s="90">
        <f t="array" ref="AM23">INDEX('Date Booked Summary'!$T$19:$T$30,MATCH(AM2,'Date Booked Summary'!$S$19:$S$30,0))</f>
        <v>7.0000000000000007E-2</v>
      </c>
      <c r="AN23" s="90">
        <f t="array" ref="AN23">INDEX('Date Booked Summary'!$T$19:$T$30,MATCH(AN2,'Date Booked Summary'!$S$19:$S$30,0))</f>
        <v>0.04</v>
      </c>
      <c r="AO23" s="90">
        <f t="array" ref="AO23">INDEX('Date Booked Summary'!$T$19:$T$30,MATCH(AO2,'Date Booked Summary'!$S$19:$S$30,0))</f>
        <v>0.11</v>
      </c>
      <c r="AP23" s="90">
        <f t="array" ref="AP23">INDEX('Date Booked Summary'!$T$19:$T$30,MATCH(AP2,'Date Booked Summary'!$S$19:$S$30,0))</f>
        <v>0.06</v>
      </c>
      <c r="AQ23" s="90">
        <f t="array" ref="AQ23">INDEX('Date Booked Summary'!$T$19:$T$30,MATCH(AQ2,'Date Booked Summary'!$S$19:$S$30,0))</f>
        <v>0.09</v>
      </c>
      <c r="AR23" s="90">
        <f t="array" ref="AR23">INDEX('Date Booked Summary'!$T$19:$T$30,MATCH(AR2,'Date Booked Summary'!$S$19:$S$30,0))</f>
        <v>7.0000000000000007E-2</v>
      </c>
      <c r="AS23" s="90">
        <f t="array" ref="AS23">INDEX('Date Booked Summary'!$T$19:$T$30,MATCH(AS2,'Date Booked Summary'!$S$19:$S$30,0))</f>
        <v>7.0000000000000007E-2</v>
      </c>
      <c r="AT23" s="90">
        <f t="array" ref="AT23">INDEX('Date Booked Summary'!$T$19:$T$30,MATCH(AT2,'Date Booked Summary'!$S$19:$S$30,0))</f>
        <v>0.1</v>
      </c>
      <c r="AU23" s="90">
        <f t="array" ref="AU23">INDEX('Date Booked Summary'!$T$19:$T$30,MATCH(AU2,'Date Booked Summary'!$S$19:$S$30,0))</f>
        <v>0.14000000000000001</v>
      </c>
      <c r="AV23" s="90">
        <f t="array" ref="AV23">INDEX('Date Booked Summary'!$T$19:$T$30,MATCH(AV2,'Date Booked Summary'!$S$19:$S$30,0))</f>
        <v>0.12</v>
      </c>
      <c r="AW23" s="90">
        <f t="array" ref="AW23">INDEX('Date Booked Summary'!$T$19:$T$30,MATCH(AW2,'Date Booked Summary'!$S$19:$S$30,0))</f>
        <v>0.08</v>
      </c>
      <c r="AX23" s="90">
        <f t="array" ref="AX23">INDEX('Date Booked Summary'!$T$19:$T$30,MATCH(AX2,'Date Booked Summary'!$S$19:$S$30,0))</f>
        <v>0.06</v>
      </c>
      <c r="AY23" s="90">
        <f t="array" ref="AY23">INDEX('Date Booked Summary'!$T$19:$T$30,MATCH(AY2,'Date Booked Summary'!$S$19:$S$30,0))</f>
        <v>7.0000000000000007E-2</v>
      </c>
      <c r="AZ23" s="90">
        <f t="array" ref="AZ23">INDEX('Date Booked Summary'!$T$19:$T$30,MATCH(AZ2,'Date Booked Summary'!$S$19:$S$30,0))</f>
        <v>0.04</v>
      </c>
      <c r="BA23" s="90">
        <f t="array" ref="BA23">INDEX('Date Booked Summary'!$T$19:$T$30,MATCH(BA2,'Date Booked Summary'!$S$19:$S$30,0))</f>
        <v>0.11</v>
      </c>
      <c r="BB23" s="90">
        <f t="array" ref="BB23">INDEX('Date Booked Summary'!$T$19:$T$30,MATCH(BB2,'Date Booked Summary'!$S$19:$S$30,0))</f>
        <v>0.06</v>
      </c>
      <c r="BC23" s="90">
        <f t="array" ref="BC23">INDEX('Date Booked Summary'!$T$19:$T$30,MATCH(BC2,'Date Booked Summary'!$S$19:$S$30,0))</f>
        <v>0.09</v>
      </c>
      <c r="BD23" s="90">
        <f t="array" ref="BD23">INDEX('Date Booked Summary'!$T$19:$T$30,MATCH(BD2,'Date Booked Summary'!$S$19:$S$30,0))</f>
        <v>7.0000000000000007E-2</v>
      </c>
      <c r="BE23" s="90">
        <f t="array" ref="BE23">INDEX('Date Booked Summary'!$T$19:$T$30,MATCH(BE2,'Date Booked Summary'!$S$19:$S$30,0))</f>
        <v>7.0000000000000007E-2</v>
      </c>
      <c r="BF23" s="90">
        <f t="array" ref="BF23">INDEX('Date Booked Summary'!$T$19:$T$30,MATCH(BF2,'Date Booked Summary'!$S$19:$S$30,0))</f>
        <v>0.1</v>
      </c>
      <c r="BG23" s="90">
        <f t="array" ref="BG23">INDEX('Date Booked Summary'!$T$19:$T$30,MATCH(BG2,'Date Booked Summary'!$S$19:$S$30,0))</f>
        <v>0.14000000000000001</v>
      </c>
      <c r="BH23" s="90">
        <f t="array" ref="BH23">INDEX('Date Booked Summary'!$T$19:$T$30,MATCH(BH2,'Date Booked Summary'!$S$19:$S$30,0))</f>
        <v>0.12</v>
      </c>
      <c r="BI23" s="90">
        <f t="array" ref="BI23">INDEX('Date Booked Summary'!$T$19:$T$30,MATCH(BI2,'Date Booked Summary'!$S$19:$S$30,0))</f>
        <v>0.08</v>
      </c>
      <c r="BJ23" s="90">
        <f t="array" ref="BJ23">INDEX('Date Booked Summary'!$T$19:$T$30,MATCH(BJ2,'Date Booked Summary'!$S$19:$S$30,0))</f>
        <v>0.06</v>
      </c>
      <c r="BK23" s="90">
        <f t="array" ref="BK23">INDEX('Date Booked Summary'!$T$19:$T$30,MATCH(BK2,'Date Booked Summary'!$S$19:$S$30,0))</f>
        <v>7.0000000000000007E-2</v>
      </c>
      <c r="BL23" s="90">
        <f t="array" ref="BL23">INDEX('Date Booked Summary'!$T$19:$T$30,MATCH(BL2,'Date Booked Summary'!$S$19:$S$30,0))</f>
        <v>0.04</v>
      </c>
      <c r="BM23" s="90">
        <f t="array" ref="BM23">INDEX('Date Booked Summary'!$T$19:$T$30,MATCH(BM2,'Date Booked Summary'!$S$19:$S$30,0))</f>
        <v>0.11</v>
      </c>
      <c r="BN23" s="90">
        <f t="array" ref="BN23">INDEX('Date Booked Summary'!$T$19:$T$30,MATCH(BN2,'Date Booked Summary'!$S$19:$S$30,0))</f>
        <v>0.06</v>
      </c>
      <c r="BO23" s="90">
        <f t="array" ref="BO23">INDEX('Date Booked Summary'!$T$19:$T$30,MATCH(BO2,'Date Booked Summary'!$S$19:$S$30,0))</f>
        <v>0.09</v>
      </c>
      <c r="BP23" s="90">
        <f t="array" ref="BP23">INDEX('Date Booked Summary'!$T$19:$T$30,MATCH(BP2,'Date Booked Summary'!$S$19:$S$30,0))</f>
        <v>7.0000000000000007E-2</v>
      </c>
      <c r="BQ23" s="91">
        <f t="array" ref="BQ23">INDEX('Date Booked Summary'!$T$19:$T$30,MATCH(BQ2,'Date Booked Summary'!$S$19:$S$30,0))</f>
        <v>7.0000000000000007E-2</v>
      </c>
      <c r="BR23" s="90"/>
      <c r="BS23" s="90">
        <f t="array" ref="BS23">INDEX('Date Booked Summary'!$T$19:$T$30,MATCH(BS2,'Date Booked Summary'!$S$19:$S$30,0))</f>
        <v>0.1</v>
      </c>
      <c r="BT23" s="90">
        <f t="array" ref="BT23">INDEX('Date Booked Summary'!$T$19:$T$30,MATCH(BT2,'Date Booked Summary'!$S$19:$S$30,0))</f>
        <v>0.14000000000000001</v>
      </c>
      <c r="BU23" s="90">
        <f t="array" ref="BU23">INDEX('Date Booked Summary'!$T$19:$T$30,MATCH(BU2,'Date Booked Summary'!$S$19:$S$30,0))</f>
        <v>0.12</v>
      </c>
      <c r="BV23" s="90">
        <f t="array" ref="BV23">INDEX('Date Booked Summary'!$T$19:$T$30,MATCH(BV2,'Date Booked Summary'!$S$19:$S$30,0))</f>
        <v>0.08</v>
      </c>
      <c r="BW23" s="90">
        <f t="array" ref="BW23">INDEX('Date Booked Summary'!$T$19:$T$30,MATCH(BW2,'Date Booked Summary'!$S$19:$S$30,0))</f>
        <v>0.06</v>
      </c>
      <c r="BX23" s="90">
        <f t="array" ref="BX23">INDEX('Date Booked Summary'!$T$19:$T$30,MATCH(BX2,'Date Booked Summary'!$S$19:$S$30,0))</f>
        <v>7.0000000000000007E-2</v>
      </c>
      <c r="BY23" s="90">
        <f t="array" ref="BY23">INDEX('Date Booked Summary'!$T$19:$T$30,MATCH(BY2,'Date Booked Summary'!$S$19:$S$30,0))</f>
        <v>0.04</v>
      </c>
      <c r="CA23" s="84"/>
      <c r="CB23" s="84"/>
      <c r="CC23" s="84"/>
      <c r="CD23" s="508">
        <f t="shared" ref="CD23:CF23" si="44">CD22/CD11</f>
        <v>0.12616201859229748</v>
      </c>
      <c r="CE23" s="508">
        <f t="shared" si="44"/>
        <v>0.1265022137887413</v>
      </c>
      <c r="CF23" s="508">
        <f t="shared" si="44"/>
        <v>0.12650602409638553</v>
      </c>
      <c r="CH23" s="98"/>
      <c r="CI23" s="98"/>
      <c r="CJ23" s="98"/>
      <c r="CL23" s="98"/>
      <c r="CN23" s="98"/>
      <c r="CO23" s="98"/>
      <c r="CQ23" s="71"/>
      <c r="CR23" s="71"/>
      <c r="CU23" s="84"/>
      <c r="CV23" s="84"/>
      <c r="CW23" s="84"/>
      <c r="CX23" s="84"/>
    </row>
    <row r="24" spans="1:117" ht="15.75" customHeight="1">
      <c r="C24" s="56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26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5"/>
      <c r="BR24" s="84"/>
      <c r="BS24" s="84"/>
      <c r="BT24" s="84"/>
      <c r="BU24" s="84"/>
      <c r="BV24" s="84"/>
      <c r="BW24" s="84"/>
      <c r="BX24" s="84"/>
      <c r="BY24" s="84"/>
      <c r="CA24" s="86"/>
      <c r="CB24" s="86"/>
      <c r="CC24" s="86"/>
      <c r="CD24" s="86"/>
      <c r="CE24" s="86"/>
      <c r="CF24" s="86"/>
      <c r="CH24" s="98"/>
      <c r="CI24" s="98"/>
      <c r="CJ24" s="98"/>
      <c r="CL24" s="98"/>
      <c r="CN24" s="98"/>
      <c r="CO24" s="98"/>
      <c r="CQ24" s="71"/>
      <c r="CR24" s="71"/>
      <c r="CU24" s="86"/>
      <c r="CV24" s="86"/>
      <c r="CW24" s="86"/>
      <c r="CX24" s="86"/>
    </row>
    <row r="25" spans="1:117" ht="15.75" customHeight="1">
      <c r="C25" s="8" t="s">
        <v>98</v>
      </c>
      <c r="D25" s="84">
        <f t="array" ref="D25">IFERROR(INDEX('Events Summary'!$D:$D,MATCH(D$9,'Events Summary'!$C:$C,0)),0)</f>
        <v>0</v>
      </c>
      <c r="E25" s="84">
        <f t="array" ref="E25">IFERROR(INDEX('Events Summary'!$D:$D,MATCH(E$9,'Events Summary'!$C:$C,0)),0)</f>
        <v>0</v>
      </c>
      <c r="F25" s="84">
        <f t="array" ref="F25">IFERROR(INDEX('Events Summary'!$D:$D,MATCH(F$9,'Events Summary'!$C:$C,0)),0)</f>
        <v>5</v>
      </c>
      <c r="G25" s="84">
        <f t="array" ref="G25">IFERROR(INDEX('Events Summary'!$D:$D,MATCH(G$9,'Events Summary'!$C:$C,0)),0)</f>
        <v>8</v>
      </c>
      <c r="H25" s="84">
        <f t="array" ref="H25">IFERROR(INDEX('Events Summary'!$D:$D,MATCH(H$9,'Events Summary'!$C:$C,0)),0)</f>
        <v>5</v>
      </c>
      <c r="I25" s="84">
        <f t="array" ref="I25">IFERROR(INDEX('Events Summary'!$D:$D,MATCH(I$9,'Events Summary'!$C:$C,0)),0)</f>
        <v>3</v>
      </c>
      <c r="J25" s="84">
        <f t="array" ref="J25">IFERROR(INDEX('Events Summary'!$D:$D,MATCH(J$9,'Events Summary'!$C:$C,0)),0)</f>
        <v>0</v>
      </c>
      <c r="K25" s="84">
        <f t="array" ref="K25">IFERROR(INDEX('Events Summary'!$D:$D,MATCH(K$9,'Events Summary'!$C:$C,0)),0)</f>
        <v>3</v>
      </c>
      <c r="L25" s="84">
        <f t="array" ref="L25">IFERROR(INDEX('Events Summary'!$D:$D,MATCH(L$9,'Events Summary'!$C:$C,0)),0)</f>
        <v>10</v>
      </c>
      <c r="M25" s="84">
        <f t="array" ref="M25">IFERROR(INDEX('Events Summary'!$D:$D,MATCH(M$9,'Events Summary'!$C:$C,0)),0)</f>
        <v>11</v>
      </c>
      <c r="N25" s="84">
        <f t="array" ref="N25">IFERROR(INDEX('Events Summary'!$D:$D,MATCH(N$9,'Events Summary'!$C:$C,0)),0)</f>
        <v>7</v>
      </c>
      <c r="O25" s="84">
        <f t="array" ref="O25">IFERROR(INDEX('Events Summary'!$D:$D,MATCH(O$9,'Events Summary'!$C:$C,0)),0)</f>
        <v>2</v>
      </c>
      <c r="P25" s="84">
        <f t="array" ref="P25">IFERROR(INDEX('Events Summary'!$D:$D,MATCH(P$9,'Events Summary'!$C:$C,0)),0)</f>
        <v>0</v>
      </c>
      <c r="Q25" s="84">
        <f t="array" ref="Q25">IFERROR(INDEX('Events Summary'!$D:$D,MATCH(Q$9,'Events Summary'!$C:$C,0)),0)</f>
        <v>0</v>
      </c>
      <c r="R25" s="84">
        <f t="array" ref="R25">IFERROR(INDEX('Events Summary'!$D:$D,MATCH(R$9,'Events Summary'!$C:$C,0)),0)</f>
        <v>8</v>
      </c>
      <c r="S25" s="84">
        <f t="array" ref="S25">IFERROR(INDEX('Events Summary'!$D:$D,MATCH(S$9,'Events Summary'!$C:$C,0)),0)</f>
        <v>4</v>
      </c>
      <c r="T25" s="84">
        <f t="array" ref="T25">IFERROR(INDEX('Events Summary'!$D:$D,MATCH(T$9,'Events Summary'!$C:$C,0)),0)</f>
        <v>11</v>
      </c>
      <c r="U25" s="84">
        <f t="array" ref="U25">IFERROR(INDEX('Events Summary'!$D:$D,MATCH(U$9,'Events Summary'!$C:$C,0)),0)</f>
        <v>5</v>
      </c>
      <c r="V25" s="84">
        <f t="array" ref="V25">IFERROR(INDEX('Events Summary'!$D:$D,MATCH(V$9,'Events Summary'!$C:$C,0)),0)</f>
        <v>1</v>
      </c>
      <c r="W25" s="84">
        <f t="array" ref="W25">IFERROR(INDEX('Events Summary'!$D:$D,MATCH(W$9,'Events Summary'!$C:$C,0)),0)</f>
        <v>2</v>
      </c>
      <c r="X25" s="84">
        <f t="array" ref="X25">IFERROR(INDEX('Events Summary'!$D:$D,MATCH(X$9,'Events Summary'!$C:$C,0)),0)</f>
        <v>5</v>
      </c>
      <c r="Y25" s="84">
        <f t="array" ref="Y25">IFERROR(INDEX('Events Summary'!$D:$D,MATCH(Y$9,'Events Summary'!$C:$C,0)),0)</f>
        <v>8</v>
      </c>
      <c r="Z25" s="84">
        <f t="array" ref="Z25">IFERROR(INDEX('Events Summary'!$D:$D,MATCH(Z$9,'Events Summary'!$C:$C,0)),0)</f>
        <v>1</v>
      </c>
      <c r="AA25" s="84">
        <f t="array" ref="AA25">IFERROR(INDEX('Events Summary'!$D:$D,MATCH(AA$9,'Events Summary'!$C:$C,0)),0)</f>
        <v>2</v>
      </c>
      <c r="AB25" s="84">
        <f t="array" ref="AB25">IFERROR(INDEX('Events Summary'!$D:$D,MATCH(AB$9,'Events Summary'!$C:$C,0)),0)</f>
        <v>0</v>
      </c>
      <c r="AC25" s="84">
        <f t="array" ref="AC25">IFERROR(INDEX('Events Summary'!$D:$D,MATCH(AC$9,'Events Summary'!$C:$C,0)),0)</f>
        <v>0</v>
      </c>
      <c r="AD25" s="84">
        <f t="array" ref="AD25">IFERROR(INDEX('Events Summary'!$D:$D,MATCH(AD$9,'Events Summary'!$C:$C,0)),0)</f>
        <v>1</v>
      </c>
      <c r="AE25" s="84">
        <f t="array" ref="AE25">IFERROR(INDEX('Events Summary'!$D:$D,MATCH(AE$9,'Events Summary'!$C:$C,0)),0)</f>
        <v>4</v>
      </c>
      <c r="AF25" s="84">
        <f t="array" ref="AF25">IFERROR(INDEX('Events Summary'!$D:$D,MATCH(AF$9,'Events Summary'!$C:$C,0)),0)</f>
        <v>7</v>
      </c>
      <c r="AG25" s="26"/>
      <c r="AH25" s="84">
        <f t="array" ref="AH25">IFERROR(INDEX('Events Summary'!$D:$D,MATCH(AH$9,'Events Summary'!$C:$C,0)),0)</f>
        <v>2</v>
      </c>
      <c r="AI25" s="84">
        <f t="array" ref="AI25">IFERROR(INDEX('Events Summary'!$D:$D,MATCH(AI$9,'Events Summary'!$C:$C,0)),0)</f>
        <v>1</v>
      </c>
      <c r="AJ25" s="84">
        <f t="array" ref="AJ25">IFERROR(INDEX('Events Summary'!$D:$D,MATCH(AJ$9,'Events Summary'!$C:$C,0)),0)</f>
        <v>3</v>
      </c>
      <c r="AK25" s="84">
        <f t="array" ref="AK25">IFERROR(INDEX('Events Summary'!$D:$D,MATCH(AK$9,'Events Summary'!$C:$C,0)),0)</f>
        <v>8</v>
      </c>
      <c r="AL25" s="84">
        <f t="array" ref="AL25">IFERROR(INDEX('Events Summary'!$D:$D,MATCH(AL$9,'Events Summary'!$C:$C,0)),0)</f>
        <v>11</v>
      </c>
      <c r="AM25" s="85">
        <f t="array" ref="AM25">IFERROR(INDEX('Events Summary'!$D:$D,MATCH(AM$9,'Events Summary'!$C:$C,0)),0)</f>
        <v>2</v>
      </c>
      <c r="AN25" s="84">
        <f t="array" ref="AN25">IFERROR(INDEX('Events Summary'!$D:$D,MATCH(AN$9,'Events Summary'!$C:$C,0)),0)</f>
        <v>0</v>
      </c>
      <c r="AO25" s="84">
        <f t="array" ref="AO25">IFERROR(INDEX('Events Summary'!$D:$D,MATCH(AO$9,'Events Summary'!$C:$C,0)),0)</f>
        <v>0</v>
      </c>
      <c r="AP25" s="84">
        <f t="array" ref="AP25">IFERROR(INDEX('Events Summary'!$D:$D,MATCH(AP$9,'Events Summary'!$C:$C,0)),0)</f>
        <v>0</v>
      </c>
      <c r="AQ25" s="84">
        <f t="array" ref="AQ25">IFERROR(INDEX('Events Summary'!$D:$D,MATCH(AQ$9,'Events Summary'!$C:$C,0)),0)</f>
        <v>1</v>
      </c>
      <c r="AR25" s="84">
        <f t="array" ref="AR25">IFERROR(INDEX('Events Summary'!$D:$D,MATCH(AR$9,'Events Summary'!$C:$C,0)),0)</f>
        <v>2</v>
      </c>
      <c r="AS25" s="84">
        <f t="array" ref="AS25">IFERROR(INDEX('Events Summary'!$D:$D,MATCH(AS$9,'Events Summary'!$C:$C,0)),0)</f>
        <v>5</v>
      </c>
      <c r="AT25" s="84">
        <f t="array" ref="AT25">IFERROR(INDEX('Events Summary'!$D:$D,MATCH(AT$9,'Events Summary'!$C:$C,0)),0)</f>
        <v>1</v>
      </c>
      <c r="AU25" s="84">
        <f t="array" ref="AU25">IFERROR(INDEX('Events Summary'!$D:$D,MATCH(AU$9,'Events Summary'!$C:$C,0)),0)</f>
        <v>0</v>
      </c>
      <c r="AV25" s="84">
        <f t="array" ref="AV25">IFERROR(INDEX('Events Summary'!$D:$D,MATCH(AV$9,'Events Summary'!$C:$C,0)),0)</f>
        <v>1</v>
      </c>
      <c r="AW25" s="84">
        <f t="array" ref="AW25">IFERROR(INDEX('Events Summary'!$D:$D,MATCH(AW$9,'Events Summary'!$C:$C,0)),0)</f>
        <v>3</v>
      </c>
      <c r="AX25" s="84">
        <f t="array" ref="AX25">IFERROR(INDEX('Events Summary'!$D:$D,MATCH(AX$9,'Events Summary'!$C:$C,0)),0)</f>
        <v>1</v>
      </c>
      <c r="AY25" s="84">
        <f t="array" ref="AY25">IFERROR(INDEX('Events Summary'!$D:$D,MATCH(AY$9,'Events Summary'!$C:$C,0)),0)</f>
        <v>1</v>
      </c>
      <c r="AZ25" s="84">
        <f t="array" ref="AZ25">IFERROR(INDEX('Events Summary'!$D:$D,MATCH(AZ$9,'Events Summary'!$C:$C,0)),0)</f>
        <v>0</v>
      </c>
      <c r="BA25" s="84">
        <f t="array" ref="BA25">IFERROR(INDEX('Events Summary'!$D:$D,MATCH(BA$9,'Events Summary'!$C:$C,0)),0)</f>
        <v>0</v>
      </c>
      <c r="BB25" s="84">
        <f t="array" ref="BB25">IFERROR(INDEX('Events Summary'!$D:$D,MATCH(BB$9,'Events Summary'!$C:$C,0)),0)</f>
        <v>0</v>
      </c>
      <c r="BC25" s="84">
        <f t="array" ref="BC25">IFERROR(INDEX('Events Summary'!$D:$D,MATCH(BC$9,'Events Summary'!$C:$C,0)),0)</f>
        <v>0</v>
      </c>
      <c r="BD25" s="84">
        <f t="array" ref="BD25">IFERROR(INDEX('Events Summary'!$D:$D,MATCH(BD$9,'Events Summary'!$C:$C,0)),0)</f>
        <v>0</v>
      </c>
      <c r="BE25" s="84">
        <f t="array" ref="BE25">IFERROR(INDEX('Events Summary'!$D:$D,MATCH(BE$9,'Events Summary'!$C:$C,0)),0)</f>
        <v>0</v>
      </c>
      <c r="BF25" s="84">
        <f t="array" ref="BF25">IFERROR(INDEX('Events Summary'!$D:$D,MATCH(BF$9,'Events Summary'!$C:$C,0)),0)</f>
        <v>0</v>
      </c>
      <c r="BG25" s="84">
        <f t="array" ref="BG25">IFERROR(INDEX('Events Summary'!$D:$D,MATCH(BG$9,'Events Summary'!$C:$C,0)),0)</f>
        <v>0</v>
      </c>
      <c r="BH25" s="84">
        <f t="array" ref="BH25">IFERROR(INDEX('Events Summary'!$D:$D,MATCH(BH$9,'Events Summary'!$C:$C,0)),0)</f>
        <v>0</v>
      </c>
      <c r="BI25" s="84">
        <f t="array" ref="BI25">IFERROR(INDEX('Events Summary'!$D:$D,MATCH(BI$9,'Events Summary'!$C:$C,0)),0)</f>
        <v>0</v>
      </c>
      <c r="BJ25" s="84">
        <f t="array" ref="BJ25">IFERROR(INDEX('Events Summary'!$D:$D,MATCH(BJ$9,'Events Summary'!$C:$C,0)),0)</f>
        <v>0</v>
      </c>
      <c r="BK25" s="84">
        <f t="array" ref="BK25">IFERROR(INDEX('Events Summary'!$D:$D,MATCH(BK$9,'Events Summary'!$C:$C,0)),0)</f>
        <v>0</v>
      </c>
      <c r="BL25" s="84">
        <f t="array" ref="BL25">IFERROR(INDEX('Events Summary'!$D:$D,MATCH(BL$9,'Events Summary'!$C:$C,0)),0)</f>
        <v>0</v>
      </c>
      <c r="BM25" s="84">
        <f t="array" ref="BM25">IFERROR(INDEX('Events Summary'!$D:$D,MATCH(BM$9,'Events Summary'!$C:$C,0)),0)</f>
        <v>0</v>
      </c>
      <c r="BN25" s="84">
        <f t="array" ref="BN25">IFERROR(INDEX('Events Summary'!$D:$D,MATCH(BN$9,'Events Summary'!$C:$C,0)),0)</f>
        <v>0</v>
      </c>
      <c r="BO25" s="84">
        <f t="array" ref="BO25">IFERROR(INDEX('Events Summary'!$D:$D,MATCH(BO$9,'Events Summary'!$C:$C,0)),0)</f>
        <v>0</v>
      </c>
      <c r="BP25" s="84">
        <f t="array" ref="BP25">IFERROR(INDEX('Events Summary'!$D:$D,MATCH(BP$9,'Events Summary'!$C:$C,0)),0)</f>
        <v>0</v>
      </c>
      <c r="BQ25" s="85">
        <f t="array" ref="BQ25">IFERROR(INDEX('Events Summary'!$D:$D,MATCH(BQ$9,'Events Summary'!$C:$C,0)),0)</f>
        <v>0</v>
      </c>
      <c r="BR25" s="84"/>
      <c r="BS25" s="84">
        <f t="array" ref="BS25">IFERROR(INDEX('Events Summary'!$D:$D,MATCH(BS$9,'Events Summary'!$C:$C,0)),0)</f>
        <v>0</v>
      </c>
      <c r="BT25" s="84">
        <f t="array" ref="BT25">IFERROR(INDEX('Events Summary'!$D:$D,MATCH(BT$9,'Events Summary'!$C:$C,0)),0)</f>
        <v>0</v>
      </c>
      <c r="BU25" s="84">
        <f t="array" ref="BU25">IFERROR(INDEX('Events Summary'!$D:$D,MATCH(BU$9,'Events Summary'!$C:$C,0)),0)</f>
        <v>0</v>
      </c>
      <c r="BV25" s="84">
        <f t="array" ref="BV25">IFERROR(INDEX('Events Summary'!$D:$D,MATCH(BV$9,'Events Summary'!$C:$C,0)),0)</f>
        <v>0</v>
      </c>
      <c r="BW25" s="84">
        <f t="array" ref="BW25">IFERROR(INDEX('Events Summary'!$D:$D,MATCH(BW$9,'Events Summary'!$C:$C,0)),0)</f>
        <v>0</v>
      </c>
      <c r="BX25" s="84">
        <f t="array" ref="BX25">IFERROR(INDEX('Events Summary'!$D:$D,MATCH(BX$9,'Events Summary'!$C:$C,0)),0)</f>
        <v>0</v>
      </c>
      <c r="BY25" s="84">
        <f t="array" ref="BY25">IFERROR(INDEX('Events Summary'!$D:$D,MATCH(BY$9,'Events Summary'!$C:$C,0)),0)</f>
        <v>0</v>
      </c>
      <c r="CA25" s="84">
        <f>'Revenue Analysis - Barn'!D11</f>
        <v>54</v>
      </c>
      <c r="CB25" s="84">
        <f>'Revenue Analysis - Barn'!E11</f>
        <v>47</v>
      </c>
      <c r="CC25" s="84">
        <f>'Revenue Analysis - Barn'!F11</f>
        <v>40</v>
      </c>
      <c r="CD25" s="84">
        <f>'Revenue Analysis - Barn'!G11</f>
        <v>35</v>
      </c>
      <c r="CE25" s="84">
        <f>'Revenue Analysis - Barn'!H11</f>
        <v>7</v>
      </c>
      <c r="CF25" s="84">
        <f>'Revenue Analysis - Barn'!I11</f>
        <v>0</v>
      </c>
      <c r="CH25" s="512"/>
      <c r="CI25" s="512"/>
      <c r="CJ25" s="512"/>
      <c r="CL25" s="98"/>
      <c r="CN25" s="98"/>
      <c r="CO25" s="98"/>
      <c r="CQ25" s="71"/>
      <c r="CR25" s="71"/>
      <c r="CU25" s="25">
        <f t="shared" ref="CU25:CX25" si="45">SUMIFS($D25:$BZ25,$D$1:$BZ$1,CU$9)</f>
        <v>39</v>
      </c>
      <c r="CV25" s="25">
        <f t="shared" si="45"/>
        <v>15</v>
      </c>
      <c r="CW25" s="25">
        <f t="shared" si="45"/>
        <v>0</v>
      </c>
      <c r="CX25" s="25">
        <f t="shared" si="45"/>
        <v>0</v>
      </c>
    </row>
    <row r="26" spans="1:117" ht="15.75" customHeight="1">
      <c r="C26" s="8" t="s">
        <v>99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26"/>
      <c r="AH26" s="106"/>
      <c r="AI26" s="106"/>
      <c r="AJ26" s="106"/>
      <c r="AK26" s="106"/>
      <c r="AL26" s="106"/>
      <c r="AM26" s="107"/>
      <c r="AN26" s="25">
        <f t="shared" ref="AN26:BQ26" si="46">AN27-AN25</f>
        <v>2</v>
      </c>
      <c r="AO26" s="25">
        <f t="shared" si="46"/>
        <v>0</v>
      </c>
      <c r="AP26" s="25">
        <f t="shared" si="46"/>
        <v>0</v>
      </c>
      <c r="AQ26" s="25">
        <f t="shared" si="46"/>
        <v>1</v>
      </c>
      <c r="AR26" s="25">
        <f t="shared" si="46"/>
        <v>6</v>
      </c>
      <c r="AS26" s="25">
        <f t="shared" si="46"/>
        <v>6</v>
      </c>
      <c r="AT26" s="25">
        <f t="shared" si="46"/>
        <v>6</v>
      </c>
      <c r="AU26" s="25">
        <f t="shared" si="46"/>
        <v>4</v>
      </c>
      <c r="AV26" s="25">
        <f t="shared" si="46"/>
        <v>5</v>
      </c>
      <c r="AW26" s="25">
        <f t="shared" si="46"/>
        <v>5</v>
      </c>
      <c r="AX26" s="25">
        <f t="shared" si="46"/>
        <v>8</v>
      </c>
      <c r="AY26" s="25">
        <f t="shared" si="46"/>
        <v>4</v>
      </c>
      <c r="AZ26" s="25">
        <f t="shared" si="46"/>
        <v>2</v>
      </c>
      <c r="BA26" s="25">
        <f t="shared" si="46"/>
        <v>0</v>
      </c>
      <c r="BB26" s="25">
        <f t="shared" si="46"/>
        <v>0</v>
      </c>
      <c r="BC26" s="25">
        <f t="shared" si="46"/>
        <v>3</v>
      </c>
      <c r="BD26" s="25">
        <f t="shared" si="46"/>
        <v>7</v>
      </c>
      <c r="BE26" s="25">
        <f t="shared" si="46"/>
        <v>9</v>
      </c>
      <c r="BF26" s="25">
        <f t="shared" si="46"/>
        <v>8</v>
      </c>
      <c r="BG26" s="25">
        <f t="shared" si="46"/>
        <v>4</v>
      </c>
      <c r="BH26" s="25">
        <f t="shared" si="46"/>
        <v>7</v>
      </c>
      <c r="BI26" s="25">
        <f t="shared" si="46"/>
        <v>9</v>
      </c>
      <c r="BJ26" s="25">
        <f t="shared" si="46"/>
        <v>11</v>
      </c>
      <c r="BK26" s="25">
        <f t="shared" si="46"/>
        <v>6</v>
      </c>
      <c r="BL26" s="25">
        <f t="shared" si="46"/>
        <v>2</v>
      </c>
      <c r="BM26" s="25">
        <f t="shared" si="46"/>
        <v>0</v>
      </c>
      <c r="BN26" s="25">
        <f t="shared" si="46"/>
        <v>0</v>
      </c>
      <c r="BO26" s="25">
        <f t="shared" si="46"/>
        <v>4</v>
      </c>
      <c r="BP26" s="25">
        <f t="shared" si="46"/>
        <v>8</v>
      </c>
      <c r="BQ26" s="96">
        <f t="shared" si="46"/>
        <v>11</v>
      </c>
      <c r="BR26" s="25"/>
      <c r="BS26" s="25">
        <f t="shared" ref="BS26:BY26" si="47">BS27-BS25</f>
        <v>8</v>
      </c>
      <c r="BT26" s="25">
        <f t="shared" si="47"/>
        <v>4</v>
      </c>
      <c r="BU26" s="25">
        <f t="shared" si="47"/>
        <v>7</v>
      </c>
      <c r="BV26" s="25">
        <f t="shared" si="47"/>
        <v>9</v>
      </c>
      <c r="BW26" s="25">
        <f t="shared" si="47"/>
        <v>11</v>
      </c>
      <c r="BX26" s="25">
        <f t="shared" si="47"/>
        <v>6</v>
      </c>
      <c r="BY26" s="25">
        <f t="shared" si="47"/>
        <v>2</v>
      </c>
      <c r="CA26" s="106"/>
      <c r="CB26" s="106"/>
      <c r="CC26" s="106"/>
      <c r="CD26" s="84">
        <f>'Revenue Analysis - Barn'!G12</f>
        <v>15</v>
      </c>
      <c r="CE26" s="84">
        <f>'Revenue Analysis - Barn'!H12</f>
        <v>53</v>
      </c>
      <c r="CF26" s="84">
        <f>'Revenue Analysis - Barn'!I12</f>
        <v>70</v>
      </c>
      <c r="CH26" s="512"/>
      <c r="CI26" s="512"/>
      <c r="CJ26" s="512"/>
      <c r="CL26" s="98"/>
      <c r="CN26" s="98"/>
      <c r="CO26" s="98"/>
      <c r="CQ26" s="71"/>
      <c r="CR26" s="71"/>
      <c r="CU26" s="25">
        <f t="shared" ref="CU26:CX26" si="48">SUMIFS($D26:$BZ26,$D$1:$BZ$1,CU$9)</f>
        <v>2</v>
      </c>
      <c r="CV26" s="25">
        <f t="shared" si="48"/>
        <v>47</v>
      </c>
      <c r="CW26" s="25">
        <f t="shared" si="48"/>
        <v>66</v>
      </c>
      <c r="CX26" s="25">
        <f t="shared" si="48"/>
        <v>70</v>
      </c>
    </row>
    <row r="27" spans="1:117" ht="15.75" customHeight="1">
      <c r="C27" s="76" t="s">
        <v>100</v>
      </c>
      <c r="D27" s="80">
        <f t="shared" ref="D27:AF27" si="49">SUM(D25:D26)</f>
        <v>0</v>
      </c>
      <c r="E27" s="80">
        <f t="shared" si="49"/>
        <v>0</v>
      </c>
      <c r="F27" s="80">
        <f t="shared" si="49"/>
        <v>5</v>
      </c>
      <c r="G27" s="80">
        <f t="shared" si="49"/>
        <v>8</v>
      </c>
      <c r="H27" s="80">
        <f t="shared" si="49"/>
        <v>5</v>
      </c>
      <c r="I27" s="80">
        <f t="shared" si="49"/>
        <v>3</v>
      </c>
      <c r="J27" s="80">
        <f t="shared" si="49"/>
        <v>0</v>
      </c>
      <c r="K27" s="80">
        <f t="shared" si="49"/>
        <v>3</v>
      </c>
      <c r="L27" s="80">
        <f t="shared" si="49"/>
        <v>10</v>
      </c>
      <c r="M27" s="80">
        <f t="shared" si="49"/>
        <v>11</v>
      </c>
      <c r="N27" s="80">
        <f t="shared" si="49"/>
        <v>7</v>
      </c>
      <c r="O27" s="80">
        <f t="shared" si="49"/>
        <v>2</v>
      </c>
      <c r="P27" s="80">
        <f t="shared" si="49"/>
        <v>0</v>
      </c>
      <c r="Q27" s="80">
        <f t="shared" si="49"/>
        <v>0</v>
      </c>
      <c r="R27" s="80">
        <f t="shared" si="49"/>
        <v>8</v>
      </c>
      <c r="S27" s="80">
        <f t="shared" si="49"/>
        <v>4</v>
      </c>
      <c r="T27" s="80">
        <f t="shared" si="49"/>
        <v>11</v>
      </c>
      <c r="U27" s="80">
        <f t="shared" si="49"/>
        <v>5</v>
      </c>
      <c r="V27" s="80">
        <f t="shared" si="49"/>
        <v>1</v>
      </c>
      <c r="W27" s="80">
        <f t="shared" si="49"/>
        <v>2</v>
      </c>
      <c r="X27" s="80">
        <f t="shared" si="49"/>
        <v>5</v>
      </c>
      <c r="Y27" s="80">
        <f t="shared" si="49"/>
        <v>8</v>
      </c>
      <c r="Z27" s="80">
        <f t="shared" si="49"/>
        <v>1</v>
      </c>
      <c r="AA27" s="80">
        <f t="shared" si="49"/>
        <v>2</v>
      </c>
      <c r="AB27" s="80">
        <f t="shared" si="49"/>
        <v>0</v>
      </c>
      <c r="AC27" s="80">
        <f t="shared" si="49"/>
        <v>0</v>
      </c>
      <c r="AD27" s="80">
        <f t="shared" si="49"/>
        <v>1</v>
      </c>
      <c r="AE27" s="80">
        <f t="shared" si="49"/>
        <v>4</v>
      </c>
      <c r="AF27" s="80">
        <f t="shared" si="49"/>
        <v>7</v>
      </c>
      <c r="AG27" s="79"/>
      <c r="AH27" s="80">
        <f t="shared" ref="AH27:AM27" si="50">AH25</f>
        <v>2</v>
      </c>
      <c r="AI27" s="80">
        <f t="shared" si="50"/>
        <v>1</v>
      </c>
      <c r="AJ27" s="80">
        <f t="shared" si="50"/>
        <v>3</v>
      </c>
      <c r="AK27" s="80">
        <f t="shared" si="50"/>
        <v>8</v>
      </c>
      <c r="AL27" s="80">
        <f t="shared" si="50"/>
        <v>11</v>
      </c>
      <c r="AM27" s="81">
        <f t="shared" si="50"/>
        <v>2</v>
      </c>
      <c r="AN27" s="108">
        <v>2</v>
      </c>
      <c r="AO27" s="80">
        <f t="shared" ref="AO27:AS27" si="51">ROUND(($CD$27-SUM($AH$27:$AM$27))*(AB33/SUM($AA$33:$AF$33)),0)</f>
        <v>0</v>
      </c>
      <c r="AP27" s="80">
        <f t="shared" si="51"/>
        <v>0</v>
      </c>
      <c r="AQ27" s="80">
        <f t="shared" si="51"/>
        <v>2</v>
      </c>
      <c r="AR27" s="80">
        <f t="shared" si="51"/>
        <v>8</v>
      </c>
      <c r="AS27" s="81">
        <f t="shared" si="51"/>
        <v>11</v>
      </c>
      <c r="AT27" s="80">
        <f t="array" ref="AT27">ROUND(INDEX('Events Summary'!$AF:$AF,MATCH(AT$2,'Events Summary'!$AE:$AE,0))*SUMIFS($CD27:$CF27,$CD$2:$CF$2,AT$3),0)</f>
        <v>7</v>
      </c>
      <c r="AU27" s="80">
        <f t="array" ref="AU27">ROUND(INDEX('Events Summary'!$AF:$AF,MATCH(AU$2,'Events Summary'!$AE:$AE,0))*SUMIFS($CD27:$CF27,$CD$2:$CF$2,AU$3),0)</f>
        <v>4</v>
      </c>
      <c r="AV27" s="80">
        <f t="array" ref="AV27">ROUND(INDEX('Events Summary'!$AF:$AF,MATCH(AV$2,'Events Summary'!$AE:$AE,0))*SUMIFS($CD27:$CF27,$CD$2:$CF$2,AV$3),0)</f>
        <v>6</v>
      </c>
      <c r="AW27" s="80">
        <f t="array" ref="AW27">ROUND(INDEX('Events Summary'!$AF:$AF,MATCH(AW$2,'Events Summary'!$AE:$AE,0))*SUMIFS($CD27:$CF27,$CD$2:$CF$2,AW$3),0)</f>
        <v>8</v>
      </c>
      <c r="AX27" s="80">
        <f t="array" ref="AX27">ROUND(INDEX('Events Summary'!$AF:$AF,MATCH(AX$2,'Events Summary'!$AE:$AE,0))*SUMIFS($CD27:$CF27,$CD$2:$CF$2,AX$3),0)</f>
        <v>9</v>
      </c>
      <c r="AY27" s="80">
        <f t="array" ref="AY27">ROUND(INDEX('Events Summary'!$AF:$AF,MATCH(AY$2,'Events Summary'!$AE:$AE,0))*SUMIFS($CD27:$CF27,$CD$2:$CF$2,AY$3),0)</f>
        <v>5</v>
      </c>
      <c r="AZ27" s="80">
        <f t="array" ref="AZ27">ROUND(INDEX('Events Summary'!$AF:$AF,MATCH(AZ$2,'Events Summary'!$AE:$AE,0))*SUMIFS($CD27:$CF27,$CD$2:$CF$2,AZ$3),0)</f>
        <v>2</v>
      </c>
      <c r="BA27" s="80">
        <f t="array" ref="BA27">ROUND(INDEX('Events Summary'!$AF:$AF,MATCH(BA$2,'Events Summary'!$AE:$AE,0))*SUMIFS($CD27:$CF27,$CD$2:$CF$2,BA$3),0)</f>
        <v>0</v>
      </c>
      <c r="BB27" s="80">
        <f t="array" ref="BB27">ROUND(INDEX('Events Summary'!$AF:$AF,MATCH(BB$2,'Events Summary'!$AE:$AE,0))*SUMIFS($CD27:$CF27,$CD$2:$CF$2,BB$3),0)</f>
        <v>0</v>
      </c>
      <c r="BC27" s="80">
        <f t="array" ref="BC27">ROUND(INDEX('Events Summary'!$AF:$AF,MATCH(BC$2,'Events Summary'!$AE:$AE,0))*SUMIFS($CD27:$CF27,$CD$2:$CF$2,BC$3),0)</f>
        <v>3</v>
      </c>
      <c r="BD27" s="80">
        <f t="array" ref="BD27">ROUND(INDEX('Events Summary'!$AF:$AF,MATCH(BD$2,'Events Summary'!$AE:$AE,0))*SUMIFS($CD27:$CF27,$CD$2:$CF$2,BD$3),0)</f>
        <v>7</v>
      </c>
      <c r="BE27" s="80">
        <f t="array" ref="BE27">ROUND(INDEX('Events Summary'!$AF:$AF,MATCH(BE$2,'Events Summary'!$AE:$AE,0))*SUMIFS($CD27:$CF27,$CD$2:$CF$2,BE$3),0)</f>
        <v>9</v>
      </c>
      <c r="BF27" s="80">
        <f t="array" ref="BF27">ROUND(INDEX('Events Summary'!$AF:$AF,MATCH(BF$2,'Events Summary'!$AE:$AE,0))*SUMIFS($CD27:$CF27,$CD$2:$CF$2,BF$3),0)</f>
        <v>8</v>
      </c>
      <c r="BG27" s="80">
        <f t="array" ref="BG27">ROUND(INDEX('Events Summary'!$AF:$AF,MATCH(BG$2,'Events Summary'!$AE:$AE,0))*SUMIFS($CD27:$CF27,$CD$2:$CF$2,BG$3),0)</f>
        <v>4</v>
      </c>
      <c r="BH27" s="80">
        <f t="array" ref="BH27">ROUND(INDEX('Events Summary'!$AF:$AF,MATCH(BH$2,'Events Summary'!$AE:$AE,0))*SUMIFS($CD27:$CF27,$CD$2:$CF$2,BH$3),0)</f>
        <v>7</v>
      </c>
      <c r="BI27" s="80">
        <f t="array" ref="BI27">ROUND(INDEX('Events Summary'!$AF:$AF,MATCH(BI$2,'Events Summary'!$AE:$AE,0))*SUMIFS($CD27:$CF27,$CD$2:$CF$2,BI$3),0)</f>
        <v>9</v>
      </c>
      <c r="BJ27" s="80">
        <f t="array" ref="BJ27">ROUND(INDEX('Events Summary'!$AF:$AF,MATCH(BJ$2,'Events Summary'!$AE:$AE,0))*SUMIFS($CD27:$CF27,$CD$2:$CF$2,BJ$3),0)</f>
        <v>11</v>
      </c>
      <c r="BK27" s="80">
        <f t="array" ref="BK27">ROUND(INDEX('Events Summary'!$AF:$AF,MATCH(BK$2,'Events Summary'!$AE:$AE,0))*SUMIFS($CD27:$CF27,$CD$2:$CF$2,BK$3),0)</f>
        <v>6</v>
      </c>
      <c r="BL27" s="108">
        <v>2</v>
      </c>
      <c r="BM27" s="80">
        <f t="array" ref="BM27">ROUND(INDEX('Events Summary'!$AF:$AF,MATCH(BM$2,'Events Summary'!$AE:$AE,0))*SUMIFS($CD27:$CF27,$CD$2:$CF$2,BM$3),0)</f>
        <v>0</v>
      </c>
      <c r="BN27" s="80">
        <f t="array" ref="BN27">ROUND(INDEX('Events Summary'!$AF:$AF,MATCH(BN$2,'Events Summary'!$AE:$AE,0))*SUMIFS($CD27:$CF27,$CD$2:$CF$2,BN$3),0)</f>
        <v>0</v>
      </c>
      <c r="BO27" s="80">
        <f t="array" ref="BO27">ROUND(INDEX('Events Summary'!$AF:$AF,MATCH(BO$2,'Events Summary'!$AE:$AE,0))*SUMIFS($CD27:$CF27,$CD$2:$CF$2,BO$3),0)</f>
        <v>4</v>
      </c>
      <c r="BP27" s="80">
        <f t="array" ref="BP27">ROUND(INDEX('Events Summary'!$AF:$AF,MATCH(BP$2,'Events Summary'!$AE:$AE,0))*SUMIFS($CD27:$CF27,$CD$2:$CF$2,BP$3),0)</f>
        <v>8</v>
      </c>
      <c r="BQ27" s="81">
        <f t="array" ref="BQ27">ROUND(INDEX('Events Summary'!$AF:$AF,MATCH(BQ$2,'Events Summary'!$AE:$AE,0))*SUMIFS($CD27:$CF27,$CD$2:$CF$2,BQ$3),0)</f>
        <v>11</v>
      </c>
      <c r="BR27" s="80"/>
      <c r="BS27" s="80">
        <f t="shared" ref="BS27:BY27" si="52">BF27</f>
        <v>8</v>
      </c>
      <c r="BT27" s="80">
        <f t="shared" si="52"/>
        <v>4</v>
      </c>
      <c r="BU27" s="80">
        <f t="shared" si="52"/>
        <v>7</v>
      </c>
      <c r="BV27" s="80">
        <f t="shared" si="52"/>
        <v>9</v>
      </c>
      <c r="BW27" s="80">
        <f t="shared" si="52"/>
        <v>11</v>
      </c>
      <c r="BX27" s="80">
        <f t="shared" si="52"/>
        <v>6</v>
      </c>
      <c r="BY27" s="80">
        <f t="shared" si="52"/>
        <v>2</v>
      </c>
      <c r="CA27" s="80">
        <f t="shared" ref="CA27:CF27" si="53">SUM(CA25:CA26)</f>
        <v>54</v>
      </c>
      <c r="CB27" s="80">
        <f t="shared" si="53"/>
        <v>47</v>
      </c>
      <c r="CC27" s="80">
        <f t="shared" si="53"/>
        <v>40</v>
      </c>
      <c r="CD27" s="80">
        <f t="shared" si="53"/>
        <v>50</v>
      </c>
      <c r="CE27" s="80">
        <f t="shared" si="53"/>
        <v>60</v>
      </c>
      <c r="CF27" s="80">
        <f t="shared" si="53"/>
        <v>70</v>
      </c>
      <c r="CH27" s="512"/>
      <c r="CI27" s="512"/>
      <c r="CJ27" s="512"/>
      <c r="CL27" s="98"/>
      <c r="CN27" s="98"/>
      <c r="CO27" s="98"/>
      <c r="CQ27" s="71"/>
      <c r="CR27" s="71" t="s">
        <v>101</v>
      </c>
      <c r="CU27" s="80">
        <f t="shared" ref="CU27:CX27" si="54">SUM(CU25:CU26)</f>
        <v>41</v>
      </c>
      <c r="CV27" s="80">
        <f t="shared" si="54"/>
        <v>62</v>
      </c>
      <c r="CW27" s="80">
        <f t="shared" si="54"/>
        <v>66</v>
      </c>
      <c r="CX27" s="80">
        <f t="shared" si="54"/>
        <v>70</v>
      </c>
    </row>
    <row r="28" spans="1:117" ht="15.75" customHeight="1">
      <c r="C28" s="56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26"/>
      <c r="AH28" s="84"/>
      <c r="AI28" s="84"/>
      <c r="AJ28" s="84"/>
      <c r="AK28" s="84"/>
      <c r="AL28" s="84"/>
      <c r="AM28" s="85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5"/>
      <c r="BR28" s="84"/>
      <c r="BS28" s="84"/>
      <c r="BT28" s="84"/>
      <c r="BU28" s="84"/>
      <c r="BV28" s="84"/>
      <c r="BW28" s="84"/>
      <c r="BX28" s="84"/>
      <c r="BY28" s="84"/>
      <c r="CA28" s="86"/>
      <c r="CB28" s="86"/>
      <c r="CC28" s="86"/>
      <c r="CD28" s="86"/>
      <c r="CE28" s="86"/>
      <c r="CF28" s="86"/>
      <c r="CH28" s="98"/>
      <c r="CI28" s="98"/>
      <c r="CJ28" s="98"/>
      <c r="CL28" s="98"/>
      <c r="CN28" s="98"/>
      <c r="CO28" s="98"/>
      <c r="CQ28" s="71"/>
      <c r="CR28" s="71"/>
      <c r="CU28" s="86"/>
      <c r="CV28" s="86"/>
      <c r="CW28" s="86"/>
      <c r="CX28" s="86"/>
    </row>
    <row r="29" spans="1:117" ht="15.75" customHeight="1">
      <c r="C29" s="8" t="s">
        <v>102</v>
      </c>
      <c r="D29" s="84">
        <f t="array" ref="D29">IFERROR(INDEX('Events Summary'!$H:$H,MATCH(D$9,'Events Summary'!$C:$C,0)),0)</f>
        <v>0</v>
      </c>
      <c r="E29" s="84">
        <f t="array" ref="E29">IFERROR(INDEX('Events Summary'!$H:$H,MATCH(E$9,'Events Summary'!$C:$C,0)),0)</f>
        <v>0</v>
      </c>
      <c r="F29" s="84">
        <f t="array" ref="F29">IFERROR(INDEX('Events Summary'!$H:$H,MATCH(F$9,'Events Summary'!$C:$C,0)),0)</f>
        <v>0</v>
      </c>
      <c r="G29" s="84">
        <f t="array" ref="G29">IFERROR(INDEX('Events Summary'!$H:$H,MATCH(G$9,'Events Summary'!$C:$C,0)),0)</f>
        <v>12</v>
      </c>
      <c r="H29" s="84">
        <f t="array" ref="H29">IFERROR(INDEX('Events Summary'!$H:$H,MATCH(H$9,'Events Summary'!$C:$C,0)),0)</f>
        <v>12</v>
      </c>
      <c r="I29" s="84">
        <f t="array" ref="I29">IFERROR(INDEX('Events Summary'!$H:$H,MATCH(I$9,'Events Summary'!$C:$C,0)),0)</f>
        <v>13</v>
      </c>
      <c r="J29" s="84">
        <f t="array" ref="J29">IFERROR(INDEX('Events Summary'!$H:$H,MATCH(J$9,'Events Summary'!$C:$C,0)),0)</f>
        <v>7</v>
      </c>
      <c r="K29" s="84">
        <f t="array" ref="K29">IFERROR(INDEX('Events Summary'!$H:$H,MATCH(K$9,'Events Summary'!$C:$C,0)),0)</f>
        <v>13</v>
      </c>
      <c r="L29" s="84">
        <f t="array" ref="L29">IFERROR(INDEX('Events Summary'!$H:$H,MATCH(L$9,'Events Summary'!$C:$C,0)),0)</f>
        <v>12</v>
      </c>
      <c r="M29" s="84">
        <f t="array" ref="M29">IFERROR(INDEX('Events Summary'!$H:$H,MATCH(M$9,'Events Summary'!$C:$C,0)),0)</f>
        <v>11</v>
      </c>
      <c r="N29" s="84">
        <f t="array" ref="N29">IFERROR(INDEX('Events Summary'!$H:$H,MATCH(N$9,'Events Summary'!$C:$C,0)),0)</f>
        <v>12</v>
      </c>
      <c r="O29" s="84">
        <f t="array" ref="O29">IFERROR(INDEX('Events Summary'!$H:$H,MATCH(O$9,'Events Summary'!$C:$C,0)),0)</f>
        <v>7</v>
      </c>
      <c r="P29" s="84">
        <f t="array" ref="P29">IFERROR(INDEX('Events Summary'!$H:$H,MATCH(P$9,'Events Summary'!$C:$C,0)),0)</f>
        <v>0</v>
      </c>
      <c r="Q29" s="84">
        <f t="array" ref="Q29">IFERROR(INDEX('Events Summary'!$H:$H,MATCH(Q$9,'Events Summary'!$C:$C,0)),0)</f>
        <v>0</v>
      </c>
      <c r="R29" s="84">
        <f t="array" ref="R29">IFERROR(INDEX('Events Summary'!$H:$H,MATCH(R$9,'Events Summary'!$C:$C,0)),0)</f>
        <v>0</v>
      </c>
      <c r="S29" s="84">
        <f t="array" ref="S29">IFERROR(INDEX('Events Summary'!$H:$H,MATCH(S$9,'Events Summary'!$C:$C,0)),0)</f>
        <v>11</v>
      </c>
      <c r="T29" s="84">
        <f t="array" ref="T29">IFERROR(INDEX('Events Summary'!$H:$H,MATCH(T$9,'Events Summary'!$C:$C,0)),0)</f>
        <v>13</v>
      </c>
      <c r="U29" s="84">
        <f t="array" ref="U29">IFERROR(INDEX('Events Summary'!$H:$H,MATCH(U$9,'Events Summary'!$C:$C,0)),0)</f>
        <v>11</v>
      </c>
      <c r="V29" s="84">
        <f t="array" ref="V29">IFERROR(INDEX('Events Summary'!$H:$H,MATCH(V$9,'Events Summary'!$C:$C,0)),0)</f>
        <v>8</v>
      </c>
      <c r="W29" s="84">
        <f t="array" ref="W29">IFERROR(INDEX('Events Summary'!$H:$H,MATCH(W$9,'Events Summary'!$C:$C,0)),0)</f>
        <v>10</v>
      </c>
      <c r="X29" s="84">
        <f t="array" ref="X29">IFERROR(INDEX('Events Summary'!$H:$H,MATCH(X$9,'Events Summary'!$C:$C,0)),0)</f>
        <v>11</v>
      </c>
      <c r="Y29" s="84">
        <f t="array" ref="Y29">IFERROR(INDEX('Events Summary'!$H:$H,MATCH(Y$9,'Events Summary'!$C:$C,0)),0)</f>
        <v>13</v>
      </c>
      <c r="Z29" s="84">
        <f t="array" ref="Z29">IFERROR(INDEX('Events Summary'!$H:$H,MATCH(Z$9,'Events Summary'!$C:$C,0)),0)</f>
        <v>7</v>
      </c>
      <c r="AA29" s="84">
        <f t="array" ref="AA29">IFERROR(INDEX('Events Summary'!$H:$H,MATCH(AA$9,'Events Summary'!$C:$C,0)),0)</f>
        <v>2</v>
      </c>
      <c r="AB29" s="84">
        <f t="array" ref="AB29">IFERROR(INDEX('Events Summary'!$H:$H,MATCH(AB$9,'Events Summary'!$C:$C,0)),0)</f>
        <v>0</v>
      </c>
      <c r="AC29" s="84">
        <f t="array" ref="AC29">IFERROR(INDEX('Events Summary'!$H:$H,MATCH(AC$9,'Events Summary'!$C:$C,0)),0)</f>
        <v>0</v>
      </c>
      <c r="AD29" s="84">
        <f t="array" ref="AD29">IFERROR(INDEX('Events Summary'!$H:$H,MATCH(AD$9,'Events Summary'!$C:$C,0)),0)</f>
        <v>4</v>
      </c>
      <c r="AE29" s="84">
        <f t="array" ref="AE29">IFERROR(INDEX('Events Summary'!$H:$H,MATCH(AE$9,'Events Summary'!$C:$C,0)),0)</f>
        <v>12</v>
      </c>
      <c r="AF29" s="84">
        <f t="array" ref="AF29">IFERROR(INDEX('Events Summary'!$H:$H,MATCH(AF$9,'Events Summary'!$C:$C,0)),0)</f>
        <v>15</v>
      </c>
      <c r="AG29" s="26"/>
      <c r="AH29" s="84">
        <f t="array" ref="AH29">IFERROR(INDEX('Events Summary'!$H:$H,MATCH(AH$9,'Events Summary'!$C:$C,0)),0)</f>
        <v>10</v>
      </c>
      <c r="AI29" s="84">
        <f t="array" ref="AI29">IFERROR(INDEX('Events Summary'!$H:$H,MATCH(AI$9,'Events Summary'!$C:$C,0)),0)</f>
        <v>9</v>
      </c>
      <c r="AJ29" s="84">
        <f t="array" ref="AJ29">IFERROR(INDEX('Events Summary'!$H:$H,MATCH(AJ$9,'Events Summary'!$C:$C,0)),0)</f>
        <v>12</v>
      </c>
      <c r="AK29" s="84">
        <f t="array" ref="AK29">IFERROR(INDEX('Events Summary'!$H:$H,MATCH(AK$9,'Events Summary'!$C:$C,0)),0)</f>
        <v>11</v>
      </c>
      <c r="AL29" s="84">
        <f t="array" ref="AL29">IFERROR(INDEX('Events Summary'!$H:$H,MATCH(AL$9,'Events Summary'!$C:$C,0)),0)</f>
        <v>13</v>
      </c>
      <c r="AM29" s="85">
        <f t="array" ref="AM29">IFERROR(INDEX('Events Summary'!$H:$H,MATCH(AM$9,'Events Summary'!$C:$C,0)),0)</f>
        <v>10</v>
      </c>
      <c r="AN29" s="84">
        <f t="array" ref="AN29">IFERROR(INDEX('Events Summary'!$H:$H,MATCH(AN$9,'Events Summary'!$C:$C,0)),0)</f>
        <v>2</v>
      </c>
      <c r="AO29" s="84">
        <f t="array" ref="AO29">IFERROR(INDEX('Events Summary'!$H:$H,MATCH(AO$9,'Events Summary'!$C:$C,0)),0)</f>
        <v>0</v>
      </c>
      <c r="AP29" s="84">
        <f t="array" ref="AP29">IFERROR(INDEX('Events Summary'!$H:$H,MATCH(AP$9,'Events Summary'!$C:$C,0)),0)</f>
        <v>0</v>
      </c>
      <c r="AQ29" s="84">
        <f t="array" ref="AQ29">IFERROR(INDEX('Events Summary'!$H:$H,MATCH(AQ$9,'Events Summary'!$C:$C,0)),0)</f>
        <v>0</v>
      </c>
      <c r="AR29" s="84">
        <f t="array" ref="AR29">IFERROR(INDEX('Events Summary'!$H:$H,MATCH(AR$9,'Events Summary'!$C:$C,0)),0)</f>
        <v>7</v>
      </c>
      <c r="AS29" s="84">
        <f t="array" ref="AS29">IFERROR(INDEX('Events Summary'!$H:$H,MATCH(AS$9,'Events Summary'!$C:$C,0)),0)</f>
        <v>13</v>
      </c>
      <c r="AT29" s="84">
        <f t="array" ref="AT29">IFERROR(INDEX('Events Summary'!$H:$H,MATCH(AT$9,'Events Summary'!$C:$C,0)),0)</f>
        <v>10</v>
      </c>
      <c r="AU29" s="84">
        <f t="array" ref="AU29">IFERROR(INDEX('Events Summary'!$H:$H,MATCH(AU$9,'Events Summary'!$C:$C,0)),0)</f>
        <v>2</v>
      </c>
      <c r="AV29" s="84">
        <f t="array" ref="AV29">IFERROR(INDEX('Events Summary'!$H:$H,MATCH(AV$9,'Events Summary'!$C:$C,0)),0)</f>
        <v>2</v>
      </c>
      <c r="AW29" s="84">
        <f t="array" ref="AW29">IFERROR(INDEX('Events Summary'!$H:$H,MATCH(AW$9,'Events Summary'!$C:$C,0)),0)</f>
        <v>4</v>
      </c>
      <c r="AX29" s="84">
        <f t="array" ref="AX29">IFERROR(INDEX('Events Summary'!$H:$H,MATCH(AX$9,'Events Summary'!$C:$C,0)),0)</f>
        <v>4</v>
      </c>
      <c r="AY29" s="84">
        <f t="array" ref="AY29">IFERROR(INDEX('Events Summary'!$H:$H,MATCH(AY$9,'Events Summary'!$C:$C,0)),0)</f>
        <v>1</v>
      </c>
      <c r="AZ29" s="84">
        <f t="array" ref="AZ29">IFERROR(INDEX('Events Summary'!$H:$H,MATCH(AZ$9,'Events Summary'!$C:$C,0)),0)</f>
        <v>0</v>
      </c>
      <c r="BA29" s="84">
        <f t="array" ref="BA29">IFERROR(INDEX('Events Summary'!$H:$H,MATCH(BA$9,'Events Summary'!$C:$C,0)),0)</f>
        <v>0</v>
      </c>
      <c r="BB29" s="84">
        <f t="array" ref="BB29">IFERROR(INDEX('Events Summary'!$H:$H,MATCH(BB$9,'Events Summary'!$C:$C,0)),0)</f>
        <v>0</v>
      </c>
      <c r="BC29" s="84">
        <f t="array" ref="BC29">IFERROR(INDEX('Events Summary'!$H:$H,MATCH(BC$9,'Events Summary'!$C:$C,0)),0)</f>
        <v>0</v>
      </c>
      <c r="BD29" s="84">
        <f t="array" ref="BD29">IFERROR(INDEX('Events Summary'!$H:$H,MATCH(BD$9,'Events Summary'!$C:$C,0)),0)</f>
        <v>0</v>
      </c>
      <c r="BE29" s="84">
        <f t="array" ref="BE29">IFERROR(INDEX('Events Summary'!$H:$H,MATCH(BE$9,'Events Summary'!$C:$C,0)),0)</f>
        <v>0</v>
      </c>
      <c r="BF29" s="84">
        <f t="array" ref="BF29">IFERROR(INDEX('Events Summary'!$H:$H,MATCH(BF$9,'Events Summary'!$C:$C,0)),0)</f>
        <v>0</v>
      </c>
      <c r="BG29" s="84">
        <f t="array" ref="BG29">IFERROR(INDEX('Events Summary'!$H:$H,MATCH(BG$9,'Events Summary'!$C:$C,0)),0)</f>
        <v>0</v>
      </c>
      <c r="BH29" s="84">
        <f t="array" ref="BH29">IFERROR(INDEX('Events Summary'!$H:$H,MATCH(BH$9,'Events Summary'!$C:$C,0)),0)</f>
        <v>0</v>
      </c>
      <c r="BI29" s="84">
        <f t="array" ref="BI29">IFERROR(INDEX('Events Summary'!$H:$H,MATCH(BI$9,'Events Summary'!$C:$C,0)),0)</f>
        <v>0</v>
      </c>
      <c r="BJ29" s="84">
        <f t="array" ref="BJ29">IFERROR(INDEX('Events Summary'!$H:$H,MATCH(BJ$9,'Events Summary'!$C:$C,0)),0)</f>
        <v>0</v>
      </c>
      <c r="BK29" s="84">
        <f t="array" ref="BK29">IFERROR(INDEX('Events Summary'!$H:$H,MATCH(BK$9,'Events Summary'!$C:$C,0)),0)</f>
        <v>0</v>
      </c>
      <c r="BL29" s="84">
        <f t="array" ref="BL29">IFERROR(INDEX('Events Summary'!$H:$H,MATCH(BL$9,'Events Summary'!$C:$C,0)),0)</f>
        <v>0</v>
      </c>
      <c r="BM29" s="84">
        <f t="array" ref="BM29">IFERROR(INDEX('Events Summary'!$H:$H,MATCH(BM$9,'Events Summary'!$C:$C,0)),0)</f>
        <v>0</v>
      </c>
      <c r="BN29" s="84">
        <f t="array" ref="BN29">IFERROR(INDEX('Events Summary'!$H:$H,MATCH(BN$9,'Events Summary'!$C:$C,0)),0)</f>
        <v>0</v>
      </c>
      <c r="BO29" s="84">
        <f t="array" ref="BO29">IFERROR(INDEX('Events Summary'!$H:$H,MATCH(BO$9,'Events Summary'!$C:$C,0)),0)</f>
        <v>0</v>
      </c>
      <c r="BP29" s="84">
        <f t="array" ref="BP29">IFERROR(INDEX('Events Summary'!$H:$H,MATCH(BP$9,'Events Summary'!$C:$C,0)),0)</f>
        <v>0</v>
      </c>
      <c r="BQ29" s="85">
        <f t="array" ref="BQ29">IFERROR(INDEX('Events Summary'!$H:$H,MATCH(BQ$9,'Events Summary'!$C:$C,0)),0)</f>
        <v>0</v>
      </c>
      <c r="BR29" s="84"/>
      <c r="BS29" s="84">
        <f t="array" ref="BS29">IFERROR(INDEX('Events Summary'!$H:$H,MATCH(BS$9,'Events Summary'!$C:$C,0)),0)</f>
        <v>0</v>
      </c>
      <c r="BT29" s="84">
        <f t="array" ref="BT29">IFERROR(INDEX('Events Summary'!$H:$H,MATCH(BT$9,'Events Summary'!$C:$C,0)),0)</f>
        <v>0</v>
      </c>
      <c r="BU29" s="84">
        <f t="array" ref="BU29">IFERROR(INDEX('Events Summary'!$H:$H,MATCH(BU$9,'Events Summary'!$C:$C,0)),0)</f>
        <v>0</v>
      </c>
      <c r="BV29" s="84">
        <f t="array" ref="BV29">IFERROR(INDEX('Events Summary'!$H:$H,MATCH(BV$9,'Events Summary'!$C:$C,0)),0)</f>
        <v>0</v>
      </c>
      <c r="BW29" s="84">
        <f t="array" ref="BW29">IFERROR(INDEX('Events Summary'!$H:$H,MATCH(BW$9,'Events Summary'!$C:$C,0)),0)</f>
        <v>0</v>
      </c>
      <c r="BX29" s="84">
        <f t="array" ref="BX29">IFERROR(INDEX('Events Summary'!$H:$H,MATCH(BX$9,'Events Summary'!$C:$C,0)),0)</f>
        <v>0</v>
      </c>
      <c r="BY29" s="84">
        <f t="array" ref="BY29">IFERROR(INDEX('Events Summary'!$H:$H,MATCH(BY$9,'Events Summary'!$C:$C,0)),0)</f>
        <v>0</v>
      </c>
      <c r="CA29" s="84">
        <f>'Revenue Analysis - Chapel'!D11</f>
        <v>99</v>
      </c>
      <c r="CB29" s="84">
        <f>'Revenue Analysis - Chapel'!E11</f>
        <v>86</v>
      </c>
      <c r="CC29" s="84">
        <f>'Revenue Analysis - Chapel'!F11</f>
        <v>91</v>
      </c>
      <c r="CD29" s="84">
        <f>'Revenue Analysis - Chapel'!G11</f>
        <v>87</v>
      </c>
      <c r="CE29" s="84">
        <f>'Revenue Analysis - Chapel'!H11</f>
        <v>23</v>
      </c>
      <c r="CF29" s="84">
        <f>'Revenue Analysis - Chapel'!I11</f>
        <v>0</v>
      </c>
      <c r="CH29" s="512"/>
      <c r="CI29" s="512"/>
      <c r="CJ29" s="512"/>
      <c r="CL29" s="98"/>
      <c r="CN29" s="98"/>
      <c r="CO29" s="98"/>
      <c r="CQ29" s="71"/>
      <c r="CR29" s="71"/>
      <c r="CU29" s="25">
        <f t="shared" ref="CU29:CX29" si="55">SUMIFS($D29:$BZ29,$D$1:$BZ$1,CU$9)</f>
        <v>98</v>
      </c>
      <c r="CV29" s="25">
        <f t="shared" si="55"/>
        <v>43</v>
      </c>
      <c r="CW29" s="25">
        <f t="shared" si="55"/>
        <v>0</v>
      </c>
      <c r="CX29" s="25">
        <f t="shared" si="55"/>
        <v>0</v>
      </c>
    </row>
    <row r="30" spans="1:117" ht="15.75" customHeight="1">
      <c r="C30" s="8" t="s">
        <v>103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26"/>
      <c r="AH30" s="106"/>
      <c r="AI30" s="106"/>
      <c r="AJ30" s="106"/>
      <c r="AK30" s="106"/>
      <c r="AL30" s="106"/>
      <c r="AM30" s="107"/>
      <c r="AN30" s="25">
        <f t="shared" ref="AN30:BQ30" si="56">AN31-AN29</f>
        <v>1</v>
      </c>
      <c r="AO30" s="25">
        <f t="shared" si="56"/>
        <v>0</v>
      </c>
      <c r="AP30" s="25">
        <f t="shared" si="56"/>
        <v>0</v>
      </c>
      <c r="AQ30" s="25">
        <f t="shared" si="56"/>
        <v>4</v>
      </c>
      <c r="AR30" s="25">
        <f t="shared" si="56"/>
        <v>5</v>
      </c>
      <c r="AS30" s="25">
        <f t="shared" si="56"/>
        <v>3</v>
      </c>
      <c r="AT30" s="25">
        <f t="shared" si="56"/>
        <v>1</v>
      </c>
      <c r="AU30" s="25">
        <f t="shared" si="56"/>
        <v>4</v>
      </c>
      <c r="AV30" s="25">
        <f t="shared" si="56"/>
        <v>8</v>
      </c>
      <c r="AW30" s="25">
        <f t="shared" si="56"/>
        <v>9</v>
      </c>
      <c r="AX30" s="25">
        <f t="shared" si="56"/>
        <v>11</v>
      </c>
      <c r="AY30" s="25">
        <f t="shared" si="56"/>
        <v>8</v>
      </c>
      <c r="AZ30" s="25">
        <f t="shared" si="56"/>
        <v>4</v>
      </c>
      <c r="BA30" s="25">
        <f t="shared" si="56"/>
        <v>0</v>
      </c>
      <c r="BB30" s="25">
        <f t="shared" si="56"/>
        <v>0</v>
      </c>
      <c r="BC30" s="25">
        <f t="shared" si="56"/>
        <v>5</v>
      </c>
      <c r="BD30" s="25">
        <f t="shared" si="56"/>
        <v>12</v>
      </c>
      <c r="BE30" s="25">
        <f t="shared" si="56"/>
        <v>15</v>
      </c>
      <c r="BF30" s="25">
        <f t="shared" si="56"/>
        <v>11</v>
      </c>
      <c r="BG30" s="25">
        <f t="shared" si="56"/>
        <v>6</v>
      </c>
      <c r="BH30" s="25">
        <f t="shared" si="56"/>
        <v>10</v>
      </c>
      <c r="BI30" s="25">
        <f t="shared" si="56"/>
        <v>13</v>
      </c>
      <c r="BJ30" s="25">
        <f t="shared" si="56"/>
        <v>15</v>
      </c>
      <c r="BK30" s="25">
        <f t="shared" si="56"/>
        <v>9</v>
      </c>
      <c r="BL30" s="25">
        <f t="shared" si="56"/>
        <v>4</v>
      </c>
      <c r="BM30" s="25">
        <f t="shared" si="56"/>
        <v>0</v>
      </c>
      <c r="BN30" s="25">
        <f t="shared" si="56"/>
        <v>0</v>
      </c>
      <c r="BO30" s="25">
        <f t="shared" si="56"/>
        <v>5</v>
      </c>
      <c r="BP30" s="25">
        <f t="shared" si="56"/>
        <v>12</v>
      </c>
      <c r="BQ30" s="96">
        <f t="shared" si="56"/>
        <v>15</v>
      </c>
      <c r="BR30" s="25"/>
      <c r="BS30" s="25">
        <f t="shared" ref="BS30:BY30" si="57">BS31-BS29</f>
        <v>11</v>
      </c>
      <c r="BT30" s="25">
        <f t="shared" si="57"/>
        <v>6</v>
      </c>
      <c r="BU30" s="25">
        <f t="shared" si="57"/>
        <v>10</v>
      </c>
      <c r="BV30" s="25">
        <f t="shared" si="57"/>
        <v>13</v>
      </c>
      <c r="BW30" s="25">
        <f t="shared" si="57"/>
        <v>15</v>
      </c>
      <c r="BX30" s="25">
        <f t="shared" si="57"/>
        <v>9</v>
      </c>
      <c r="BY30" s="25">
        <f t="shared" si="57"/>
        <v>4</v>
      </c>
      <c r="CA30" s="106"/>
      <c r="CB30" s="106"/>
      <c r="CC30" s="106"/>
      <c r="CD30" s="84">
        <f>'Revenue Analysis - Chapel'!G12</f>
        <v>13</v>
      </c>
      <c r="CE30" s="84">
        <f>'Revenue Analysis - Chapel'!H12</f>
        <v>77</v>
      </c>
      <c r="CF30" s="84">
        <f>'Revenue Analysis - Chapel'!I12</f>
        <v>100</v>
      </c>
      <c r="CH30" s="512"/>
      <c r="CI30" s="512"/>
      <c r="CJ30" s="512"/>
      <c r="CL30" s="98"/>
      <c r="CN30" s="98"/>
      <c r="CO30" s="98"/>
      <c r="CQ30" s="71"/>
      <c r="CR30" s="71"/>
      <c r="CU30" s="25">
        <f t="shared" ref="CU30:CX30" si="58">SUMIFS($D30:$BZ30,$D$1:$BZ$1,CU$9)</f>
        <v>1</v>
      </c>
      <c r="CV30" s="25">
        <f t="shared" si="58"/>
        <v>57</v>
      </c>
      <c r="CW30" s="25">
        <f t="shared" si="58"/>
        <v>100</v>
      </c>
      <c r="CX30" s="25">
        <f t="shared" si="58"/>
        <v>100</v>
      </c>
    </row>
    <row r="31" spans="1:117" ht="15.75" customHeight="1">
      <c r="C31" s="76" t="s">
        <v>104</v>
      </c>
      <c r="D31" s="80">
        <f t="shared" ref="D31:AF31" si="59">SUM(D29:D30)</f>
        <v>0</v>
      </c>
      <c r="E31" s="80">
        <f t="shared" si="59"/>
        <v>0</v>
      </c>
      <c r="F31" s="80">
        <f t="shared" si="59"/>
        <v>0</v>
      </c>
      <c r="G31" s="80">
        <f t="shared" si="59"/>
        <v>12</v>
      </c>
      <c r="H31" s="80">
        <f t="shared" si="59"/>
        <v>12</v>
      </c>
      <c r="I31" s="80">
        <f t="shared" si="59"/>
        <v>13</v>
      </c>
      <c r="J31" s="80">
        <f t="shared" si="59"/>
        <v>7</v>
      </c>
      <c r="K31" s="80">
        <f t="shared" si="59"/>
        <v>13</v>
      </c>
      <c r="L31" s="80">
        <f t="shared" si="59"/>
        <v>12</v>
      </c>
      <c r="M31" s="80">
        <f t="shared" si="59"/>
        <v>11</v>
      </c>
      <c r="N31" s="80">
        <f t="shared" si="59"/>
        <v>12</v>
      </c>
      <c r="O31" s="80">
        <f t="shared" si="59"/>
        <v>7</v>
      </c>
      <c r="P31" s="80">
        <f t="shared" si="59"/>
        <v>0</v>
      </c>
      <c r="Q31" s="80">
        <f t="shared" si="59"/>
        <v>0</v>
      </c>
      <c r="R31" s="80">
        <f t="shared" si="59"/>
        <v>0</v>
      </c>
      <c r="S31" s="80">
        <f t="shared" si="59"/>
        <v>11</v>
      </c>
      <c r="T31" s="80">
        <f t="shared" si="59"/>
        <v>13</v>
      </c>
      <c r="U31" s="80">
        <f t="shared" si="59"/>
        <v>11</v>
      </c>
      <c r="V31" s="80">
        <f t="shared" si="59"/>
        <v>8</v>
      </c>
      <c r="W31" s="80">
        <f t="shared" si="59"/>
        <v>10</v>
      </c>
      <c r="X31" s="80">
        <f t="shared" si="59"/>
        <v>11</v>
      </c>
      <c r="Y31" s="80">
        <f t="shared" si="59"/>
        <v>13</v>
      </c>
      <c r="Z31" s="80">
        <f t="shared" si="59"/>
        <v>7</v>
      </c>
      <c r="AA31" s="80">
        <f t="shared" si="59"/>
        <v>2</v>
      </c>
      <c r="AB31" s="80">
        <f t="shared" si="59"/>
        <v>0</v>
      </c>
      <c r="AC31" s="80">
        <f t="shared" si="59"/>
        <v>0</v>
      </c>
      <c r="AD31" s="80">
        <f t="shared" si="59"/>
        <v>4</v>
      </c>
      <c r="AE31" s="80">
        <f t="shared" si="59"/>
        <v>12</v>
      </c>
      <c r="AF31" s="80">
        <f t="shared" si="59"/>
        <v>15</v>
      </c>
      <c r="AG31" s="79"/>
      <c r="AH31" s="80">
        <f t="shared" ref="AH31:AM31" si="60">AH29</f>
        <v>10</v>
      </c>
      <c r="AI31" s="80">
        <f t="shared" si="60"/>
        <v>9</v>
      </c>
      <c r="AJ31" s="80">
        <f t="shared" si="60"/>
        <v>12</v>
      </c>
      <c r="AK31" s="80">
        <f t="shared" si="60"/>
        <v>11</v>
      </c>
      <c r="AL31" s="80">
        <f t="shared" si="60"/>
        <v>13</v>
      </c>
      <c r="AM31" s="81">
        <f t="shared" si="60"/>
        <v>10</v>
      </c>
      <c r="AN31" s="80">
        <f t="shared" ref="AN31:AS31" si="61">ROUND(($CD$31-SUM($AH$31:$AM$31))*(AA$33/SUM($AA$33:$AF$33)),0)</f>
        <v>3</v>
      </c>
      <c r="AO31" s="80">
        <f t="shared" si="61"/>
        <v>0</v>
      </c>
      <c r="AP31" s="80">
        <f t="shared" si="61"/>
        <v>0</v>
      </c>
      <c r="AQ31" s="80">
        <f t="shared" si="61"/>
        <v>4</v>
      </c>
      <c r="AR31" s="80">
        <f t="shared" si="61"/>
        <v>12</v>
      </c>
      <c r="AS31" s="81">
        <f t="shared" si="61"/>
        <v>16</v>
      </c>
      <c r="AT31" s="80">
        <f t="array" ref="AT31">ROUND(INDEX('Events Summary'!$AF:$AF,MATCH(AT$2,'Events Summary'!$AE:$AE,0))*SUMIFS($CD31:$CF31,$CD$2:$CF$2,AT$3),0)</f>
        <v>11</v>
      </c>
      <c r="AU31" s="80">
        <f t="array" ref="AU31">ROUND(INDEX('Events Summary'!$AF:$AF,MATCH(AU$2,'Events Summary'!$AE:$AE,0))*SUMIFS($CD31:$CF31,$CD$2:$CF$2,AU$3),0)</f>
        <v>6</v>
      </c>
      <c r="AV31" s="80">
        <f t="array" ref="AV31">ROUND(INDEX('Events Summary'!$AF:$AF,MATCH(AV$2,'Events Summary'!$AE:$AE,0))*SUMIFS($CD31:$CF31,$CD$2:$CF$2,AV$3),0)</f>
        <v>10</v>
      </c>
      <c r="AW31" s="80">
        <f t="array" ref="AW31">ROUND(INDEX('Events Summary'!$AF:$AF,MATCH(AW$2,'Events Summary'!$AE:$AE,0))*SUMIFS($CD31:$CF31,$CD$2:$CF$2,AW$3),0)</f>
        <v>13</v>
      </c>
      <c r="AX31" s="80">
        <f t="array" ref="AX31">ROUND(INDEX('Events Summary'!$AF:$AF,MATCH(AX$2,'Events Summary'!$AE:$AE,0))*SUMIFS($CD31:$CF31,$CD$2:$CF$2,AX$3),0)</f>
        <v>15</v>
      </c>
      <c r="AY31" s="80">
        <f t="array" ref="AY31">ROUND(INDEX('Events Summary'!$AF:$AF,MATCH(AY$2,'Events Summary'!$AE:$AE,0))*SUMIFS($CD31:$CF31,$CD$2:$CF$2,AY$3),0)</f>
        <v>9</v>
      </c>
      <c r="AZ31" s="80">
        <f t="array" ref="AZ31">ROUND(INDEX('Events Summary'!$AF:$AF,MATCH(AZ$2,'Events Summary'!$AE:$AE,0))*SUMIFS($CD31:$CF31,$CD$2:$CF$2,AZ$3),0)</f>
        <v>4</v>
      </c>
      <c r="BA31" s="80">
        <f t="array" ref="BA31">ROUND(INDEX('Events Summary'!$AF:$AF,MATCH(BA$2,'Events Summary'!$AE:$AE,0))*SUMIFS($CD31:$CF31,$CD$2:$CF$2,BA$3),0)</f>
        <v>0</v>
      </c>
      <c r="BB31" s="80">
        <f t="array" ref="BB31">ROUND(INDEX('Events Summary'!$AF:$AF,MATCH(BB$2,'Events Summary'!$AE:$AE,0))*SUMIFS($CD31:$CF31,$CD$2:$CF$2,BB$3),0)</f>
        <v>0</v>
      </c>
      <c r="BC31" s="80">
        <f t="array" ref="BC31">ROUND(INDEX('Events Summary'!$AF:$AF,MATCH(BC$2,'Events Summary'!$AE:$AE,0))*SUMIFS($CD31:$CF31,$CD$2:$CF$2,BC$3),0)</f>
        <v>5</v>
      </c>
      <c r="BD31" s="80">
        <f t="array" ref="BD31">ROUND(INDEX('Events Summary'!$AF:$AF,MATCH(BD$2,'Events Summary'!$AE:$AE,0))*SUMIFS($CD31:$CF31,$CD$2:$CF$2,BD$3),0)</f>
        <v>12</v>
      </c>
      <c r="BE31" s="80">
        <f t="array" ref="BE31">ROUND(INDEX('Events Summary'!$AF:$AF,MATCH(BE$2,'Events Summary'!$AE:$AE,0))*SUMIFS($CD31:$CF31,$CD$2:$CF$2,BE$3),0)</f>
        <v>15</v>
      </c>
      <c r="BF31" s="80">
        <f t="array" ref="BF31">ROUND(INDEX('Events Summary'!$AF:$AF,MATCH(BF$2,'Events Summary'!$AE:$AE,0))*SUMIFS($CD31:$CF31,$CD$2:$CF$2,BF$3),0)</f>
        <v>11</v>
      </c>
      <c r="BG31" s="80">
        <f t="array" ref="BG31">ROUND(INDEX('Events Summary'!$AF:$AF,MATCH(BG$2,'Events Summary'!$AE:$AE,0))*SUMIFS($CD31:$CF31,$CD$2:$CF$2,BG$3),0)</f>
        <v>6</v>
      </c>
      <c r="BH31" s="80">
        <f t="array" ref="BH31">ROUND(INDEX('Events Summary'!$AF:$AF,MATCH(BH$2,'Events Summary'!$AE:$AE,0))*SUMIFS($CD31:$CF31,$CD$2:$CF$2,BH$3),0)</f>
        <v>10</v>
      </c>
      <c r="BI31" s="80">
        <f t="array" ref="BI31">ROUND(INDEX('Events Summary'!$AF:$AF,MATCH(BI$2,'Events Summary'!$AE:$AE,0))*SUMIFS($CD31:$CF31,$CD$2:$CF$2,BI$3),0)</f>
        <v>13</v>
      </c>
      <c r="BJ31" s="80">
        <f t="array" ref="BJ31">ROUND(INDEX('Events Summary'!$AF:$AF,MATCH(BJ$2,'Events Summary'!$AE:$AE,0))*SUMIFS($CD31:$CF31,$CD$2:$CF$2,BJ$3),0)</f>
        <v>15</v>
      </c>
      <c r="BK31" s="80">
        <f t="array" ref="BK31">ROUND(INDEX('Events Summary'!$AF:$AF,MATCH(BK$2,'Events Summary'!$AE:$AE,0))*SUMIFS($CD31:$CF31,$CD$2:$CF$2,BK$3),0)</f>
        <v>9</v>
      </c>
      <c r="BL31" s="80">
        <f t="array" ref="BL31">ROUND(INDEX('Events Summary'!$AF:$AF,MATCH(BL$2,'Events Summary'!$AE:$AE,0))*SUMIFS($CD31:$CF31,$CD$2:$CF$2,BL$3),0)</f>
        <v>4</v>
      </c>
      <c r="BM31" s="80">
        <f t="array" ref="BM31">ROUND(INDEX('Events Summary'!$AF:$AF,MATCH(BM$2,'Events Summary'!$AE:$AE,0))*SUMIFS($CD31:$CF31,$CD$2:$CF$2,BM$3),0)</f>
        <v>0</v>
      </c>
      <c r="BN31" s="80">
        <f t="array" ref="BN31">ROUND(INDEX('Events Summary'!$AF:$AF,MATCH(BN$2,'Events Summary'!$AE:$AE,0))*SUMIFS($CD31:$CF31,$CD$2:$CF$2,BN$3),0)</f>
        <v>0</v>
      </c>
      <c r="BO31" s="80">
        <f t="array" ref="BO31">ROUND(INDEX('Events Summary'!$AF:$AF,MATCH(BO$2,'Events Summary'!$AE:$AE,0))*SUMIFS($CD31:$CF31,$CD$2:$CF$2,BO$3),0)</f>
        <v>5</v>
      </c>
      <c r="BP31" s="80">
        <f t="array" ref="BP31">ROUND(INDEX('Events Summary'!$AF:$AF,MATCH(BP$2,'Events Summary'!$AE:$AE,0))*SUMIFS($CD31:$CF31,$CD$2:$CF$2,BP$3),0)</f>
        <v>12</v>
      </c>
      <c r="BQ31" s="81">
        <f t="array" ref="BQ31">ROUND(INDEX('Events Summary'!$AF:$AF,MATCH(BQ$2,'Events Summary'!$AE:$AE,0))*SUMIFS($CD31:$CF31,$CD$2:$CF$2,BQ$3),0)</f>
        <v>15</v>
      </c>
      <c r="BR31" s="80"/>
      <c r="BS31" s="80">
        <f t="shared" ref="BS31:BY31" si="62">BF31</f>
        <v>11</v>
      </c>
      <c r="BT31" s="80">
        <f t="shared" si="62"/>
        <v>6</v>
      </c>
      <c r="BU31" s="80">
        <f t="shared" si="62"/>
        <v>10</v>
      </c>
      <c r="BV31" s="80">
        <f t="shared" si="62"/>
        <v>13</v>
      </c>
      <c r="BW31" s="80">
        <f t="shared" si="62"/>
        <v>15</v>
      </c>
      <c r="BX31" s="80">
        <f t="shared" si="62"/>
        <v>9</v>
      </c>
      <c r="BY31" s="80">
        <f t="shared" si="62"/>
        <v>4</v>
      </c>
      <c r="CA31" s="80">
        <f t="shared" ref="CA31:CF31" si="63">SUM(CA29:CA30)</f>
        <v>99</v>
      </c>
      <c r="CB31" s="80">
        <f t="shared" si="63"/>
        <v>86</v>
      </c>
      <c r="CC31" s="80">
        <f t="shared" si="63"/>
        <v>91</v>
      </c>
      <c r="CD31" s="80">
        <f t="shared" si="63"/>
        <v>100</v>
      </c>
      <c r="CE31" s="80">
        <f t="shared" si="63"/>
        <v>100</v>
      </c>
      <c r="CF31" s="80">
        <f t="shared" si="63"/>
        <v>100</v>
      </c>
      <c r="CH31" s="512"/>
      <c r="CI31" s="512"/>
      <c r="CJ31" s="512"/>
      <c r="CL31" s="98"/>
      <c r="CN31" s="98"/>
      <c r="CO31" s="98"/>
      <c r="CQ31" s="71"/>
      <c r="CR31" s="71" t="s">
        <v>105</v>
      </c>
      <c r="CU31" s="80">
        <f t="shared" ref="CU31:CX31" si="64">SUM(CU29:CU30)</f>
        <v>99</v>
      </c>
      <c r="CV31" s="80">
        <f t="shared" si="64"/>
        <v>100</v>
      </c>
      <c r="CW31" s="80">
        <f t="shared" si="64"/>
        <v>100</v>
      </c>
      <c r="CX31" s="80">
        <f t="shared" si="64"/>
        <v>100</v>
      </c>
    </row>
    <row r="32" spans="1:117" ht="15.75" customHeight="1">
      <c r="C32" s="56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26"/>
      <c r="AH32" s="84"/>
      <c r="AI32" s="84"/>
      <c r="AJ32" s="84"/>
      <c r="AK32" s="84"/>
      <c r="AL32" s="84"/>
      <c r="AM32" s="85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5"/>
      <c r="BR32" s="84"/>
      <c r="BS32" s="84"/>
      <c r="BT32" s="84"/>
      <c r="BU32" s="84"/>
      <c r="BV32" s="84"/>
      <c r="BW32" s="84"/>
      <c r="BX32" s="84"/>
      <c r="BY32" s="84"/>
      <c r="CA32" s="86"/>
      <c r="CB32" s="86"/>
      <c r="CC32" s="86"/>
      <c r="CD32" s="86"/>
      <c r="CE32" s="86"/>
      <c r="CF32" s="86"/>
      <c r="CH32" s="98"/>
      <c r="CI32" s="98"/>
      <c r="CJ32" s="98"/>
      <c r="CL32" s="98"/>
      <c r="CN32" s="98"/>
      <c r="CO32" s="98"/>
      <c r="CQ32" s="71"/>
      <c r="CR32" s="71"/>
      <c r="CU32" s="86"/>
      <c r="CV32" s="86"/>
      <c r="CW32" s="86"/>
      <c r="CX32" s="86"/>
    </row>
    <row r="33" spans="3:102" ht="15.75" customHeight="1">
      <c r="C33" s="8" t="s">
        <v>106</v>
      </c>
      <c r="D33" s="25">
        <f t="shared" ref="D33:AF33" si="65">D25+D29</f>
        <v>0</v>
      </c>
      <c r="E33" s="25">
        <f t="shared" si="65"/>
        <v>0</v>
      </c>
      <c r="F33" s="25">
        <f t="shared" si="65"/>
        <v>5</v>
      </c>
      <c r="G33" s="25">
        <f t="shared" si="65"/>
        <v>20</v>
      </c>
      <c r="H33" s="25">
        <f t="shared" si="65"/>
        <v>17</v>
      </c>
      <c r="I33" s="25">
        <f t="shared" si="65"/>
        <v>16</v>
      </c>
      <c r="J33" s="25">
        <f t="shared" si="65"/>
        <v>7</v>
      </c>
      <c r="K33" s="25">
        <f t="shared" si="65"/>
        <v>16</v>
      </c>
      <c r="L33" s="25">
        <f t="shared" si="65"/>
        <v>22</v>
      </c>
      <c r="M33" s="25">
        <f t="shared" si="65"/>
        <v>22</v>
      </c>
      <c r="N33" s="25">
        <f t="shared" si="65"/>
        <v>19</v>
      </c>
      <c r="O33" s="25">
        <f t="shared" si="65"/>
        <v>9</v>
      </c>
      <c r="P33" s="25">
        <f t="shared" si="65"/>
        <v>0</v>
      </c>
      <c r="Q33" s="25">
        <f t="shared" si="65"/>
        <v>0</v>
      </c>
      <c r="R33" s="25">
        <f t="shared" si="65"/>
        <v>8</v>
      </c>
      <c r="S33" s="25">
        <f t="shared" si="65"/>
        <v>15</v>
      </c>
      <c r="T33" s="25">
        <f t="shared" si="65"/>
        <v>24</v>
      </c>
      <c r="U33" s="25">
        <f t="shared" si="65"/>
        <v>16</v>
      </c>
      <c r="V33" s="25">
        <f t="shared" si="65"/>
        <v>9</v>
      </c>
      <c r="W33" s="25">
        <f t="shared" si="65"/>
        <v>12</v>
      </c>
      <c r="X33" s="25">
        <f t="shared" si="65"/>
        <v>16</v>
      </c>
      <c r="Y33" s="25">
        <f t="shared" si="65"/>
        <v>21</v>
      </c>
      <c r="Z33" s="25">
        <f t="shared" si="65"/>
        <v>8</v>
      </c>
      <c r="AA33" s="25">
        <f t="shared" si="65"/>
        <v>4</v>
      </c>
      <c r="AB33" s="25">
        <f t="shared" si="65"/>
        <v>0</v>
      </c>
      <c r="AC33" s="25">
        <f t="shared" si="65"/>
        <v>0</v>
      </c>
      <c r="AD33" s="25">
        <f t="shared" si="65"/>
        <v>5</v>
      </c>
      <c r="AE33" s="25">
        <f t="shared" si="65"/>
        <v>16</v>
      </c>
      <c r="AF33" s="25">
        <f t="shared" si="65"/>
        <v>22</v>
      </c>
      <c r="AG33" s="26"/>
      <c r="AH33" s="25">
        <f t="shared" ref="AH33:BQ33" si="66">AH25+AH29</f>
        <v>12</v>
      </c>
      <c r="AI33" s="25">
        <f t="shared" si="66"/>
        <v>10</v>
      </c>
      <c r="AJ33" s="25">
        <f t="shared" si="66"/>
        <v>15</v>
      </c>
      <c r="AK33" s="25">
        <f t="shared" si="66"/>
        <v>19</v>
      </c>
      <c r="AL33" s="25">
        <f t="shared" si="66"/>
        <v>24</v>
      </c>
      <c r="AM33" s="96">
        <f t="shared" si="66"/>
        <v>12</v>
      </c>
      <c r="AN33" s="25">
        <f t="shared" si="66"/>
        <v>2</v>
      </c>
      <c r="AO33" s="25">
        <f t="shared" si="66"/>
        <v>0</v>
      </c>
      <c r="AP33" s="25">
        <f t="shared" si="66"/>
        <v>0</v>
      </c>
      <c r="AQ33" s="25">
        <f t="shared" si="66"/>
        <v>1</v>
      </c>
      <c r="AR33" s="25">
        <f t="shared" si="66"/>
        <v>9</v>
      </c>
      <c r="AS33" s="25">
        <f t="shared" si="66"/>
        <v>18</v>
      </c>
      <c r="AT33" s="25">
        <f t="shared" si="66"/>
        <v>11</v>
      </c>
      <c r="AU33" s="25">
        <f t="shared" si="66"/>
        <v>2</v>
      </c>
      <c r="AV33" s="25">
        <f t="shared" si="66"/>
        <v>3</v>
      </c>
      <c r="AW33" s="25">
        <f t="shared" si="66"/>
        <v>7</v>
      </c>
      <c r="AX33" s="25">
        <f t="shared" si="66"/>
        <v>5</v>
      </c>
      <c r="AY33" s="25">
        <f t="shared" si="66"/>
        <v>2</v>
      </c>
      <c r="AZ33" s="25">
        <f t="shared" si="66"/>
        <v>0</v>
      </c>
      <c r="BA33" s="25">
        <f t="shared" si="66"/>
        <v>0</v>
      </c>
      <c r="BB33" s="25">
        <f t="shared" si="66"/>
        <v>0</v>
      </c>
      <c r="BC33" s="25">
        <f t="shared" si="66"/>
        <v>0</v>
      </c>
      <c r="BD33" s="25">
        <f t="shared" si="66"/>
        <v>0</v>
      </c>
      <c r="BE33" s="25">
        <f t="shared" si="66"/>
        <v>0</v>
      </c>
      <c r="BF33" s="25">
        <f t="shared" si="66"/>
        <v>0</v>
      </c>
      <c r="BG33" s="25">
        <f t="shared" si="66"/>
        <v>0</v>
      </c>
      <c r="BH33" s="25">
        <f t="shared" si="66"/>
        <v>0</v>
      </c>
      <c r="BI33" s="25">
        <f t="shared" si="66"/>
        <v>0</v>
      </c>
      <c r="BJ33" s="25">
        <f t="shared" si="66"/>
        <v>0</v>
      </c>
      <c r="BK33" s="25">
        <f t="shared" si="66"/>
        <v>0</v>
      </c>
      <c r="BL33" s="25">
        <f t="shared" si="66"/>
        <v>0</v>
      </c>
      <c r="BM33" s="25">
        <f t="shared" si="66"/>
        <v>0</v>
      </c>
      <c r="BN33" s="25">
        <f t="shared" si="66"/>
        <v>0</v>
      </c>
      <c r="BO33" s="25">
        <f t="shared" si="66"/>
        <v>0</v>
      </c>
      <c r="BP33" s="25">
        <f t="shared" si="66"/>
        <v>0</v>
      </c>
      <c r="BQ33" s="96">
        <f t="shared" si="66"/>
        <v>0</v>
      </c>
      <c r="BR33" s="25"/>
      <c r="BS33" s="25">
        <f t="shared" ref="BS33:BY33" si="67">BS25+BS29</f>
        <v>0</v>
      </c>
      <c r="BT33" s="25">
        <f t="shared" si="67"/>
        <v>0</v>
      </c>
      <c r="BU33" s="25">
        <f t="shared" si="67"/>
        <v>0</v>
      </c>
      <c r="BV33" s="25">
        <f t="shared" si="67"/>
        <v>0</v>
      </c>
      <c r="BW33" s="25">
        <f t="shared" si="67"/>
        <v>0</v>
      </c>
      <c r="BX33" s="25">
        <f t="shared" si="67"/>
        <v>0</v>
      </c>
      <c r="BY33" s="25">
        <f t="shared" si="67"/>
        <v>0</v>
      </c>
      <c r="CA33" s="25">
        <f t="shared" ref="CA33:CF33" si="68">CA25+CA29</f>
        <v>153</v>
      </c>
      <c r="CB33" s="25">
        <f t="shared" si="68"/>
        <v>133</v>
      </c>
      <c r="CC33" s="25">
        <f t="shared" si="68"/>
        <v>131</v>
      </c>
      <c r="CD33" s="25">
        <f t="shared" si="68"/>
        <v>122</v>
      </c>
      <c r="CE33" s="25">
        <f t="shared" si="68"/>
        <v>30</v>
      </c>
      <c r="CF33" s="25">
        <f t="shared" si="68"/>
        <v>0</v>
      </c>
      <c r="CH33" s="512"/>
      <c r="CI33" s="512"/>
      <c r="CJ33" s="512"/>
      <c r="CL33" s="98"/>
      <c r="CN33" s="98"/>
      <c r="CO33" s="98"/>
      <c r="CQ33" s="71"/>
      <c r="CR33" s="71"/>
      <c r="CU33" s="25">
        <f t="shared" ref="CU33:CX33" si="69">SUMIFS($D33:$BZ33,$D$1:$BZ$1,CU$9)</f>
        <v>137</v>
      </c>
      <c r="CV33" s="25">
        <f t="shared" si="69"/>
        <v>58</v>
      </c>
      <c r="CW33" s="25">
        <f t="shared" si="69"/>
        <v>0</v>
      </c>
      <c r="CX33" s="25">
        <f t="shared" si="69"/>
        <v>0</v>
      </c>
    </row>
    <row r="34" spans="3:102" ht="15.75" customHeight="1">
      <c r="C34" s="8" t="s">
        <v>107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26"/>
      <c r="AH34" s="25">
        <f t="shared" ref="AH34:BQ34" si="70">AH26+AH30</f>
        <v>0</v>
      </c>
      <c r="AI34" s="25">
        <f t="shared" si="70"/>
        <v>0</v>
      </c>
      <c r="AJ34" s="25">
        <f t="shared" si="70"/>
        <v>0</v>
      </c>
      <c r="AK34" s="25">
        <f t="shared" si="70"/>
        <v>0</v>
      </c>
      <c r="AL34" s="25">
        <f t="shared" si="70"/>
        <v>0</v>
      </c>
      <c r="AM34" s="96">
        <f t="shared" si="70"/>
        <v>0</v>
      </c>
      <c r="AN34" s="25">
        <f t="shared" si="70"/>
        <v>3</v>
      </c>
      <c r="AO34" s="25">
        <f t="shared" si="70"/>
        <v>0</v>
      </c>
      <c r="AP34" s="25">
        <f t="shared" si="70"/>
        <v>0</v>
      </c>
      <c r="AQ34" s="25">
        <f t="shared" si="70"/>
        <v>5</v>
      </c>
      <c r="AR34" s="25">
        <f t="shared" si="70"/>
        <v>11</v>
      </c>
      <c r="AS34" s="25">
        <f t="shared" si="70"/>
        <v>9</v>
      </c>
      <c r="AT34" s="25">
        <f t="shared" si="70"/>
        <v>7</v>
      </c>
      <c r="AU34" s="25">
        <f t="shared" si="70"/>
        <v>8</v>
      </c>
      <c r="AV34" s="25">
        <f t="shared" si="70"/>
        <v>13</v>
      </c>
      <c r="AW34" s="25">
        <f t="shared" si="70"/>
        <v>14</v>
      </c>
      <c r="AX34" s="25">
        <f t="shared" si="70"/>
        <v>19</v>
      </c>
      <c r="AY34" s="25">
        <f t="shared" si="70"/>
        <v>12</v>
      </c>
      <c r="AZ34" s="25">
        <f t="shared" si="70"/>
        <v>6</v>
      </c>
      <c r="BA34" s="25">
        <f t="shared" si="70"/>
        <v>0</v>
      </c>
      <c r="BB34" s="25">
        <f t="shared" si="70"/>
        <v>0</v>
      </c>
      <c r="BC34" s="25">
        <f t="shared" si="70"/>
        <v>8</v>
      </c>
      <c r="BD34" s="25">
        <f t="shared" si="70"/>
        <v>19</v>
      </c>
      <c r="BE34" s="25">
        <f t="shared" si="70"/>
        <v>24</v>
      </c>
      <c r="BF34" s="25">
        <f t="shared" si="70"/>
        <v>19</v>
      </c>
      <c r="BG34" s="25">
        <f t="shared" si="70"/>
        <v>10</v>
      </c>
      <c r="BH34" s="25">
        <f t="shared" si="70"/>
        <v>17</v>
      </c>
      <c r="BI34" s="25">
        <f t="shared" si="70"/>
        <v>22</v>
      </c>
      <c r="BJ34" s="25">
        <f t="shared" si="70"/>
        <v>26</v>
      </c>
      <c r="BK34" s="25">
        <f t="shared" si="70"/>
        <v>15</v>
      </c>
      <c r="BL34" s="25">
        <f t="shared" si="70"/>
        <v>6</v>
      </c>
      <c r="BM34" s="25">
        <f t="shared" si="70"/>
        <v>0</v>
      </c>
      <c r="BN34" s="25">
        <f t="shared" si="70"/>
        <v>0</v>
      </c>
      <c r="BO34" s="25">
        <f t="shared" si="70"/>
        <v>9</v>
      </c>
      <c r="BP34" s="25">
        <f t="shared" si="70"/>
        <v>20</v>
      </c>
      <c r="BQ34" s="96">
        <f t="shared" si="70"/>
        <v>26</v>
      </c>
      <c r="BR34" s="25"/>
      <c r="BS34" s="25">
        <f t="shared" ref="BS34:BY34" si="71">BS26+BS30</f>
        <v>19</v>
      </c>
      <c r="BT34" s="25">
        <f t="shared" si="71"/>
        <v>10</v>
      </c>
      <c r="BU34" s="25">
        <f t="shared" si="71"/>
        <v>17</v>
      </c>
      <c r="BV34" s="25">
        <f t="shared" si="71"/>
        <v>22</v>
      </c>
      <c r="BW34" s="25">
        <f t="shared" si="71"/>
        <v>26</v>
      </c>
      <c r="BX34" s="25">
        <f t="shared" si="71"/>
        <v>15</v>
      </c>
      <c r="BY34" s="25">
        <f t="shared" si="71"/>
        <v>6</v>
      </c>
      <c r="CA34" s="25">
        <f t="shared" ref="CA34:CF34" si="72">CA26+CA30</f>
        <v>0</v>
      </c>
      <c r="CB34" s="25">
        <f t="shared" si="72"/>
        <v>0</v>
      </c>
      <c r="CC34" s="25">
        <f t="shared" si="72"/>
        <v>0</v>
      </c>
      <c r="CD34" s="25">
        <f t="shared" si="72"/>
        <v>28</v>
      </c>
      <c r="CE34" s="25">
        <f t="shared" si="72"/>
        <v>130</v>
      </c>
      <c r="CF34" s="25">
        <f t="shared" si="72"/>
        <v>170</v>
      </c>
      <c r="CH34" s="512"/>
      <c r="CI34" s="512"/>
      <c r="CJ34" s="512"/>
      <c r="CL34" s="98"/>
      <c r="CN34" s="98"/>
      <c r="CO34" s="98"/>
      <c r="CQ34" s="71"/>
      <c r="CR34" s="71"/>
      <c r="CU34" s="25">
        <f t="shared" ref="CU34:CX34" si="73">SUMIFS($D34:$BZ34,$D$1:$BZ$1,CU$9)</f>
        <v>3</v>
      </c>
      <c r="CV34" s="25">
        <f t="shared" si="73"/>
        <v>104</v>
      </c>
      <c r="CW34" s="25">
        <f t="shared" si="73"/>
        <v>166</v>
      </c>
      <c r="CX34" s="25">
        <f t="shared" si="73"/>
        <v>170</v>
      </c>
    </row>
    <row r="35" spans="3:102" ht="15.75" customHeight="1">
      <c r="C35" s="109" t="s">
        <v>31</v>
      </c>
      <c r="D35" s="110">
        <f t="shared" ref="D35:AF35" si="74">SUM(D33:D34)</f>
        <v>0</v>
      </c>
      <c r="E35" s="110">
        <f t="shared" si="74"/>
        <v>0</v>
      </c>
      <c r="F35" s="110">
        <f t="shared" si="74"/>
        <v>5</v>
      </c>
      <c r="G35" s="110">
        <f t="shared" si="74"/>
        <v>20</v>
      </c>
      <c r="H35" s="110">
        <f t="shared" si="74"/>
        <v>17</v>
      </c>
      <c r="I35" s="110">
        <f t="shared" si="74"/>
        <v>16</v>
      </c>
      <c r="J35" s="110">
        <f t="shared" si="74"/>
        <v>7</v>
      </c>
      <c r="K35" s="110">
        <f t="shared" si="74"/>
        <v>16</v>
      </c>
      <c r="L35" s="110">
        <f t="shared" si="74"/>
        <v>22</v>
      </c>
      <c r="M35" s="110">
        <f t="shared" si="74"/>
        <v>22</v>
      </c>
      <c r="N35" s="110">
        <f t="shared" si="74"/>
        <v>19</v>
      </c>
      <c r="O35" s="110">
        <f t="shared" si="74"/>
        <v>9</v>
      </c>
      <c r="P35" s="110">
        <f t="shared" si="74"/>
        <v>0</v>
      </c>
      <c r="Q35" s="110">
        <f t="shared" si="74"/>
        <v>0</v>
      </c>
      <c r="R35" s="110">
        <f t="shared" si="74"/>
        <v>8</v>
      </c>
      <c r="S35" s="110">
        <f t="shared" si="74"/>
        <v>15</v>
      </c>
      <c r="T35" s="110">
        <f t="shared" si="74"/>
        <v>24</v>
      </c>
      <c r="U35" s="110">
        <f t="shared" si="74"/>
        <v>16</v>
      </c>
      <c r="V35" s="110">
        <f t="shared" si="74"/>
        <v>9</v>
      </c>
      <c r="W35" s="110">
        <f t="shared" si="74"/>
        <v>12</v>
      </c>
      <c r="X35" s="110">
        <f t="shared" si="74"/>
        <v>16</v>
      </c>
      <c r="Y35" s="110">
        <f t="shared" si="74"/>
        <v>21</v>
      </c>
      <c r="Z35" s="110">
        <f t="shared" si="74"/>
        <v>8</v>
      </c>
      <c r="AA35" s="110">
        <f t="shared" si="74"/>
        <v>4</v>
      </c>
      <c r="AB35" s="110">
        <f t="shared" si="74"/>
        <v>0</v>
      </c>
      <c r="AC35" s="110">
        <f t="shared" si="74"/>
        <v>0</v>
      </c>
      <c r="AD35" s="110">
        <f t="shared" si="74"/>
        <v>5</v>
      </c>
      <c r="AE35" s="110">
        <f t="shared" si="74"/>
        <v>16</v>
      </c>
      <c r="AF35" s="110">
        <f t="shared" si="74"/>
        <v>22</v>
      </c>
      <c r="AG35" s="26"/>
      <c r="AH35" s="110">
        <f t="shared" ref="AH35:BQ35" si="75">SUM(AH33:AH34)</f>
        <v>12</v>
      </c>
      <c r="AI35" s="110">
        <f t="shared" si="75"/>
        <v>10</v>
      </c>
      <c r="AJ35" s="110">
        <f t="shared" si="75"/>
        <v>15</v>
      </c>
      <c r="AK35" s="110">
        <f t="shared" si="75"/>
        <v>19</v>
      </c>
      <c r="AL35" s="110">
        <f t="shared" si="75"/>
        <v>24</v>
      </c>
      <c r="AM35" s="111">
        <f t="shared" si="75"/>
        <v>12</v>
      </c>
      <c r="AN35" s="110">
        <f t="shared" si="75"/>
        <v>5</v>
      </c>
      <c r="AO35" s="110">
        <f t="shared" si="75"/>
        <v>0</v>
      </c>
      <c r="AP35" s="110">
        <f t="shared" si="75"/>
        <v>0</v>
      </c>
      <c r="AQ35" s="110">
        <f t="shared" si="75"/>
        <v>6</v>
      </c>
      <c r="AR35" s="110">
        <f t="shared" si="75"/>
        <v>20</v>
      </c>
      <c r="AS35" s="110">
        <f t="shared" si="75"/>
        <v>27</v>
      </c>
      <c r="AT35" s="110">
        <f t="shared" si="75"/>
        <v>18</v>
      </c>
      <c r="AU35" s="110">
        <f t="shared" si="75"/>
        <v>10</v>
      </c>
      <c r="AV35" s="110">
        <f t="shared" si="75"/>
        <v>16</v>
      </c>
      <c r="AW35" s="110">
        <f t="shared" si="75"/>
        <v>21</v>
      </c>
      <c r="AX35" s="110">
        <f t="shared" si="75"/>
        <v>24</v>
      </c>
      <c r="AY35" s="110">
        <f t="shared" si="75"/>
        <v>14</v>
      </c>
      <c r="AZ35" s="110">
        <f t="shared" si="75"/>
        <v>6</v>
      </c>
      <c r="BA35" s="110">
        <f t="shared" si="75"/>
        <v>0</v>
      </c>
      <c r="BB35" s="110">
        <f t="shared" si="75"/>
        <v>0</v>
      </c>
      <c r="BC35" s="110">
        <f t="shared" si="75"/>
        <v>8</v>
      </c>
      <c r="BD35" s="110">
        <f t="shared" si="75"/>
        <v>19</v>
      </c>
      <c r="BE35" s="110">
        <f t="shared" si="75"/>
        <v>24</v>
      </c>
      <c r="BF35" s="110">
        <f t="shared" si="75"/>
        <v>19</v>
      </c>
      <c r="BG35" s="110">
        <f t="shared" si="75"/>
        <v>10</v>
      </c>
      <c r="BH35" s="110">
        <f t="shared" si="75"/>
        <v>17</v>
      </c>
      <c r="BI35" s="110">
        <f t="shared" si="75"/>
        <v>22</v>
      </c>
      <c r="BJ35" s="110">
        <f t="shared" si="75"/>
        <v>26</v>
      </c>
      <c r="BK35" s="110">
        <f t="shared" si="75"/>
        <v>15</v>
      </c>
      <c r="BL35" s="110">
        <f t="shared" si="75"/>
        <v>6</v>
      </c>
      <c r="BM35" s="110">
        <f t="shared" si="75"/>
        <v>0</v>
      </c>
      <c r="BN35" s="110">
        <f t="shared" si="75"/>
        <v>0</v>
      </c>
      <c r="BO35" s="110">
        <f t="shared" si="75"/>
        <v>9</v>
      </c>
      <c r="BP35" s="110">
        <f t="shared" si="75"/>
        <v>20</v>
      </c>
      <c r="BQ35" s="111">
        <f t="shared" si="75"/>
        <v>26</v>
      </c>
      <c r="BR35" s="110"/>
      <c r="BS35" s="110">
        <f t="shared" ref="BS35:BY35" si="76">SUM(BS33:BS34)</f>
        <v>19</v>
      </c>
      <c r="BT35" s="110">
        <f t="shared" si="76"/>
        <v>10</v>
      </c>
      <c r="BU35" s="110">
        <f t="shared" si="76"/>
        <v>17</v>
      </c>
      <c r="BV35" s="110">
        <f t="shared" si="76"/>
        <v>22</v>
      </c>
      <c r="BW35" s="110">
        <f t="shared" si="76"/>
        <v>26</v>
      </c>
      <c r="BX35" s="110">
        <f t="shared" si="76"/>
        <v>15</v>
      </c>
      <c r="BY35" s="110">
        <f t="shared" si="76"/>
        <v>6</v>
      </c>
      <c r="CA35" s="110">
        <f t="shared" ref="CA35:CF35" si="77">SUM(CA33:CA34)</f>
        <v>153</v>
      </c>
      <c r="CB35" s="110">
        <f t="shared" si="77"/>
        <v>133</v>
      </c>
      <c r="CC35" s="110">
        <f t="shared" si="77"/>
        <v>131</v>
      </c>
      <c r="CD35" s="110">
        <f t="shared" si="77"/>
        <v>150</v>
      </c>
      <c r="CE35" s="110">
        <f t="shared" si="77"/>
        <v>160</v>
      </c>
      <c r="CF35" s="110">
        <f t="shared" si="77"/>
        <v>170</v>
      </c>
      <c r="CH35" s="512"/>
      <c r="CI35" s="512"/>
      <c r="CJ35" s="512"/>
      <c r="CL35" s="112">
        <f>CC35</f>
        <v>131</v>
      </c>
      <c r="CN35" s="112">
        <f>'Revenue Analysis - Total'!P13</f>
        <v>1614</v>
      </c>
      <c r="CO35" s="113"/>
      <c r="CQ35" s="71"/>
      <c r="CR35" s="71"/>
      <c r="CU35" s="110">
        <f t="shared" ref="CU35:CX35" si="78">SUM(CU33:CU34)</f>
        <v>140</v>
      </c>
      <c r="CV35" s="110">
        <f t="shared" si="78"/>
        <v>162</v>
      </c>
      <c r="CW35" s="110">
        <f t="shared" si="78"/>
        <v>166</v>
      </c>
      <c r="CX35" s="110">
        <f t="shared" si="78"/>
        <v>170</v>
      </c>
    </row>
    <row r="36" spans="3:102" ht="15.75" customHeight="1">
      <c r="C36" s="105" t="s">
        <v>108</v>
      </c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26"/>
      <c r="AH36" s="90">
        <f t="shared" ref="AH36:BQ36" si="79">AH35/SUMIFS($CD$35:$CF$35,$CD$2:$CF$2,AH$3)</f>
        <v>0.08</v>
      </c>
      <c r="AI36" s="90">
        <f t="shared" si="79"/>
        <v>6.6666666666666666E-2</v>
      </c>
      <c r="AJ36" s="90">
        <f t="shared" si="79"/>
        <v>0.1</v>
      </c>
      <c r="AK36" s="90">
        <f t="shared" si="79"/>
        <v>0.12666666666666668</v>
      </c>
      <c r="AL36" s="90">
        <f t="shared" si="79"/>
        <v>0.16</v>
      </c>
      <c r="AM36" s="91">
        <f t="shared" si="79"/>
        <v>0.08</v>
      </c>
      <c r="AN36" s="90">
        <f t="shared" si="79"/>
        <v>3.3333333333333333E-2</v>
      </c>
      <c r="AO36" s="90">
        <f t="shared" si="79"/>
        <v>0</v>
      </c>
      <c r="AP36" s="90">
        <f t="shared" si="79"/>
        <v>0</v>
      </c>
      <c r="AQ36" s="90">
        <f t="shared" si="79"/>
        <v>0.04</v>
      </c>
      <c r="AR36" s="90">
        <f t="shared" si="79"/>
        <v>0.13333333333333333</v>
      </c>
      <c r="AS36" s="90">
        <f t="shared" si="79"/>
        <v>0.18</v>
      </c>
      <c r="AT36" s="90">
        <f t="shared" si="79"/>
        <v>0.1125</v>
      </c>
      <c r="AU36" s="90">
        <f t="shared" si="79"/>
        <v>6.25E-2</v>
      </c>
      <c r="AV36" s="90">
        <f t="shared" si="79"/>
        <v>0.1</v>
      </c>
      <c r="AW36" s="90">
        <f t="shared" si="79"/>
        <v>0.13125000000000001</v>
      </c>
      <c r="AX36" s="90">
        <f t="shared" si="79"/>
        <v>0.15</v>
      </c>
      <c r="AY36" s="90">
        <f t="shared" si="79"/>
        <v>8.7499999999999994E-2</v>
      </c>
      <c r="AZ36" s="90">
        <f t="shared" si="79"/>
        <v>3.7499999999999999E-2</v>
      </c>
      <c r="BA36" s="90">
        <f t="shared" si="79"/>
        <v>0</v>
      </c>
      <c r="BB36" s="90">
        <f t="shared" si="79"/>
        <v>0</v>
      </c>
      <c r="BC36" s="90">
        <f t="shared" si="79"/>
        <v>0.05</v>
      </c>
      <c r="BD36" s="90">
        <f t="shared" si="79"/>
        <v>0.11874999999999999</v>
      </c>
      <c r="BE36" s="90">
        <f t="shared" si="79"/>
        <v>0.15</v>
      </c>
      <c r="BF36" s="90">
        <f t="shared" si="79"/>
        <v>0.11176470588235295</v>
      </c>
      <c r="BG36" s="90">
        <f t="shared" si="79"/>
        <v>5.8823529411764705E-2</v>
      </c>
      <c r="BH36" s="90">
        <f t="shared" si="79"/>
        <v>0.1</v>
      </c>
      <c r="BI36" s="90">
        <f t="shared" si="79"/>
        <v>0.12941176470588237</v>
      </c>
      <c r="BJ36" s="90">
        <f t="shared" si="79"/>
        <v>0.15294117647058825</v>
      </c>
      <c r="BK36" s="90">
        <f t="shared" si="79"/>
        <v>8.8235294117647065E-2</v>
      </c>
      <c r="BL36" s="90">
        <f t="shared" si="79"/>
        <v>3.5294117647058823E-2</v>
      </c>
      <c r="BM36" s="90">
        <f t="shared" si="79"/>
        <v>0</v>
      </c>
      <c r="BN36" s="90">
        <f t="shared" si="79"/>
        <v>0</v>
      </c>
      <c r="BO36" s="90">
        <f t="shared" si="79"/>
        <v>5.2941176470588235E-2</v>
      </c>
      <c r="BP36" s="90">
        <f t="shared" si="79"/>
        <v>0.11764705882352941</v>
      </c>
      <c r="BQ36" s="91">
        <f t="shared" si="79"/>
        <v>0.15294117647058825</v>
      </c>
      <c r="BR36" s="90"/>
      <c r="BS36" s="90"/>
      <c r="BT36" s="90"/>
      <c r="BU36" s="90"/>
      <c r="BV36" s="90"/>
      <c r="BW36" s="90"/>
      <c r="BX36" s="90"/>
      <c r="BY36" s="90"/>
      <c r="CA36" s="84"/>
      <c r="CB36" s="84"/>
      <c r="CC36" s="84"/>
      <c r="CD36" s="84"/>
      <c r="CE36" s="84"/>
      <c r="CF36" s="84"/>
      <c r="CH36" s="98"/>
      <c r="CI36" s="98"/>
      <c r="CJ36" s="98"/>
      <c r="CL36" s="98"/>
      <c r="CN36" s="98"/>
      <c r="CO36" s="98"/>
      <c r="CQ36" s="71"/>
      <c r="CR36" s="71"/>
      <c r="CU36" s="84"/>
      <c r="CV36" s="84"/>
      <c r="CW36" s="84"/>
      <c r="CX36" s="84"/>
    </row>
    <row r="37" spans="3:102" ht="15.75" customHeight="1">
      <c r="C37" s="8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26"/>
      <c r="AH37" s="84"/>
      <c r="AI37" s="84"/>
      <c r="AJ37" s="84"/>
      <c r="AK37" s="84"/>
      <c r="AL37" s="84"/>
      <c r="AM37" s="85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5"/>
      <c r="BR37" s="84"/>
      <c r="BS37" s="84"/>
      <c r="BT37" s="84"/>
      <c r="BU37" s="84"/>
      <c r="BV37" s="84"/>
      <c r="BW37" s="84"/>
      <c r="BX37" s="84"/>
      <c r="BY37" s="84"/>
      <c r="CA37" s="84"/>
      <c r="CB37" s="84"/>
      <c r="CC37" s="84"/>
      <c r="CD37" s="84"/>
      <c r="CE37" s="84"/>
      <c r="CF37" s="84"/>
      <c r="CH37" s="98"/>
      <c r="CI37" s="98"/>
      <c r="CJ37" s="98"/>
      <c r="CL37" s="98"/>
      <c r="CN37" s="98"/>
      <c r="CO37" s="98"/>
      <c r="CQ37" s="71"/>
      <c r="CR37" s="71"/>
      <c r="CU37" s="84"/>
      <c r="CV37" s="84"/>
      <c r="CW37" s="84"/>
      <c r="CX37" s="84"/>
    </row>
    <row r="38" spans="3:102" ht="15.75" customHeight="1">
      <c r="C38" s="8" t="s">
        <v>109</v>
      </c>
      <c r="D38" s="84">
        <f t="array" ref="D38">IFERROR(INDEX('Events Summary'!$P:$P,MATCH(D$9,'Events Summary'!$C:$C,0)),0)</f>
        <v>0</v>
      </c>
      <c r="E38" s="84">
        <f t="array" ref="E38">IFERROR(INDEX('Events Summary'!$P:$P,MATCH(E$9,'Events Summary'!$C:$C,0)),0)</f>
        <v>0</v>
      </c>
      <c r="F38" s="84">
        <f t="array" ref="F38">IFERROR(INDEX('Events Summary'!$P:$P,MATCH(F$9,'Events Summary'!$C:$C,0)),0)</f>
        <v>0</v>
      </c>
      <c r="G38" s="84">
        <f t="array" ref="G38">IFERROR(INDEX('Events Summary'!$P:$P,MATCH(G$9,'Events Summary'!$C:$C,0)),0)</f>
        <v>1</v>
      </c>
      <c r="H38" s="84">
        <f t="array" ref="H38">IFERROR(INDEX('Events Summary'!$P:$P,MATCH(H$9,'Events Summary'!$C:$C,0)),0)</f>
        <v>1</v>
      </c>
      <c r="I38" s="84">
        <f t="array" ref="I38">IFERROR(INDEX('Events Summary'!$P:$P,MATCH(I$9,'Events Summary'!$C:$C,0)),0)</f>
        <v>2</v>
      </c>
      <c r="J38" s="84">
        <f t="array" ref="J38">IFERROR(INDEX('Events Summary'!$P:$P,MATCH(J$9,'Events Summary'!$C:$C,0)),0)</f>
        <v>1</v>
      </c>
      <c r="K38" s="84">
        <f t="array" ref="K38">IFERROR(INDEX('Events Summary'!$P:$P,MATCH(K$9,'Events Summary'!$C:$C,0)),0)</f>
        <v>1</v>
      </c>
      <c r="L38" s="84">
        <f t="array" ref="L38">IFERROR(INDEX('Events Summary'!$P:$P,MATCH(L$9,'Events Summary'!$C:$C,0)),0)</f>
        <v>4</v>
      </c>
      <c r="M38" s="84">
        <f t="array" ref="M38">IFERROR(INDEX('Events Summary'!$P:$P,MATCH(M$9,'Events Summary'!$C:$C,0)),0)</f>
        <v>6</v>
      </c>
      <c r="N38" s="84">
        <f t="array" ref="N38">IFERROR(INDEX('Events Summary'!$P:$P,MATCH(N$9,'Events Summary'!$C:$C,0)),0)</f>
        <v>2</v>
      </c>
      <c r="O38" s="84">
        <f t="array" ref="O38">IFERROR(INDEX('Events Summary'!$P:$P,MATCH(O$9,'Events Summary'!$C:$C,0)),0)</f>
        <v>4</v>
      </c>
      <c r="P38" s="84">
        <f t="array" ref="P38">IFERROR(INDEX('Events Summary'!$P:$P,MATCH(P$9,'Events Summary'!$C:$C,0)),0)</f>
        <v>0</v>
      </c>
      <c r="Q38" s="84">
        <f t="array" ref="Q38">IFERROR(INDEX('Events Summary'!$P:$P,MATCH(Q$9,'Events Summary'!$C:$C,0)),0)</f>
        <v>0</v>
      </c>
      <c r="R38" s="84">
        <f t="array" ref="R38">IFERROR(INDEX('Events Summary'!$P:$P,MATCH(R$9,'Events Summary'!$C:$C,0)),0)</f>
        <v>1</v>
      </c>
      <c r="S38" s="84">
        <f t="array" ref="S38">IFERROR(INDEX('Events Summary'!$P:$P,MATCH(S$9,'Events Summary'!$C:$C,0)),0)</f>
        <v>2</v>
      </c>
      <c r="T38" s="84">
        <f t="array" ref="T38">IFERROR(INDEX('Events Summary'!$P:$P,MATCH(T$9,'Events Summary'!$C:$C,0)),0)</f>
        <v>8</v>
      </c>
      <c r="U38" s="84">
        <f t="array" ref="U38">IFERROR(INDEX('Events Summary'!$P:$P,MATCH(U$9,'Events Summary'!$C:$C,0)),0)</f>
        <v>5</v>
      </c>
      <c r="V38" s="84">
        <f t="array" ref="V38">IFERROR(INDEX('Events Summary'!$P:$P,MATCH(V$9,'Events Summary'!$C:$C,0)),0)</f>
        <v>6</v>
      </c>
      <c r="W38" s="84">
        <f t="array" ref="W38">IFERROR(INDEX('Events Summary'!$P:$P,MATCH(W$9,'Events Summary'!$C:$C,0)),0)</f>
        <v>3</v>
      </c>
      <c r="X38" s="84">
        <f t="array" ref="X38">IFERROR(INDEX('Events Summary'!$P:$P,MATCH(X$9,'Events Summary'!$C:$C,0)),0)</f>
        <v>6</v>
      </c>
      <c r="Y38" s="84">
        <f t="array" ref="Y38">IFERROR(INDEX('Events Summary'!$P:$P,MATCH(Y$9,'Events Summary'!$C:$C,0)),0)</f>
        <v>5</v>
      </c>
      <c r="Z38" s="84">
        <f t="array" ref="Z38">IFERROR(INDEX('Events Summary'!$P:$P,MATCH(Z$9,'Events Summary'!$C:$C,0)),0)</f>
        <v>3</v>
      </c>
      <c r="AA38" s="84">
        <f t="array" ref="AA38">IFERROR(INDEX('Events Summary'!$P:$P,MATCH(AA$9,'Events Summary'!$C:$C,0)),0)</f>
        <v>0</v>
      </c>
      <c r="AB38" s="84">
        <f t="array" ref="AB38">IFERROR(INDEX('Events Summary'!$P:$P,MATCH(AB$9,'Events Summary'!$C:$C,0)),0)</f>
        <v>0</v>
      </c>
      <c r="AC38" s="84">
        <f t="array" ref="AC38">IFERROR(INDEX('Events Summary'!$P:$P,MATCH(AC$9,'Events Summary'!$C:$C,0)),0)</f>
        <v>0</v>
      </c>
      <c r="AD38" s="84">
        <f t="array" ref="AD38">IFERROR(INDEX('Events Summary'!$P:$P,MATCH(AD$9,'Events Summary'!$C:$C,0)),0)</f>
        <v>1</v>
      </c>
      <c r="AE38" s="84">
        <f t="array" ref="AE38">IFERROR(INDEX('Events Summary'!$P:$P,MATCH(AE$9,'Events Summary'!$C:$C,0)),0)</f>
        <v>3</v>
      </c>
      <c r="AF38" s="84">
        <f t="array" ref="AF38">IFERROR(INDEX('Events Summary'!$P:$P,MATCH(AF$9,'Events Summary'!$C:$C,0)),0)</f>
        <v>5</v>
      </c>
      <c r="AG38" s="26"/>
      <c r="AH38" s="84">
        <f t="array" ref="AH38">IFERROR(INDEX('Events Summary'!$P:$P,MATCH(AH$9,'Events Summary'!$C:$C,0)),0)</f>
        <v>4</v>
      </c>
      <c r="AI38" s="84">
        <f t="array" ref="AI38">IFERROR(INDEX('Events Summary'!$P:$P,MATCH(AI$9,'Events Summary'!$C:$C,0)),0)</f>
        <v>0</v>
      </c>
      <c r="AJ38" s="84">
        <f t="array" ref="AJ38">IFERROR(INDEX('Events Summary'!$P:$P,MATCH(AJ$9,'Events Summary'!$C:$C,0)),0)</f>
        <v>2</v>
      </c>
      <c r="AK38" s="84">
        <f t="array" ref="AK38">IFERROR(INDEX('Events Summary'!$P:$P,MATCH(AK$9,'Events Summary'!$C:$C,0)),0)</f>
        <v>5</v>
      </c>
      <c r="AL38" s="84">
        <f t="array" ref="AL38">IFERROR(INDEX('Events Summary'!$P:$P,MATCH(AL$9,'Events Summary'!$C:$C,0)),0)</f>
        <v>6</v>
      </c>
      <c r="AM38" s="85">
        <f t="array" ref="AM38">IFERROR(INDEX('Events Summary'!$P:$P,MATCH(AM$9,'Events Summary'!$C:$C,0)),0)</f>
        <v>1</v>
      </c>
      <c r="AN38" s="84">
        <f t="array" ref="AN38">IFERROR(INDEX('Events Summary'!$P:$P,MATCH(AN$9,'Events Summary'!$C:$C,0)),0)</f>
        <v>0</v>
      </c>
      <c r="AO38" s="84">
        <f t="array" ref="AO38">IFERROR(INDEX('Events Summary'!$P:$P,MATCH(AO$9,'Events Summary'!$C:$C,0)),0)</f>
        <v>0</v>
      </c>
      <c r="AP38" s="84">
        <f t="array" ref="AP38">IFERROR(INDEX('Events Summary'!$P:$P,MATCH(AP$9,'Events Summary'!$C:$C,0)),0)</f>
        <v>0</v>
      </c>
      <c r="AQ38" s="84">
        <f t="array" ref="AQ38">IFERROR(INDEX('Events Summary'!$P:$P,MATCH(AQ$9,'Events Summary'!$C:$C,0)),0)</f>
        <v>0</v>
      </c>
      <c r="AR38" s="84">
        <f t="array" ref="AR38">IFERROR(INDEX('Events Summary'!$P:$P,MATCH(AR$9,'Events Summary'!$C:$C,0)),0)</f>
        <v>0</v>
      </c>
      <c r="AS38" s="84">
        <f t="array" ref="AS38">IFERROR(INDEX('Events Summary'!$P:$P,MATCH(AS$9,'Events Summary'!$C:$C,0)),0)</f>
        <v>0</v>
      </c>
      <c r="AT38" s="84">
        <f t="array" ref="AT38">IFERROR(INDEX('Events Summary'!$P:$P,MATCH(AT$9,'Events Summary'!$C:$C,0)),0)</f>
        <v>0</v>
      </c>
      <c r="AU38" s="84">
        <f t="array" ref="AU38">IFERROR(INDEX('Events Summary'!$P:$P,MATCH(AU$9,'Events Summary'!$C:$C,0)),0)</f>
        <v>0</v>
      </c>
      <c r="AV38" s="84">
        <f t="array" ref="AV38">IFERROR(INDEX('Events Summary'!$P:$P,MATCH(AV$9,'Events Summary'!$C:$C,0)),0)</f>
        <v>0</v>
      </c>
      <c r="AW38" s="84">
        <f t="array" ref="AW38">IFERROR(INDEX('Events Summary'!$P:$P,MATCH(AW$9,'Events Summary'!$C:$C,0)),0)</f>
        <v>0</v>
      </c>
      <c r="AX38" s="84">
        <f t="array" ref="AX38">IFERROR(INDEX('Events Summary'!$P:$P,MATCH(AX$9,'Events Summary'!$C:$C,0)),0)</f>
        <v>0</v>
      </c>
      <c r="AY38" s="84">
        <f t="array" ref="AY38">IFERROR(INDEX('Events Summary'!$P:$P,MATCH(AY$9,'Events Summary'!$C:$C,0)),0)</f>
        <v>0</v>
      </c>
      <c r="AZ38" s="84">
        <f t="array" ref="AZ38">IFERROR(INDEX('Events Summary'!$P:$P,MATCH(AZ$9,'Events Summary'!$C:$C,0)),0)</f>
        <v>0</v>
      </c>
      <c r="BA38" s="84">
        <f t="array" ref="BA38">IFERROR(INDEX('Events Summary'!$P:$P,MATCH(BA$9,'Events Summary'!$C:$C,0)),0)</f>
        <v>0</v>
      </c>
      <c r="BB38" s="84">
        <f t="array" ref="BB38">IFERROR(INDEX('Events Summary'!$P:$P,MATCH(BB$9,'Events Summary'!$C:$C,0)),0)</f>
        <v>0</v>
      </c>
      <c r="BC38" s="84">
        <f t="array" ref="BC38">IFERROR(INDEX('Events Summary'!$P:$P,MATCH(BC$9,'Events Summary'!$C:$C,0)),0)</f>
        <v>0</v>
      </c>
      <c r="BD38" s="84">
        <f t="array" ref="BD38">IFERROR(INDEX('Events Summary'!$P:$P,MATCH(BD$9,'Events Summary'!$C:$C,0)),0)</f>
        <v>0</v>
      </c>
      <c r="BE38" s="84">
        <f t="array" ref="BE38">IFERROR(INDEX('Events Summary'!$P:$P,MATCH(BE$9,'Events Summary'!$C:$C,0)),0)</f>
        <v>0</v>
      </c>
      <c r="BF38" s="84">
        <f t="array" ref="BF38">IFERROR(INDEX('Events Summary'!$P:$P,MATCH(BF$9,'Events Summary'!$C:$C,0)),0)</f>
        <v>0</v>
      </c>
      <c r="BG38" s="84">
        <f t="array" ref="BG38">IFERROR(INDEX('Events Summary'!$P:$P,MATCH(BG$9,'Events Summary'!$C:$C,0)),0)</f>
        <v>0</v>
      </c>
      <c r="BH38" s="84">
        <f t="array" ref="BH38">IFERROR(INDEX('Events Summary'!$P:$P,MATCH(BH$9,'Events Summary'!$C:$C,0)),0)</f>
        <v>0</v>
      </c>
      <c r="BI38" s="84">
        <f t="array" ref="BI38">IFERROR(INDEX('Events Summary'!$P:$P,MATCH(BI$9,'Events Summary'!$C:$C,0)),0)</f>
        <v>0</v>
      </c>
      <c r="BJ38" s="84">
        <f t="array" ref="BJ38">IFERROR(INDEX('Events Summary'!$P:$P,MATCH(BJ$9,'Events Summary'!$C:$C,0)),0)</f>
        <v>0</v>
      </c>
      <c r="BK38" s="84">
        <f t="array" ref="BK38">IFERROR(INDEX('Events Summary'!$P:$P,MATCH(BK$9,'Events Summary'!$C:$C,0)),0)</f>
        <v>0</v>
      </c>
      <c r="BL38" s="84">
        <f t="array" ref="BL38">IFERROR(INDEX('Events Summary'!$P:$P,MATCH(BL$9,'Events Summary'!$C:$C,0)),0)</f>
        <v>0</v>
      </c>
      <c r="BM38" s="84">
        <f t="array" ref="BM38">IFERROR(INDEX('Events Summary'!$P:$P,MATCH(BM$9,'Events Summary'!$C:$C,0)),0)</f>
        <v>0</v>
      </c>
      <c r="BN38" s="84">
        <f t="array" ref="BN38">IFERROR(INDEX('Events Summary'!$P:$P,MATCH(BN$9,'Events Summary'!$C:$C,0)),0)</f>
        <v>0</v>
      </c>
      <c r="BO38" s="84">
        <f t="array" ref="BO38">IFERROR(INDEX('Events Summary'!$P:$P,MATCH(BO$9,'Events Summary'!$C:$C,0)),0)</f>
        <v>0</v>
      </c>
      <c r="BP38" s="84">
        <f t="array" ref="BP38">IFERROR(INDEX('Events Summary'!$P:$P,MATCH(BP$9,'Events Summary'!$C:$C,0)),0)</f>
        <v>0</v>
      </c>
      <c r="BQ38" s="85">
        <f t="array" ref="BQ38">IFERROR(INDEX('Events Summary'!$P:$P,MATCH(BQ$9,'Events Summary'!$C:$C,0)),0)</f>
        <v>0</v>
      </c>
      <c r="BR38" s="84"/>
      <c r="BS38" s="84">
        <f t="array" ref="BS38">IFERROR(INDEX('Events Summary'!$P:$P,MATCH(BS$9,'Events Summary'!$C:$C,0)),0)</f>
        <v>0</v>
      </c>
      <c r="BT38" s="84">
        <f t="array" ref="BT38">IFERROR(INDEX('Events Summary'!$P:$P,MATCH(BT$9,'Events Summary'!$C:$C,0)),0)</f>
        <v>0</v>
      </c>
      <c r="BU38" s="84">
        <f t="array" ref="BU38">IFERROR(INDEX('Events Summary'!$P:$P,MATCH(BU$9,'Events Summary'!$C:$C,0)),0)</f>
        <v>0</v>
      </c>
      <c r="BV38" s="84">
        <f t="array" ref="BV38">IFERROR(INDEX('Events Summary'!$P:$P,MATCH(BV$9,'Events Summary'!$C:$C,0)),0)</f>
        <v>0</v>
      </c>
      <c r="BW38" s="84">
        <f t="array" ref="BW38">IFERROR(INDEX('Events Summary'!$P:$P,MATCH(BW$9,'Events Summary'!$C:$C,0)),0)</f>
        <v>0</v>
      </c>
      <c r="BX38" s="84">
        <f t="array" ref="BX38">IFERROR(INDEX('Events Summary'!$P:$P,MATCH(BX$9,'Events Summary'!$C:$C,0)),0)</f>
        <v>0</v>
      </c>
      <c r="BY38" s="84">
        <f t="array" ref="BY38">IFERROR(INDEX('Events Summary'!$P:$P,MATCH(BY$9,'Events Summary'!$C:$C,0)),0)</f>
        <v>0</v>
      </c>
      <c r="CA38" s="25">
        <f>'Events Summary'!$P$10</f>
        <v>22</v>
      </c>
      <c r="CB38" s="25">
        <f>'Events Summary'!$P$11</f>
        <v>39</v>
      </c>
      <c r="CC38" s="25">
        <f>'Events Summary'!$P$12</f>
        <v>40</v>
      </c>
      <c r="CD38" s="25">
        <f>'Events Summary'!$P$14</f>
        <v>18</v>
      </c>
      <c r="CE38" s="25">
        <f>'Events Summary'!$P$15</f>
        <v>0</v>
      </c>
      <c r="CF38" s="25">
        <f>'Events Summary'!$P$16</f>
        <v>0</v>
      </c>
      <c r="CH38" s="512"/>
      <c r="CI38" s="512"/>
      <c r="CJ38" s="512"/>
      <c r="CL38" s="98"/>
      <c r="CN38" s="98"/>
      <c r="CO38" s="98"/>
      <c r="CQ38" s="71"/>
      <c r="CR38" s="71"/>
      <c r="CU38" s="25">
        <f t="shared" ref="CU38:CX38" si="80">SUMIFS($D38:$BZ38,$D$1:$BZ$1,CU$9)</f>
        <v>27</v>
      </c>
      <c r="CV38" s="25">
        <f t="shared" si="80"/>
        <v>0</v>
      </c>
      <c r="CW38" s="25">
        <f t="shared" si="80"/>
        <v>0</v>
      </c>
      <c r="CX38" s="25">
        <f t="shared" si="80"/>
        <v>0</v>
      </c>
    </row>
    <row r="39" spans="3:102" ht="15.75" customHeight="1">
      <c r="C39" s="8" t="s">
        <v>110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26"/>
      <c r="AH39" s="106"/>
      <c r="AI39" s="106"/>
      <c r="AJ39" s="106"/>
      <c r="AK39" s="106"/>
      <c r="AL39" s="106"/>
      <c r="AM39" s="107"/>
      <c r="AN39" s="25">
        <f t="shared" ref="AN39:BQ39" si="81">AN40-AN38</f>
        <v>0</v>
      </c>
      <c r="AO39" s="25">
        <f t="shared" si="81"/>
        <v>0</v>
      </c>
      <c r="AP39" s="25">
        <f t="shared" si="81"/>
        <v>0</v>
      </c>
      <c r="AQ39" s="25">
        <f t="shared" si="81"/>
        <v>2</v>
      </c>
      <c r="AR39" s="25">
        <f t="shared" si="81"/>
        <v>7</v>
      </c>
      <c r="AS39" s="25">
        <f t="shared" si="81"/>
        <v>12</v>
      </c>
      <c r="AT39" s="25">
        <f t="shared" si="81"/>
        <v>4</v>
      </c>
      <c r="AU39" s="25">
        <f t="shared" si="81"/>
        <v>2</v>
      </c>
      <c r="AV39" s="25">
        <f t="shared" si="81"/>
        <v>4</v>
      </c>
      <c r="AW39" s="25">
        <f t="shared" si="81"/>
        <v>5</v>
      </c>
      <c r="AX39" s="25">
        <f t="shared" si="81"/>
        <v>6</v>
      </c>
      <c r="AY39" s="25">
        <f t="shared" si="81"/>
        <v>4</v>
      </c>
      <c r="AZ39" s="25">
        <f t="shared" si="81"/>
        <v>2</v>
      </c>
      <c r="BA39" s="25">
        <f t="shared" si="81"/>
        <v>0</v>
      </c>
      <c r="BB39" s="25">
        <f t="shared" si="81"/>
        <v>0</v>
      </c>
      <c r="BC39" s="25">
        <f t="shared" si="81"/>
        <v>2</v>
      </c>
      <c r="BD39" s="25">
        <f t="shared" si="81"/>
        <v>5</v>
      </c>
      <c r="BE39" s="25">
        <f t="shared" si="81"/>
        <v>6</v>
      </c>
      <c r="BF39" s="25">
        <f t="shared" si="81"/>
        <v>4</v>
      </c>
      <c r="BG39" s="25">
        <f t="shared" si="81"/>
        <v>2</v>
      </c>
      <c r="BH39" s="25">
        <f t="shared" si="81"/>
        <v>4</v>
      </c>
      <c r="BI39" s="25">
        <f t="shared" si="81"/>
        <v>5</v>
      </c>
      <c r="BJ39" s="25">
        <f t="shared" si="81"/>
        <v>6</v>
      </c>
      <c r="BK39" s="25">
        <f t="shared" si="81"/>
        <v>4</v>
      </c>
      <c r="BL39" s="25">
        <f t="shared" si="81"/>
        <v>2</v>
      </c>
      <c r="BM39" s="25">
        <f t="shared" si="81"/>
        <v>0</v>
      </c>
      <c r="BN39" s="25">
        <f t="shared" si="81"/>
        <v>0</v>
      </c>
      <c r="BO39" s="25">
        <f t="shared" si="81"/>
        <v>2</v>
      </c>
      <c r="BP39" s="25">
        <f t="shared" si="81"/>
        <v>5</v>
      </c>
      <c r="BQ39" s="96">
        <f t="shared" si="81"/>
        <v>6</v>
      </c>
      <c r="BR39" s="25"/>
      <c r="BS39" s="25">
        <f t="shared" ref="BS39:BY39" si="82">BS40-BS38</f>
        <v>4</v>
      </c>
      <c r="BT39" s="25">
        <f t="shared" si="82"/>
        <v>2</v>
      </c>
      <c r="BU39" s="25">
        <f t="shared" si="82"/>
        <v>4</v>
      </c>
      <c r="BV39" s="25">
        <f t="shared" si="82"/>
        <v>5</v>
      </c>
      <c r="BW39" s="25">
        <f t="shared" si="82"/>
        <v>6</v>
      </c>
      <c r="BX39" s="25">
        <f t="shared" si="82"/>
        <v>4</v>
      </c>
      <c r="BY39" s="25">
        <f t="shared" si="82"/>
        <v>2</v>
      </c>
      <c r="CA39" s="99"/>
      <c r="CB39" s="99"/>
      <c r="CC39" s="99"/>
      <c r="CD39" s="97">
        <v>22</v>
      </c>
      <c r="CE39" s="97">
        <v>40</v>
      </c>
      <c r="CF39" s="97">
        <v>40</v>
      </c>
      <c r="CH39" s="512"/>
      <c r="CI39" s="512"/>
      <c r="CJ39" s="512"/>
      <c r="CL39" s="98"/>
      <c r="CN39" s="98"/>
      <c r="CO39" s="98"/>
      <c r="CQ39" s="71"/>
      <c r="CR39" s="71"/>
      <c r="CU39" s="25">
        <f t="shared" ref="CU39:CX39" si="83">SUMIFS($D39:$BZ39,$D$1:$BZ$1,CU$9)</f>
        <v>0</v>
      </c>
      <c r="CV39" s="25">
        <f t="shared" si="83"/>
        <v>48</v>
      </c>
      <c r="CW39" s="25">
        <f t="shared" si="83"/>
        <v>40</v>
      </c>
      <c r="CX39" s="25">
        <f t="shared" si="83"/>
        <v>40</v>
      </c>
    </row>
    <row r="40" spans="3:102" ht="15.75" customHeight="1">
      <c r="C40" s="76" t="s">
        <v>32</v>
      </c>
      <c r="D40" s="80">
        <f t="shared" ref="D40:AF40" si="84">SUM(D38:D39)</f>
        <v>0</v>
      </c>
      <c r="E40" s="80">
        <f t="shared" si="84"/>
        <v>0</v>
      </c>
      <c r="F40" s="80">
        <f t="shared" si="84"/>
        <v>0</v>
      </c>
      <c r="G40" s="80">
        <f t="shared" si="84"/>
        <v>1</v>
      </c>
      <c r="H40" s="80">
        <f t="shared" si="84"/>
        <v>1</v>
      </c>
      <c r="I40" s="80">
        <f t="shared" si="84"/>
        <v>2</v>
      </c>
      <c r="J40" s="80">
        <f t="shared" si="84"/>
        <v>1</v>
      </c>
      <c r="K40" s="80">
        <f t="shared" si="84"/>
        <v>1</v>
      </c>
      <c r="L40" s="80">
        <f t="shared" si="84"/>
        <v>4</v>
      </c>
      <c r="M40" s="80">
        <f t="shared" si="84"/>
        <v>6</v>
      </c>
      <c r="N40" s="80">
        <f t="shared" si="84"/>
        <v>2</v>
      </c>
      <c r="O40" s="80">
        <f t="shared" si="84"/>
        <v>4</v>
      </c>
      <c r="P40" s="80">
        <f t="shared" si="84"/>
        <v>0</v>
      </c>
      <c r="Q40" s="80">
        <f t="shared" si="84"/>
        <v>0</v>
      </c>
      <c r="R40" s="80">
        <f t="shared" si="84"/>
        <v>1</v>
      </c>
      <c r="S40" s="80">
        <f t="shared" si="84"/>
        <v>2</v>
      </c>
      <c r="T40" s="80">
        <f t="shared" si="84"/>
        <v>8</v>
      </c>
      <c r="U40" s="80">
        <f t="shared" si="84"/>
        <v>5</v>
      </c>
      <c r="V40" s="80">
        <f t="shared" si="84"/>
        <v>6</v>
      </c>
      <c r="W40" s="80">
        <f t="shared" si="84"/>
        <v>3</v>
      </c>
      <c r="X40" s="80">
        <f t="shared" si="84"/>
        <v>6</v>
      </c>
      <c r="Y40" s="80">
        <f t="shared" si="84"/>
        <v>5</v>
      </c>
      <c r="Z40" s="80">
        <f t="shared" si="84"/>
        <v>3</v>
      </c>
      <c r="AA40" s="80">
        <f t="shared" si="84"/>
        <v>0</v>
      </c>
      <c r="AB40" s="80">
        <f t="shared" si="84"/>
        <v>0</v>
      </c>
      <c r="AC40" s="80">
        <f t="shared" si="84"/>
        <v>0</v>
      </c>
      <c r="AD40" s="80">
        <f t="shared" si="84"/>
        <v>1</v>
      </c>
      <c r="AE40" s="80">
        <f t="shared" si="84"/>
        <v>3</v>
      </c>
      <c r="AF40" s="80">
        <f t="shared" si="84"/>
        <v>5</v>
      </c>
      <c r="AG40" s="79"/>
      <c r="AH40" s="80">
        <f t="shared" ref="AH40:AM40" si="85">AH38</f>
        <v>4</v>
      </c>
      <c r="AI40" s="80">
        <f t="shared" si="85"/>
        <v>0</v>
      </c>
      <c r="AJ40" s="80">
        <f t="shared" si="85"/>
        <v>2</v>
      </c>
      <c r="AK40" s="80">
        <f t="shared" si="85"/>
        <v>5</v>
      </c>
      <c r="AL40" s="80">
        <f t="shared" si="85"/>
        <v>6</v>
      </c>
      <c r="AM40" s="81">
        <f t="shared" si="85"/>
        <v>1</v>
      </c>
      <c r="AN40" s="80">
        <f t="shared" ref="AN40:AS40" si="86">ROUND(($CD$40-SUM($AH$40:$AM$40))*(AA38/SUM($AA$38:$AF$38)),0)</f>
        <v>0</v>
      </c>
      <c r="AO40" s="80">
        <f t="shared" si="86"/>
        <v>0</v>
      </c>
      <c r="AP40" s="80">
        <f t="shared" si="86"/>
        <v>0</v>
      </c>
      <c r="AQ40" s="80">
        <f t="shared" si="86"/>
        <v>2</v>
      </c>
      <c r="AR40" s="80">
        <f t="shared" si="86"/>
        <v>7</v>
      </c>
      <c r="AS40" s="81">
        <f t="shared" si="86"/>
        <v>12</v>
      </c>
      <c r="AT40" s="80">
        <f t="array" ref="AT40">ROUND(INDEX('Events Summary'!$AF:$AF,MATCH(AT$2,'Events Summary'!$AE:$AE,0))*SUMIFS($CD40:$CF40,$CD$2:$CF$2,AT$3),0)</f>
        <v>4</v>
      </c>
      <c r="AU40" s="80">
        <f t="array" ref="AU40">ROUND(INDEX('Events Summary'!$AF:$AF,MATCH(AU$2,'Events Summary'!$AE:$AE,0))*SUMIFS($CD40:$CF40,$CD$2:$CF$2,AU$3),0)</f>
        <v>2</v>
      </c>
      <c r="AV40" s="80">
        <f t="array" ref="AV40">ROUND(INDEX('Events Summary'!$AF:$AF,MATCH(AV$2,'Events Summary'!$AE:$AE,0))*SUMIFS($CD40:$CF40,$CD$2:$CF$2,AV$3),0)</f>
        <v>4</v>
      </c>
      <c r="AW40" s="80">
        <f t="array" ref="AW40">ROUND(INDEX('Events Summary'!$AF:$AF,MATCH(AW$2,'Events Summary'!$AE:$AE,0))*SUMIFS($CD40:$CF40,$CD$2:$CF$2,AW$3),0)</f>
        <v>5</v>
      </c>
      <c r="AX40" s="80">
        <f t="array" ref="AX40">ROUND(INDEX('Events Summary'!$AF:$AF,MATCH(AX$2,'Events Summary'!$AE:$AE,0))*SUMIFS($CD40:$CF40,$CD$2:$CF$2,AX$3),0)</f>
        <v>6</v>
      </c>
      <c r="AY40" s="80">
        <f t="array" ref="AY40">ROUND(INDEX('Events Summary'!$AF:$AF,MATCH(AY$2,'Events Summary'!$AE:$AE,0))*SUMIFS($CD40:$CF40,$CD$2:$CF$2,AY$3),0)</f>
        <v>4</v>
      </c>
      <c r="AZ40" s="80">
        <f t="array" ref="AZ40">ROUND(INDEX('Events Summary'!$AF:$AF,MATCH(AZ$2,'Events Summary'!$AE:$AE,0))*SUMIFS($CD40:$CF40,$CD$2:$CF$2,AZ$3),0)</f>
        <v>2</v>
      </c>
      <c r="BA40" s="80">
        <f t="array" ref="BA40">ROUND(INDEX('Events Summary'!$AF:$AF,MATCH(BA$2,'Events Summary'!$AE:$AE,0))*SUMIFS($CD40:$CF40,$CD$2:$CF$2,BA$3),0)</f>
        <v>0</v>
      </c>
      <c r="BB40" s="80">
        <f t="array" ref="BB40">ROUND(INDEX('Events Summary'!$AF:$AF,MATCH(BB$2,'Events Summary'!$AE:$AE,0))*SUMIFS($CD40:$CF40,$CD$2:$CF$2,BB$3),0)</f>
        <v>0</v>
      </c>
      <c r="BC40" s="80">
        <f t="array" ref="BC40">ROUND(INDEX('Events Summary'!$AF:$AF,MATCH(BC$2,'Events Summary'!$AE:$AE,0))*SUMIFS($CD40:$CF40,$CD$2:$CF$2,BC$3),0)</f>
        <v>2</v>
      </c>
      <c r="BD40" s="80">
        <f t="array" ref="BD40">ROUND(INDEX('Events Summary'!$AF:$AF,MATCH(BD$2,'Events Summary'!$AE:$AE,0))*SUMIFS($CD40:$CF40,$CD$2:$CF$2,BD$3),0)</f>
        <v>5</v>
      </c>
      <c r="BE40" s="80">
        <f t="array" ref="BE40">ROUND(INDEX('Events Summary'!$AF:$AF,MATCH(BE$2,'Events Summary'!$AE:$AE,0))*SUMIFS($CD40:$CF40,$CD$2:$CF$2,BE$3),0)</f>
        <v>6</v>
      </c>
      <c r="BF40" s="80">
        <f t="array" ref="BF40">ROUND(INDEX('Events Summary'!$AF:$AF,MATCH(BF$2,'Events Summary'!$AE:$AE,0))*SUMIFS($CD40:$CF40,$CD$2:$CF$2,BF$3),0)</f>
        <v>4</v>
      </c>
      <c r="BG40" s="80">
        <f t="array" ref="BG40">ROUND(INDEX('Events Summary'!$AF:$AF,MATCH(BG$2,'Events Summary'!$AE:$AE,0))*SUMIFS($CD40:$CF40,$CD$2:$CF$2,BG$3),0)</f>
        <v>2</v>
      </c>
      <c r="BH40" s="80">
        <f t="array" ref="BH40">ROUND(INDEX('Events Summary'!$AF:$AF,MATCH(BH$2,'Events Summary'!$AE:$AE,0))*SUMIFS($CD40:$CF40,$CD$2:$CF$2,BH$3),0)</f>
        <v>4</v>
      </c>
      <c r="BI40" s="80">
        <f t="array" ref="BI40">ROUND(INDEX('Events Summary'!$AF:$AF,MATCH(BI$2,'Events Summary'!$AE:$AE,0))*SUMIFS($CD40:$CF40,$CD$2:$CF$2,BI$3),0)</f>
        <v>5</v>
      </c>
      <c r="BJ40" s="80">
        <f t="array" ref="BJ40">ROUND(INDEX('Events Summary'!$AF:$AF,MATCH(BJ$2,'Events Summary'!$AE:$AE,0))*SUMIFS($CD40:$CF40,$CD$2:$CF$2,BJ$3),0)</f>
        <v>6</v>
      </c>
      <c r="BK40" s="80">
        <f t="array" ref="BK40">ROUND(INDEX('Events Summary'!$AF:$AF,MATCH(BK$2,'Events Summary'!$AE:$AE,0))*SUMIFS($CD40:$CF40,$CD$2:$CF$2,BK$3),0)</f>
        <v>4</v>
      </c>
      <c r="BL40" s="80">
        <f t="array" ref="BL40">ROUND(INDEX('Events Summary'!$AF:$AF,MATCH(BL$2,'Events Summary'!$AE:$AE,0))*SUMIFS($CD40:$CF40,$CD$2:$CF$2,BL$3),0)</f>
        <v>2</v>
      </c>
      <c r="BM40" s="80">
        <f t="array" ref="BM40">ROUND(INDEX('Events Summary'!$AF:$AF,MATCH(BM$2,'Events Summary'!$AE:$AE,0))*SUMIFS($CD40:$CF40,$CD$2:$CF$2,BM$3),0)</f>
        <v>0</v>
      </c>
      <c r="BN40" s="80">
        <f t="array" ref="BN40">ROUND(INDEX('Events Summary'!$AF:$AF,MATCH(BN$2,'Events Summary'!$AE:$AE,0))*SUMIFS($CD40:$CF40,$CD$2:$CF$2,BN$3),0)</f>
        <v>0</v>
      </c>
      <c r="BO40" s="80">
        <f t="array" ref="BO40">ROUND(INDEX('Events Summary'!$AF:$AF,MATCH(BO$2,'Events Summary'!$AE:$AE,0))*SUMIFS($CD40:$CF40,$CD$2:$CF$2,BO$3),0)</f>
        <v>2</v>
      </c>
      <c r="BP40" s="80">
        <f t="array" ref="BP40">ROUND(INDEX('Events Summary'!$AF:$AF,MATCH(BP$2,'Events Summary'!$AE:$AE,0))*SUMIFS($CD40:$CF40,$CD$2:$CF$2,BP$3),0)</f>
        <v>5</v>
      </c>
      <c r="BQ40" s="81">
        <f t="array" ref="BQ40">ROUND(INDEX('Events Summary'!$AF:$AF,MATCH(BQ$2,'Events Summary'!$AE:$AE,0))*SUMIFS($CD40:$CF40,$CD$2:$CF$2,BQ$3),0)</f>
        <v>6</v>
      </c>
      <c r="BR40" s="80"/>
      <c r="BS40" s="80">
        <f t="shared" ref="BS40:BY40" si="87">BF40</f>
        <v>4</v>
      </c>
      <c r="BT40" s="80">
        <f t="shared" si="87"/>
        <v>2</v>
      </c>
      <c r="BU40" s="80">
        <f t="shared" si="87"/>
        <v>4</v>
      </c>
      <c r="BV40" s="80">
        <f t="shared" si="87"/>
        <v>5</v>
      </c>
      <c r="BW40" s="80">
        <f t="shared" si="87"/>
        <v>6</v>
      </c>
      <c r="BX40" s="80">
        <f t="shared" si="87"/>
        <v>4</v>
      </c>
      <c r="BY40" s="80">
        <f t="shared" si="87"/>
        <v>2</v>
      </c>
      <c r="BZ40" s="79"/>
      <c r="CA40" s="80">
        <f t="shared" ref="CA40:CF40" si="88">SUM(CA38:CA39)</f>
        <v>22</v>
      </c>
      <c r="CB40" s="80">
        <f t="shared" si="88"/>
        <v>39</v>
      </c>
      <c r="CC40" s="80">
        <f t="shared" si="88"/>
        <v>40</v>
      </c>
      <c r="CD40" s="80">
        <f t="shared" si="88"/>
        <v>40</v>
      </c>
      <c r="CE40" s="80">
        <f t="shared" si="88"/>
        <v>40</v>
      </c>
      <c r="CF40" s="80">
        <f t="shared" si="88"/>
        <v>40</v>
      </c>
      <c r="CH40" s="98"/>
      <c r="CI40" s="98"/>
      <c r="CJ40" s="98"/>
      <c r="CL40" s="98"/>
      <c r="CN40" s="98"/>
      <c r="CO40" s="98"/>
      <c r="CQ40" s="71"/>
      <c r="CR40" s="71" t="s">
        <v>111</v>
      </c>
      <c r="CU40" s="80">
        <f t="shared" ref="CU40:CX40" si="89">SUM(CU38:CU39)</f>
        <v>27</v>
      </c>
      <c r="CV40" s="80">
        <f t="shared" si="89"/>
        <v>48</v>
      </c>
      <c r="CW40" s="80">
        <f t="shared" si="89"/>
        <v>40</v>
      </c>
      <c r="CX40" s="80">
        <f t="shared" si="89"/>
        <v>40</v>
      </c>
    </row>
    <row r="41" spans="3:102" ht="15.75" customHeight="1">
      <c r="C41" s="56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26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5"/>
      <c r="BR41" s="84"/>
      <c r="BS41" s="84"/>
      <c r="BT41" s="84"/>
      <c r="BU41" s="84"/>
      <c r="BV41" s="84"/>
      <c r="BW41" s="84"/>
      <c r="BX41" s="84"/>
      <c r="BY41" s="84"/>
      <c r="BZ41" s="26"/>
      <c r="CA41" s="86"/>
      <c r="CB41" s="86"/>
      <c r="CC41" s="86"/>
      <c r="CD41" s="86"/>
      <c r="CE41" s="86"/>
      <c r="CF41" s="86"/>
      <c r="CG41" s="7"/>
      <c r="CH41" s="69"/>
      <c r="CI41" s="69"/>
      <c r="CJ41" s="69"/>
      <c r="CK41" s="7"/>
      <c r="CL41" s="7"/>
      <c r="CM41" s="7"/>
      <c r="CN41" s="86"/>
      <c r="CO41" s="69"/>
      <c r="CQ41" s="71"/>
      <c r="CR41" s="71"/>
      <c r="CU41" s="86"/>
      <c r="CV41" s="86"/>
      <c r="CW41" s="86"/>
      <c r="CX41" s="86"/>
    </row>
    <row r="42" spans="3:102" ht="15.75" customHeight="1">
      <c r="C42" s="20" t="s">
        <v>33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114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96"/>
      <c r="BR42" s="25"/>
      <c r="BS42" s="25"/>
      <c r="BT42" s="25"/>
      <c r="BU42" s="25"/>
      <c r="BV42" s="25"/>
      <c r="BW42" s="25"/>
      <c r="BX42" s="25"/>
      <c r="BY42" s="25"/>
      <c r="BZ42" s="114"/>
      <c r="CA42" s="25"/>
      <c r="CB42" s="25"/>
      <c r="CC42" s="25"/>
      <c r="CD42" s="25"/>
      <c r="CE42" s="25"/>
      <c r="CF42" s="25"/>
      <c r="CH42" s="115"/>
      <c r="CI42" s="115"/>
      <c r="CJ42" s="115"/>
      <c r="CL42" s="25"/>
      <c r="CN42" s="25"/>
      <c r="CO42" s="25"/>
      <c r="CQ42" s="71"/>
      <c r="CR42" s="71"/>
      <c r="CU42" s="25"/>
      <c r="CV42" s="25"/>
      <c r="CW42" s="25"/>
      <c r="CX42" s="25"/>
    </row>
    <row r="43" spans="3:102" ht="15.75" customHeight="1">
      <c r="C43" s="8" t="s">
        <v>112</v>
      </c>
      <c r="D43" s="84">
        <f t="array" ref="D43">INDEX('Events Summary'!$M:$M,MATCH(D$9,'Events Summary'!$C:$C,0))/1000</f>
        <v>0</v>
      </c>
      <c r="E43" s="84">
        <f t="array" ref="E43">INDEX('Events Summary'!$M:$M,MATCH(E$9,'Events Summary'!$C:$C,0))/1000</f>
        <v>0</v>
      </c>
      <c r="F43" s="84">
        <f t="array" ref="F43">INDEX('Events Summary'!$M:$M,MATCH(F$9,'Events Summary'!$C:$C,0))/1000</f>
        <v>34.75</v>
      </c>
      <c r="G43" s="84">
        <f t="array" ref="G43">INDEX('Events Summary'!$M:$M,MATCH(G$9,'Events Summary'!$C:$C,0))/1000</f>
        <v>138.25</v>
      </c>
      <c r="H43" s="84">
        <f t="array" ref="H43">INDEX('Events Summary'!$M:$M,MATCH(H$9,'Events Summary'!$C:$C,0))/1000</f>
        <v>112.75</v>
      </c>
      <c r="I43" s="84">
        <f t="array" ref="I43">INDEX('Events Summary'!$M:$M,MATCH(I$9,'Events Summary'!$C:$C,0))/1000</f>
        <v>113.5</v>
      </c>
      <c r="J43" s="84">
        <f t="array" ref="J43">INDEX('Events Summary'!$M:$M,MATCH(J$9,'Events Summary'!$C:$C,0))/1000</f>
        <v>49</v>
      </c>
      <c r="K43" s="84">
        <f t="array" ref="K43">INDEX('Events Summary'!$M:$M,MATCH(K$9,'Events Summary'!$C:$C,0))/1000</f>
        <v>112.25</v>
      </c>
      <c r="L43" s="84">
        <f t="array" ref="L43">INDEX('Events Summary'!$M:$M,MATCH(L$9,'Events Summary'!$C:$C,0))/1000</f>
        <v>150.35</v>
      </c>
      <c r="M43" s="84">
        <f t="array" ref="M43">INDEX('Events Summary'!$M:$M,MATCH(M$9,'Events Summary'!$C:$C,0))/1000</f>
        <v>149</v>
      </c>
      <c r="N43" s="84">
        <f t="array" ref="N43">INDEX('Events Summary'!$M:$M,MATCH(N$9,'Events Summary'!$C:$C,0))/1000</f>
        <v>129</v>
      </c>
      <c r="O43" s="84">
        <f t="array" ref="O43">INDEX('Events Summary'!$M:$M,MATCH(O$9,'Events Summary'!$C:$C,0))/1000</f>
        <v>61.5</v>
      </c>
      <c r="P43" s="84">
        <f t="array" ref="P43">INDEX('Events Summary'!$M:$M,MATCH(P$9,'Events Summary'!$C:$C,0))/1000</f>
        <v>0</v>
      </c>
      <c r="Q43" s="84">
        <f t="array" ref="Q43">INDEX('Events Summary'!$M:$M,MATCH(Q$9,'Events Summary'!$C:$C,0))/1000</f>
        <v>0</v>
      </c>
      <c r="R43" s="84">
        <f t="array" ref="R43">INDEX('Events Summary'!$M:$M,MATCH(R$9,'Events Summary'!$C:$C,0))/1000</f>
        <v>58.5</v>
      </c>
      <c r="S43" s="84">
        <f t="array" ref="S43">INDEX('Events Summary'!$M:$M,MATCH(S$9,'Events Summary'!$C:$C,0))/1000</f>
        <v>104.25</v>
      </c>
      <c r="T43" s="84">
        <f t="array" ref="T43">INDEX('Events Summary'!$M:$M,MATCH(T$9,'Events Summary'!$C:$C,0))/1000</f>
        <v>160.25</v>
      </c>
      <c r="U43" s="84">
        <f t="array" ref="U43">INDEX('Events Summary'!$M:$M,MATCH(U$9,'Events Summary'!$C:$C,0))/1000</f>
        <v>109.75</v>
      </c>
      <c r="V43" s="84">
        <f t="array" ref="V43">INDEX('Events Summary'!$M:$M,MATCH(V$9,'Events Summary'!$C:$C,0))/1000</f>
        <v>66</v>
      </c>
      <c r="W43" s="84">
        <f t="array" ref="W43">INDEX('Events Summary'!$M:$M,MATCH(W$9,'Events Summary'!$C:$C,0))/1000</f>
        <v>85.5</v>
      </c>
      <c r="X43" s="84">
        <f t="array" ref="X43">INDEX('Events Summary'!$M:$M,MATCH(X$9,'Events Summary'!$C:$C,0))/1000</f>
        <v>103</v>
      </c>
      <c r="Y43" s="84">
        <f t="array" ref="Y43">INDEX('Events Summary'!$M:$M,MATCH(Y$9,'Events Summary'!$C:$C,0))/1000</f>
        <v>142.25</v>
      </c>
      <c r="Z43" s="84">
        <f t="array" ref="Z43">INDEX('Events Summary'!$M:$M,MATCH(Z$9,'Events Summary'!$C:$C,0))/1000</f>
        <v>53.75</v>
      </c>
      <c r="AA43" s="84">
        <f t="array" ref="AA43">INDEX('Events Summary'!$M:$M,MATCH(AA$9,'Events Summary'!$C:$C,0))/1000</f>
        <v>26.75</v>
      </c>
      <c r="AB43" s="84">
        <f t="array" ref="AB43">INDEX('Events Summary'!$M:$M,MATCH(AB$9,'Events Summary'!$C:$C,0))/1000</f>
        <v>0</v>
      </c>
      <c r="AC43" s="84">
        <f t="array" ref="AC43">INDEX('Events Summary'!$M:$M,MATCH(AC$9,'Events Summary'!$C:$C,0))/1000</f>
        <v>0</v>
      </c>
      <c r="AD43" s="84">
        <f t="array" ref="AD43">INDEX('Events Summary'!$M:$M,MATCH(AD$9,'Events Summary'!$C:$C,0))/1000</f>
        <v>39.75</v>
      </c>
      <c r="AE43" s="84">
        <f t="array" ref="AE43">INDEX('Events Summary'!$M:$M,MATCH(AE$9,'Events Summary'!$C:$C,0))/1000</f>
        <v>112.75</v>
      </c>
      <c r="AF43" s="84">
        <f t="array" ref="AF43">INDEX('Events Summary'!$M:$M,MATCH(AF$9,'Events Summary'!$C:$C,0))/1000</f>
        <v>169.71</v>
      </c>
      <c r="AG43" s="26"/>
      <c r="AH43" s="25">
        <f t="shared" ref="AH43:BQ43" si="90">SUMIFS($CD43:$CF43,$CD$2:$CF$2,AH$3)*AH$36</f>
        <v>87.544743046601582</v>
      </c>
      <c r="AI43" s="25">
        <f t="shared" si="90"/>
        <v>72.953952538834642</v>
      </c>
      <c r="AJ43" s="25">
        <f t="shared" si="90"/>
        <v>109.43092880825198</v>
      </c>
      <c r="AK43" s="25">
        <f t="shared" si="90"/>
        <v>138.61250982378584</v>
      </c>
      <c r="AL43" s="25">
        <f t="shared" si="90"/>
        <v>175.08948609320316</v>
      </c>
      <c r="AM43" s="25">
        <f t="shared" si="90"/>
        <v>87.544743046601582</v>
      </c>
      <c r="AN43" s="25">
        <f t="shared" si="90"/>
        <v>36.476976269417321</v>
      </c>
      <c r="AO43" s="25">
        <f t="shared" si="90"/>
        <v>0</v>
      </c>
      <c r="AP43" s="25">
        <f t="shared" si="90"/>
        <v>0</v>
      </c>
      <c r="AQ43" s="25">
        <f t="shared" si="90"/>
        <v>43.772371523300791</v>
      </c>
      <c r="AR43" s="25">
        <f t="shared" si="90"/>
        <v>145.90790507766928</v>
      </c>
      <c r="AS43" s="25">
        <f t="shared" si="90"/>
        <v>196.97567185485354</v>
      </c>
      <c r="AT43" s="25">
        <f t="shared" si="90"/>
        <v>121.69976002716892</v>
      </c>
      <c r="AU43" s="25">
        <f t="shared" si="90"/>
        <v>67.610977792871623</v>
      </c>
      <c r="AV43" s="25">
        <f t="shared" si="90"/>
        <v>108.1775644685946</v>
      </c>
      <c r="AW43" s="25">
        <f t="shared" si="90"/>
        <v>141.9830533650304</v>
      </c>
      <c r="AX43" s="25">
        <f t="shared" si="90"/>
        <v>162.26634670289189</v>
      </c>
      <c r="AY43" s="25">
        <f t="shared" si="90"/>
        <v>94.655368910020272</v>
      </c>
      <c r="AZ43" s="25">
        <f t="shared" si="90"/>
        <v>40.566586675722974</v>
      </c>
      <c r="BA43" s="25">
        <f t="shared" si="90"/>
        <v>0</v>
      </c>
      <c r="BB43" s="25">
        <f t="shared" si="90"/>
        <v>0</v>
      </c>
      <c r="BC43" s="25">
        <f t="shared" si="90"/>
        <v>54.088782234297298</v>
      </c>
      <c r="BD43" s="25">
        <f t="shared" si="90"/>
        <v>128.46085780645609</v>
      </c>
      <c r="BE43" s="25">
        <f t="shared" si="90"/>
        <v>162.26634670289189</v>
      </c>
      <c r="BF43" s="25">
        <f t="shared" si="90"/>
        <v>121.75127041054037</v>
      </c>
      <c r="BG43" s="25">
        <f t="shared" si="90"/>
        <v>64.07961600554755</v>
      </c>
      <c r="BH43" s="25">
        <f t="shared" si="90"/>
        <v>108.93534720943086</v>
      </c>
      <c r="BI43" s="25">
        <f t="shared" si="90"/>
        <v>140.97515521220464</v>
      </c>
      <c r="BJ43" s="25">
        <f t="shared" si="90"/>
        <v>166.60700161442367</v>
      </c>
      <c r="BK43" s="25">
        <f t="shared" si="90"/>
        <v>96.119424008321346</v>
      </c>
      <c r="BL43" s="25">
        <f t="shared" si="90"/>
        <v>38.447769603328531</v>
      </c>
      <c r="BM43" s="25">
        <f t="shared" si="90"/>
        <v>0</v>
      </c>
      <c r="BN43" s="25">
        <f t="shared" si="90"/>
        <v>0</v>
      </c>
      <c r="BO43" s="25">
        <f t="shared" si="90"/>
        <v>57.6716544049928</v>
      </c>
      <c r="BP43" s="25">
        <f t="shared" si="90"/>
        <v>128.1592320110951</v>
      </c>
      <c r="BQ43" s="96">
        <f t="shared" si="90"/>
        <v>166.60700161442367</v>
      </c>
      <c r="BR43" s="25"/>
      <c r="BS43" s="25">
        <f t="shared" ref="BS43:BY43" si="91">BF43</f>
        <v>121.75127041054037</v>
      </c>
      <c r="BT43" s="25">
        <f t="shared" si="91"/>
        <v>64.07961600554755</v>
      </c>
      <c r="BU43" s="25">
        <f t="shared" si="91"/>
        <v>108.93534720943086</v>
      </c>
      <c r="BV43" s="25">
        <f t="shared" si="91"/>
        <v>140.97515521220464</v>
      </c>
      <c r="BW43" s="25">
        <f t="shared" si="91"/>
        <v>166.60700161442367</v>
      </c>
      <c r="BX43" s="25">
        <f t="shared" si="91"/>
        <v>96.119424008321346</v>
      </c>
      <c r="BY43" s="25">
        <f t="shared" si="91"/>
        <v>38.447769603328531</v>
      </c>
      <c r="BZ43" s="26"/>
      <c r="CA43" s="86">
        <f>'Revenue Analysis - Total'!D60+'Revenue Analysis - Total'!D75</f>
        <v>1050.3499999999999</v>
      </c>
      <c r="CB43" s="86">
        <f>'Revenue Analysis - Total'!E60+'Revenue Analysis - Total'!E75</f>
        <v>910</v>
      </c>
      <c r="CC43" s="86">
        <f>'Revenue Analysis - Total'!F60+'Revenue Analysis - Total'!F75</f>
        <v>899.75</v>
      </c>
      <c r="CD43" s="86">
        <f>'Revenue Analysis - Total'!G60+'Revenue Analysis - Total'!G75</f>
        <v>1094.3092880825197</v>
      </c>
      <c r="CE43" s="86">
        <f>'Revenue Analysis - Total'!H60+'Revenue Analysis - Total'!H75</f>
        <v>1081.775644685946</v>
      </c>
      <c r="CF43" s="86">
        <f>'Revenue Analysis - Total'!I60+'Revenue Analysis - Total'!I75</f>
        <v>1089.3534720943085</v>
      </c>
      <c r="CG43" s="7"/>
      <c r="CH43" s="45"/>
      <c r="CI43" s="45"/>
      <c r="CJ43" s="45"/>
      <c r="CK43" s="7"/>
      <c r="CL43" s="45"/>
      <c r="CM43" s="7"/>
      <c r="CN43" s="86">
        <f>SUMIFS('FY25 By Venue Financials'!$J:$J,'FY25 By Venue Financials'!$A:$A,$C43)</f>
        <v>8322.8813499999997</v>
      </c>
      <c r="CO43" s="69"/>
      <c r="CQ43" s="71"/>
      <c r="CR43" s="71" t="s">
        <v>113</v>
      </c>
      <c r="CU43" s="25">
        <f t="shared" ref="CU43:CX43" si="92">SUMIFS($D43:$BZ43,$D$1:$BZ$1,CU$9)</f>
        <v>1029.8633396266962</v>
      </c>
      <c r="CV43" s="25">
        <f t="shared" si="92"/>
        <v>1123.6156063981243</v>
      </c>
      <c r="CW43" s="25">
        <f t="shared" si="92"/>
        <v>1081.7315708074423</v>
      </c>
      <c r="CX43" s="25">
        <f t="shared" si="92"/>
        <v>1089.3534720943085</v>
      </c>
    </row>
    <row r="44" spans="3:102" ht="15.75" customHeight="1">
      <c r="C44" s="8" t="s">
        <v>114</v>
      </c>
      <c r="D44" s="84">
        <f t="array" ref="D44">INDEX('Events Summary'!$Q:$Q,MATCH(D$9,'Events Summary'!$C:$C,0))/1000</f>
        <v>0</v>
      </c>
      <c r="E44" s="84">
        <f t="array" ref="E44">INDEX('Events Summary'!$Q:$Q,MATCH(E$9,'Events Summary'!$C:$C,0))/1000</f>
        <v>0</v>
      </c>
      <c r="F44" s="84">
        <f t="array" ref="F44">INDEX('Events Summary'!$Q:$Q,MATCH(F$9,'Events Summary'!$C:$C,0))/1000</f>
        <v>0</v>
      </c>
      <c r="G44" s="84">
        <f t="array" ref="G44">INDEX('Events Summary'!$Q:$Q,MATCH(G$9,'Events Summary'!$C:$C,0))/1000</f>
        <v>1.5</v>
      </c>
      <c r="H44" s="84">
        <f t="array" ref="H44">INDEX('Events Summary'!$Q:$Q,MATCH(H$9,'Events Summary'!$C:$C,0))/1000</f>
        <v>1.5</v>
      </c>
      <c r="I44" s="84">
        <f t="array" ref="I44">INDEX('Events Summary'!$Q:$Q,MATCH(I$9,'Events Summary'!$C:$C,0))/1000</f>
        <v>3</v>
      </c>
      <c r="J44" s="84">
        <f t="array" ref="J44">INDEX('Events Summary'!$Q:$Q,MATCH(J$9,'Events Summary'!$C:$C,0))/1000</f>
        <v>1.5</v>
      </c>
      <c r="K44" s="84">
        <f t="array" ref="K44">INDEX('Events Summary'!$Q:$Q,MATCH(K$9,'Events Summary'!$C:$C,0))/1000</f>
        <v>1.5</v>
      </c>
      <c r="L44" s="84">
        <f t="array" ref="L44">INDEX('Events Summary'!$Q:$Q,MATCH(L$9,'Events Summary'!$C:$C,0))/1000</f>
        <v>6</v>
      </c>
      <c r="M44" s="84">
        <f t="array" ref="M44">INDEX('Events Summary'!$Q:$Q,MATCH(M$9,'Events Summary'!$C:$C,0))/1000</f>
        <v>9</v>
      </c>
      <c r="N44" s="84">
        <f t="array" ref="N44">INDEX('Events Summary'!$Q:$Q,MATCH(N$9,'Events Summary'!$C:$C,0))/1000</f>
        <v>3</v>
      </c>
      <c r="O44" s="84">
        <f t="array" ref="O44">INDEX('Events Summary'!$Q:$Q,MATCH(O$9,'Events Summary'!$C:$C,0))/1000</f>
        <v>6</v>
      </c>
      <c r="P44" s="84">
        <f t="array" ref="P44">INDEX('Events Summary'!$Q:$Q,MATCH(P$9,'Events Summary'!$C:$C,0))/1000</f>
        <v>0</v>
      </c>
      <c r="Q44" s="84">
        <f t="array" ref="Q44">INDEX('Events Summary'!$Q:$Q,MATCH(Q$9,'Events Summary'!$C:$C,0))/1000</f>
        <v>0</v>
      </c>
      <c r="R44" s="84">
        <f t="array" ref="R44">INDEX('Events Summary'!$Q:$Q,MATCH(R$9,'Events Summary'!$C:$C,0))/1000</f>
        <v>1.5</v>
      </c>
      <c r="S44" s="84">
        <f t="array" ref="S44">INDEX('Events Summary'!$Q:$Q,MATCH(S$9,'Events Summary'!$C:$C,0))/1000</f>
        <v>3</v>
      </c>
      <c r="T44" s="84">
        <f t="array" ref="T44">INDEX('Events Summary'!$Q:$Q,MATCH(T$9,'Events Summary'!$C:$C,0))/1000</f>
        <v>12</v>
      </c>
      <c r="U44" s="84">
        <f t="array" ref="U44">INDEX('Events Summary'!$Q:$Q,MATCH(U$9,'Events Summary'!$C:$C,0))/1000</f>
        <v>7.5</v>
      </c>
      <c r="V44" s="84">
        <f t="array" ref="V44">INDEX('Events Summary'!$Q:$Q,MATCH(V$9,'Events Summary'!$C:$C,0))/1000</f>
        <v>9</v>
      </c>
      <c r="W44" s="84">
        <f t="array" ref="W44">INDEX('Events Summary'!$Q:$Q,MATCH(W$9,'Events Summary'!$C:$C,0))/1000</f>
        <v>4.5</v>
      </c>
      <c r="X44" s="84">
        <f t="array" ref="X44">INDEX('Events Summary'!$Q:$Q,MATCH(X$9,'Events Summary'!$C:$C,0))/1000</f>
        <v>9</v>
      </c>
      <c r="Y44" s="84">
        <f t="array" ref="Y44">INDEX('Events Summary'!$Q:$Q,MATCH(Y$9,'Events Summary'!$C:$C,0))/1000</f>
        <v>7.5</v>
      </c>
      <c r="Z44" s="84">
        <f t="array" ref="Z44">INDEX('Events Summary'!$Q:$Q,MATCH(Z$9,'Events Summary'!$C:$C,0))/1000</f>
        <v>4.5</v>
      </c>
      <c r="AA44" s="84">
        <f t="array" ref="AA44">INDEX('Events Summary'!$Q:$Q,MATCH(AA$9,'Events Summary'!$C:$C,0))/1000</f>
        <v>0</v>
      </c>
      <c r="AB44" s="84">
        <f t="array" ref="AB44">INDEX('Events Summary'!$Q:$Q,MATCH(AB$9,'Events Summary'!$C:$C,0))/1000</f>
        <v>0</v>
      </c>
      <c r="AC44" s="84">
        <f t="array" ref="AC44">INDEX('Events Summary'!$Q:$Q,MATCH(AC$9,'Events Summary'!$C:$C,0))/1000</f>
        <v>0</v>
      </c>
      <c r="AD44" s="84">
        <f t="array" ref="AD44">INDEX('Events Summary'!$Q:$Q,MATCH(AD$9,'Events Summary'!$C:$C,0))/1000</f>
        <v>1.75</v>
      </c>
      <c r="AE44" s="84">
        <f t="array" ref="AE44">INDEX('Events Summary'!$Q:$Q,MATCH(AE$9,'Events Summary'!$C:$C,0))/1000</f>
        <v>11.25</v>
      </c>
      <c r="AF44" s="84">
        <f t="array" ref="AF44">INDEX('Events Summary'!$Q:$Q,MATCH(AF$9,'Events Summary'!$C:$C,0))/1000</f>
        <v>8.5</v>
      </c>
      <c r="AG44" s="26"/>
      <c r="AH44" s="25">
        <f t="shared" ref="AH44:BQ44" si="93">SUMIFS($CH44:$CJ44,$CH$1:$CJ$1,AH$3)*AH$40</f>
        <v>7</v>
      </c>
      <c r="AI44" s="25">
        <f t="shared" si="93"/>
        <v>0</v>
      </c>
      <c r="AJ44" s="25">
        <f t="shared" si="93"/>
        <v>3.5</v>
      </c>
      <c r="AK44" s="25">
        <f t="shared" si="93"/>
        <v>8.75</v>
      </c>
      <c r="AL44" s="25">
        <f t="shared" si="93"/>
        <v>10.5</v>
      </c>
      <c r="AM44" s="25">
        <f t="shared" si="93"/>
        <v>1.75</v>
      </c>
      <c r="AN44" s="25">
        <f t="shared" si="93"/>
        <v>0</v>
      </c>
      <c r="AO44" s="25">
        <f t="shared" si="93"/>
        <v>0</v>
      </c>
      <c r="AP44" s="25">
        <f t="shared" si="93"/>
        <v>0</v>
      </c>
      <c r="AQ44" s="25">
        <f t="shared" si="93"/>
        <v>3.5</v>
      </c>
      <c r="AR44" s="25">
        <f t="shared" si="93"/>
        <v>12.25</v>
      </c>
      <c r="AS44" s="25">
        <f t="shared" si="93"/>
        <v>21</v>
      </c>
      <c r="AT44" s="25">
        <f t="shared" si="93"/>
        <v>7</v>
      </c>
      <c r="AU44" s="25">
        <f t="shared" si="93"/>
        <v>3.5</v>
      </c>
      <c r="AV44" s="25">
        <f t="shared" si="93"/>
        <v>7</v>
      </c>
      <c r="AW44" s="25">
        <f t="shared" si="93"/>
        <v>8.75</v>
      </c>
      <c r="AX44" s="25">
        <f t="shared" si="93"/>
        <v>10.5</v>
      </c>
      <c r="AY44" s="25">
        <f t="shared" si="93"/>
        <v>7</v>
      </c>
      <c r="AZ44" s="25">
        <f t="shared" si="93"/>
        <v>3.5</v>
      </c>
      <c r="BA44" s="25">
        <f t="shared" si="93"/>
        <v>0</v>
      </c>
      <c r="BB44" s="25">
        <f t="shared" si="93"/>
        <v>0</v>
      </c>
      <c r="BC44" s="25">
        <f t="shared" si="93"/>
        <v>3.5</v>
      </c>
      <c r="BD44" s="25">
        <f t="shared" si="93"/>
        <v>8.75</v>
      </c>
      <c r="BE44" s="25">
        <f t="shared" si="93"/>
        <v>10.5</v>
      </c>
      <c r="BF44" s="25">
        <f t="shared" si="93"/>
        <v>7</v>
      </c>
      <c r="BG44" s="25">
        <f t="shared" si="93"/>
        <v>3.5</v>
      </c>
      <c r="BH44" s="25">
        <f t="shared" si="93"/>
        <v>7</v>
      </c>
      <c r="BI44" s="25">
        <f t="shared" si="93"/>
        <v>8.75</v>
      </c>
      <c r="BJ44" s="25">
        <f t="shared" si="93"/>
        <v>10.5</v>
      </c>
      <c r="BK44" s="25">
        <f t="shared" si="93"/>
        <v>7</v>
      </c>
      <c r="BL44" s="25">
        <f t="shared" si="93"/>
        <v>3.5</v>
      </c>
      <c r="BM44" s="25">
        <f t="shared" si="93"/>
        <v>0</v>
      </c>
      <c r="BN44" s="25">
        <f t="shared" si="93"/>
        <v>0</v>
      </c>
      <c r="BO44" s="25">
        <f t="shared" si="93"/>
        <v>3.5</v>
      </c>
      <c r="BP44" s="25">
        <f t="shared" si="93"/>
        <v>8.75</v>
      </c>
      <c r="BQ44" s="96">
        <f t="shared" si="93"/>
        <v>10.5</v>
      </c>
      <c r="BR44" s="25"/>
      <c r="BS44" s="25">
        <f t="shared" ref="BS44:BY44" si="94">BF44</f>
        <v>7</v>
      </c>
      <c r="BT44" s="25">
        <f t="shared" si="94"/>
        <v>3.5</v>
      </c>
      <c r="BU44" s="25">
        <f t="shared" si="94"/>
        <v>7</v>
      </c>
      <c r="BV44" s="25">
        <f t="shared" si="94"/>
        <v>8.75</v>
      </c>
      <c r="BW44" s="25">
        <f t="shared" si="94"/>
        <v>10.5</v>
      </c>
      <c r="BX44" s="25">
        <f t="shared" si="94"/>
        <v>7</v>
      </c>
      <c r="BY44" s="25">
        <f t="shared" si="94"/>
        <v>3.5</v>
      </c>
      <c r="BZ44" s="26"/>
      <c r="CA44" s="25">
        <f t="shared" ref="CA44:CB44" si="95">SUMIFS($D44:$BZ44,$D$1:$BZ$1,CA$2)</f>
        <v>33</v>
      </c>
      <c r="CB44" s="25">
        <f t="shared" si="95"/>
        <v>58.5</v>
      </c>
      <c r="CC44" s="25">
        <f t="shared" ref="CC44:CC45" si="96">SUMIFS($P44:$AF44,$P$3:$AF$3,$CC$2)</f>
        <v>67</v>
      </c>
      <c r="CD44" s="25">
        <f t="shared" ref="CD44:CF44" si="97">SUMIFS($D44:$BZ44,$D$3:$BZ$3,CD$2)</f>
        <v>68.25</v>
      </c>
      <c r="CE44" s="25">
        <f t="shared" si="97"/>
        <v>70</v>
      </c>
      <c r="CF44" s="25">
        <f t="shared" si="97"/>
        <v>70</v>
      </c>
      <c r="CG44" s="7"/>
      <c r="CH44" s="116">
        <v>1.75</v>
      </c>
      <c r="CI44" s="116">
        <v>1.75</v>
      </c>
      <c r="CJ44" s="116">
        <v>1.75</v>
      </c>
      <c r="CK44" s="7"/>
      <c r="CL44" s="45"/>
      <c r="CM44" s="7"/>
      <c r="CN44" s="86">
        <f>SUMIFS('FY25 By Venue Financials'!$J:$J,'FY25 By Venue Financials'!$A:$A,$C44)</f>
        <v>0</v>
      </c>
      <c r="CO44" s="69"/>
      <c r="CQ44" s="71"/>
      <c r="CR44" s="71" t="s">
        <v>115</v>
      </c>
      <c r="CU44" s="25">
        <f t="shared" ref="CU44:CX44" si="98">SUMIFS($D44:$BZ44,$D$1:$BZ$1,CU$9)</f>
        <v>53</v>
      </c>
      <c r="CV44" s="25">
        <f t="shared" si="98"/>
        <v>84</v>
      </c>
      <c r="CW44" s="25">
        <f t="shared" si="98"/>
        <v>70</v>
      </c>
      <c r="CX44" s="25">
        <f t="shared" si="98"/>
        <v>70</v>
      </c>
    </row>
    <row r="45" spans="3:102" ht="15.75" customHeight="1">
      <c r="C45" s="8" t="s">
        <v>116</v>
      </c>
      <c r="D45" s="117">
        <f t="shared" ref="D45:O45" si="99">$CA45*D$35/SUM($D$35:$O$35)</f>
        <v>0</v>
      </c>
      <c r="E45" s="117">
        <f t="shared" si="99"/>
        <v>0</v>
      </c>
      <c r="F45" s="117">
        <f t="shared" si="99"/>
        <v>7.7056532679738563</v>
      </c>
      <c r="G45" s="117">
        <f t="shared" si="99"/>
        <v>30.822613071895425</v>
      </c>
      <c r="H45" s="117">
        <f t="shared" si="99"/>
        <v>26.199221111111111</v>
      </c>
      <c r="I45" s="117">
        <f t="shared" si="99"/>
        <v>24.658090457516341</v>
      </c>
      <c r="J45" s="117">
        <f t="shared" si="99"/>
        <v>10.7879145751634</v>
      </c>
      <c r="K45" s="117">
        <f t="shared" si="99"/>
        <v>24.658090457516341</v>
      </c>
      <c r="L45" s="117">
        <f t="shared" si="99"/>
        <v>33.904874379084966</v>
      </c>
      <c r="M45" s="117">
        <f t="shared" si="99"/>
        <v>33.904874379084966</v>
      </c>
      <c r="N45" s="117">
        <f t="shared" si="99"/>
        <v>29.281482418300655</v>
      </c>
      <c r="O45" s="117">
        <f t="shared" si="99"/>
        <v>13.870175882352942</v>
      </c>
      <c r="P45" s="117">
        <f>-P61+SUMIFS('All Inclusive Margin'!$C:$C,'All Inclusive Margin'!$E:$E,P$9)/1000</f>
        <v>10.13686</v>
      </c>
      <c r="Q45" s="117">
        <f>-Q61+SUMIFS('All Inclusive Margin'!$C:$C,'All Inclusive Margin'!$E:$E,Q$9)/1000</f>
        <v>24.61683</v>
      </c>
      <c r="R45" s="117">
        <f>-R61+SUMIFS('All Inclusive Margin'!$C:$C,'All Inclusive Margin'!$E:$E,R$9)/1000</f>
        <v>7.35358</v>
      </c>
      <c r="S45" s="117">
        <f>-S61+SUMIFS('All Inclusive Margin'!$C:$C,'All Inclusive Margin'!$E:$E,S$9)/1000</f>
        <v>17.792670000000001</v>
      </c>
      <c r="T45" s="117">
        <f>-T61+SUMIFS('All Inclusive Margin'!$C:$C,'All Inclusive Margin'!$E:$E,T$9)/1000</f>
        <v>44.326180000000001</v>
      </c>
      <c r="U45" s="117">
        <f>-U61+SUMIFS('All Inclusive Margin'!$C:$C,'All Inclusive Margin'!$E:$E,U$9)/1000</f>
        <v>63.797149999999995</v>
      </c>
      <c r="V45" s="117">
        <f>-V61+SUMIFS('All Inclusive Margin'!$C:$C,'All Inclusive Margin'!$E:$E,V$9)/1000</f>
        <v>9.5273900000000005</v>
      </c>
      <c r="W45" s="117">
        <f>-W61+SUMIFS('All Inclusive Margin'!$C:$C,'All Inclusive Margin'!$E:$E,W$9)/1000</f>
        <v>13.291529999999998</v>
      </c>
      <c r="X45" s="117">
        <f>-X61+SUMIFS('All Inclusive Margin'!$C:$C,'All Inclusive Margin'!$E:$E,X$9)/1000</f>
        <v>48.697240000000008</v>
      </c>
      <c r="Y45" s="117">
        <f>-Y61+SUMIFS('All Inclusive Margin'!$C:$C,'All Inclusive Margin'!$E:$E,Y$9)/1000</f>
        <v>74.022660000000002</v>
      </c>
      <c r="Z45" s="117">
        <f>-Z61+SUMIFS('All Inclusive Margin'!$C:$C,'All Inclusive Margin'!$E:$E,Z$9)/1000</f>
        <v>43.709399999999995</v>
      </c>
      <c r="AA45" s="117">
        <f>-AA61+SUMIFS('All Inclusive Margin'!$C:$C,'All Inclusive Margin'!$E:$E,AA$9)/1000</f>
        <v>2.5949400000000002</v>
      </c>
      <c r="AB45" s="117">
        <f>-AB61+SUMIFS('All Inclusive Margin'!$C:$C,'All Inclusive Margin'!$E:$E,AB$9)/1000</f>
        <v>0.88854999999999995</v>
      </c>
      <c r="AC45" s="117">
        <f>-AC61+SUMIFS('All Inclusive Margin'!$C:$C,'All Inclusive Margin'!$E:$E,AC$9)/1000</f>
        <v>1.2470000000000001</v>
      </c>
      <c r="AD45" s="117">
        <f>-AD61+SUMIFS('All Inclusive Margin'!$C:$C,'All Inclusive Margin'!$E:$E,AD$9)/1000</f>
        <v>5.9573599999999995</v>
      </c>
      <c r="AE45" s="117">
        <f>-AE61+SUMIFS('All Inclusive Margin'!$C:$C,'All Inclusive Margin'!$E:$E,AE$9)/1000</f>
        <v>17.448340000000002</v>
      </c>
      <c r="AF45" s="117">
        <f>-AF61+SUMIFS('All Inclusive Margin'!$C:$C,'All Inclusive Margin'!$E:$E,AF$9)/1000</f>
        <v>18.761189999999999</v>
      </c>
      <c r="AG45" s="26"/>
      <c r="AH45" s="84">
        <f>SUMIFS('Future Events'!$AG:$AG,'Future Events'!$D:$D,AH$9)/1000</f>
        <v>35.094999999999999</v>
      </c>
      <c r="AI45" s="84">
        <f>SUMIFS('Future Events'!$AG:$AG,'Future Events'!$D:$D,AI$9)/1000</f>
        <v>7.9249999999999998</v>
      </c>
      <c r="AJ45" s="84">
        <f>SUMIFS('Future Events'!$AG:$AG,'Future Events'!$D:$D,AJ$9)/1000</f>
        <v>74.58</v>
      </c>
      <c r="AK45" s="84">
        <f>SUMIFS('Future Events'!$AG:$AG,'Future Events'!$D:$D,AK$9)/1000</f>
        <v>44.484999999999999</v>
      </c>
      <c r="AL45" s="84">
        <f>SUMIFS('Future Events'!$AG:$AG,'Future Events'!$D:$D,AL$9)/1000</f>
        <v>31.074999999999999</v>
      </c>
      <c r="AM45" s="84">
        <f>SUMIFS('Future Events'!$AG:$AG,'Future Events'!$D:$D,AM$9)/1000</f>
        <v>24.574999999999999</v>
      </c>
      <c r="AN45" s="84">
        <f>SUMIFS('Future Events'!$AG:$AG,'Future Events'!$D:$D,AN$9)/1000</f>
        <v>0.95</v>
      </c>
      <c r="AO45" s="84">
        <f>SUMIFS('Future Events'!$AG:$AG,'Future Events'!$D:$D,AO$9)/1000</f>
        <v>0</v>
      </c>
      <c r="AP45" s="84">
        <f>SUMIFS('Future Events'!$AG:$AG,'Future Events'!$D:$D,AP$9)/1000</f>
        <v>0</v>
      </c>
      <c r="AQ45" s="84">
        <f>SUMIFS('Future Events'!$AG:$AG,'Future Events'!$D:$D,AQ$9)/1000</f>
        <v>0.3</v>
      </c>
      <c r="AR45" s="84">
        <f>SUMIFS('Future Events'!$AG:$AG,'Future Events'!$D:$D,AR$9)/1000</f>
        <v>2.65</v>
      </c>
      <c r="AS45" s="84">
        <f>SUMIFS('Future Events'!$AG:$AG,'Future Events'!$D:$D,AS$9)/1000</f>
        <v>66.435000000000002</v>
      </c>
      <c r="AT45" s="84">
        <f>SUMIFS('Future Events'!$AG:$AG,'Future Events'!$D:$D,AT$9)/1000</f>
        <v>27.375</v>
      </c>
      <c r="AU45" s="84">
        <f>SUMIFS('Future Events'!$AG:$AG,'Future Events'!$D:$D,AU$9)/1000</f>
        <v>0.6</v>
      </c>
      <c r="AV45" s="84">
        <f>SUMIFS('Future Events'!$AG:$AG,'Future Events'!$D:$D,AV$9)/1000</f>
        <v>2.2999999999999998</v>
      </c>
      <c r="AW45" s="84">
        <f>SUMIFS('Future Events'!$AG:$AG,'Future Events'!$D:$D,AW$9)/1000</f>
        <v>13.8</v>
      </c>
      <c r="AX45" s="84">
        <f>SUMIFS('Future Events'!$AG:$AG,'Future Events'!$D:$D,AX$9)/1000</f>
        <v>25.57</v>
      </c>
      <c r="AY45" s="84">
        <f>SUMIFS('Future Events'!$AG:$AG,'Future Events'!$D:$D,AY$9)/1000</f>
        <v>2</v>
      </c>
      <c r="AZ45" s="84">
        <f>SUMIFS('Future Events'!$AG:$AG,'Future Events'!$D:$D,AZ$9)/1000</f>
        <v>0</v>
      </c>
      <c r="BA45" s="84">
        <f>SUMIFS('Future Events'!$AG:$AG,'Future Events'!$D:$D,BA$9)/1000</f>
        <v>0</v>
      </c>
      <c r="BB45" s="84">
        <f>SUMIFS('Future Events'!$AG:$AG,'Future Events'!$D:$D,BB$9)/1000</f>
        <v>0</v>
      </c>
      <c r="BC45" s="84">
        <f>SUMIFS('Future Events'!$AG:$AG,'Future Events'!$D:$D,BC$9)/1000</f>
        <v>0</v>
      </c>
      <c r="BD45" s="84">
        <f>SUMIFS('Future Events'!$AG:$AG,'Future Events'!$D:$D,BD$9)/1000</f>
        <v>0</v>
      </c>
      <c r="BE45" s="84">
        <f>SUMIFS('Future Events'!$AG:$AG,'Future Events'!$D:$D,BE$9)/1000</f>
        <v>0</v>
      </c>
      <c r="BF45" s="84">
        <f>SUMIFS('Future Events'!$AG:$AG,'Future Events'!$D:$D,BF$9)/1000</f>
        <v>0</v>
      </c>
      <c r="BG45" s="84">
        <f>SUMIFS('Future Events'!$AG:$AG,'Future Events'!$D:$D,BG$9)/1000</f>
        <v>0</v>
      </c>
      <c r="BH45" s="84">
        <f>SUMIFS('Future Events'!$AG:$AG,'Future Events'!$D:$D,BH$9)/1000</f>
        <v>0</v>
      </c>
      <c r="BI45" s="84">
        <f>SUMIFS('Future Events'!$AG:$AG,'Future Events'!$D:$D,BI$9)/1000</f>
        <v>0</v>
      </c>
      <c r="BJ45" s="84">
        <f>SUMIFS('Future Events'!$AG:$AG,'Future Events'!$D:$D,BJ$9)/1000</f>
        <v>0</v>
      </c>
      <c r="BK45" s="84">
        <f>SUMIFS('Future Events'!$AG:$AG,'Future Events'!$D:$D,BK$9)/1000</f>
        <v>0</v>
      </c>
      <c r="BL45" s="84">
        <f>SUMIFS('Future Events'!$AG:$AG,'Future Events'!$D:$D,BL$9)/1000</f>
        <v>0</v>
      </c>
      <c r="BM45" s="84">
        <f>SUMIFS('Future Events'!$AG:$AG,'Future Events'!$D:$D,BM$9)/1000</f>
        <v>0</v>
      </c>
      <c r="BN45" s="84">
        <f>SUMIFS('Future Events'!$AG:$AG,'Future Events'!$D:$D,BN$9)/1000</f>
        <v>0</v>
      </c>
      <c r="BO45" s="84">
        <f>SUMIFS('Future Events'!$AG:$AG,'Future Events'!$D:$D,BO$9)/1000</f>
        <v>0</v>
      </c>
      <c r="BP45" s="84">
        <f>SUMIFS('Future Events'!$AG:$AG,'Future Events'!$D:$D,BP$9)/1000</f>
        <v>0</v>
      </c>
      <c r="BQ45" s="85">
        <f>SUMIFS('Future Events'!$AG:$AG,'Future Events'!$D:$D,BQ$9)/1000</f>
        <v>0</v>
      </c>
      <c r="BR45" s="84"/>
      <c r="BS45" s="84">
        <f>SUMIFS('Future Events'!$AG:$AG,'Future Events'!$D:$D,BS$9)/1000</f>
        <v>0</v>
      </c>
      <c r="BT45" s="84">
        <f>SUMIFS('Future Events'!$AG:$AG,'Future Events'!$D:$D,BT$9)/1000</f>
        <v>0</v>
      </c>
      <c r="BU45" s="84">
        <f>SUMIFS('Future Events'!$AG:$AG,'Future Events'!$D:$D,BU$9)/1000</f>
        <v>0</v>
      </c>
      <c r="BV45" s="84">
        <f>SUMIFS('Future Events'!$AG:$AG,'Future Events'!$D:$D,BV$9)/1000</f>
        <v>0</v>
      </c>
      <c r="BW45" s="84">
        <f>SUMIFS('Future Events'!$AG:$AG,'Future Events'!$D:$D,BW$9)/1000</f>
        <v>0</v>
      </c>
      <c r="BX45" s="84">
        <f>SUMIFS('Future Events'!$AG:$AG,'Future Events'!$D:$D,BX$9)/1000</f>
        <v>0</v>
      </c>
      <c r="BY45" s="84">
        <f>SUMIFS('Future Events'!$AG:$AG,'Future Events'!$D:$D,BY$9)/1000</f>
        <v>0</v>
      </c>
      <c r="BZ45" s="26"/>
      <c r="CA45" s="117">
        <v>235.79299</v>
      </c>
      <c r="CB45" s="25">
        <f>SUMIFS($D45:$AF45,$D$1:$AF$1,CB$2)</f>
        <v>359.86643000000004</v>
      </c>
      <c r="CC45" s="25">
        <f t="shared" si="96"/>
        <v>325.50774000000001</v>
      </c>
      <c r="CD45" s="25">
        <f t="shared" ref="CD45:CF45" si="100">SUMIFS($D45:$BZ45,$D$3:$BZ$3,CD$2)</f>
        <v>288.06999999999994</v>
      </c>
      <c r="CE45" s="25">
        <f t="shared" si="100"/>
        <v>71.64500000000001</v>
      </c>
      <c r="CF45" s="25">
        <f t="shared" si="100"/>
        <v>0</v>
      </c>
      <c r="CG45" s="7"/>
      <c r="CH45" s="45"/>
      <c r="CI45" s="45"/>
      <c r="CJ45" s="45"/>
      <c r="CK45" s="7"/>
      <c r="CL45" s="45"/>
      <c r="CM45" s="7"/>
      <c r="CN45" s="86">
        <f>SUMIFS('FY25 By Venue Financials'!$J:$J,'FY25 By Venue Financials'!$A:$A,$C45)</f>
        <v>0</v>
      </c>
      <c r="CO45" s="69"/>
      <c r="CQ45" s="71"/>
      <c r="CR45" s="71" t="s">
        <v>113</v>
      </c>
      <c r="CU45" s="25">
        <f t="shared" ref="CU45:CX45" si="101">SUMIFS($D45:$BZ45,$D$1:$BZ$1,CU$9)</f>
        <v>262.98743999999999</v>
      </c>
      <c r="CV45" s="25">
        <f t="shared" si="101"/>
        <v>141.03</v>
      </c>
      <c r="CW45" s="25">
        <f t="shared" si="101"/>
        <v>0</v>
      </c>
      <c r="CX45" s="25">
        <f t="shared" si="101"/>
        <v>0</v>
      </c>
    </row>
    <row r="46" spans="3:102" ht="15.75" customHeight="1">
      <c r="C46" s="8" t="s">
        <v>117</v>
      </c>
      <c r="D46" s="84">
        <v>0</v>
      </c>
      <c r="E46" s="84">
        <v>0</v>
      </c>
      <c r="F46" s="84">
        <v>0</v>
      </c>
      <c r="G46" s="84">
        <v>0</v>
      </c>
      <c r="H46" s="84">
        <v>0</v>
      </c>
      <c r="I46" s="84">
        <v>0</v>
      </c>
      <c r="J46" s="84">
        <v>0</v>
      </c>
      <c r="K46" s="84">
        <v>0</v>
      </c>
      <c r="L46" s="84">
        <v>0</v>
      </c>
      <c r="M46" s="84">
        <v>0</v>
      </c>
      <c r="N46" s="84">
        <v>0</v>
      </c>
      <c r="O46" s="84">
        <v>0</v>
      </c>
      <c r="P46" s="84">
        <v>0</v>
      </c>
      <c r="Q46" s="84">
        <v>0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4">
        <v>0</v>
      </c>
      <c r="X46" s="84">
        <v>0</v>
      </c>
      <c r="Y46" s="84">
        <v>0</v>
      </c>
      <c r="Z46" s="84">
        <v>0</v>
      </c>
      <c r="AA46" s="84">
        <v>0</v>
      </c>
      <c r="AB46" s="84">
        <v>0</v>
      </c>
      <c r="AC46" s="84">
        <v>0</v>
      </c>
      <c r="AD46" s="84">
        <v>0</v>
      </c>
      <c r="AE46" s="84">
        <v>0</v>
      </c>
      <c r="AF46" s="84">
        <v>0</v>
      </c>
      <c r="AG46" s="26"/>
      <c r="AH46" s="25">
        <f t="shared" ref="AH46:BQ46" si="102">SUMIFS($CD46:$CF46,$CD$2:$CF$2,AH$3)*AH$36</f>
        <v>16.260000000000002</v>
      </c>
      <c r="AI46" s="25">
        <f t="shared" si="102"/>
        <v>13.549999999999999</v>
      </c>
      <c r="AJ46" s="25">
        <f t="shared" si="102"/>
        <v>20.325000000000003</v>
      </c>
      <c r="AK46" s="25">
        <f t="shared" si="102"/>
        <v>25.745000000000001</v>
      </c>
      <c r="AL46" s="25">
        <f t="shared" si="102"/>
        <v>32.520000000000003</v>
      </c>
      <c r="AM46" s="25">
        <f t="shared" si="102"/>
        <v>16.260000000000002</v>
      </c>
      <c r="AN46" s="25">
        <f t="shared" si="102"/>
        <v>6.7749999999999995</v>
      </c>
      <c r="AO46" s="25">
        <f t="shared" si="102"/>
        <v>0</v>
      </c>
      <c r="AP46" s="25">
        <f t="shared" si="102"/>
        <v>0</v>
      </c>
      <c r="AQ46" s="25">
        <f t="shared" si="102"/>
        <v>8.1300000000000008</v>
      </c>
      <c r="AR46" s="25">
        <f t="shared" si="102"/>
        <v>27.099999999999998</v>
      </c>
      <c r="AS46" s="25">
        <f t="shared" si="102"/>
        <v>36.585000000000001</v>
      </c>
      <c r="AT46" s="25">
        <f t="shared" si="102"/>
        <v>53.607187500000002</v>
      </c>
      <c r="AU46" s="25">
        <f t="shared" si="102"/>
        <v>29.781770833333333</v>
      </c>
      <c r="AV46" s="25">
        <f t="shared" si="102"/>
        <v>47.650833333333338</v>
      </c>
      <c r="AW46" s="25">
        <f t="shared" si="102"/>
        <v>62.541718750000001</v>
      </c>
      <c r="AX46" s="25">
        <f t="shared" si="102"/>
        <v>71.476249999999993</v>
      </c>
      <c r="AY46" s="25">
        <f t="shared" si="102"/>
        <v>41.69447916666666</v>
      </c>
      <c r="AZ46" s="25">
        <f t="shared" si="102"/>
        <v>17.869062499999998</v>
      </c>
      <c r="BA46" s="25">
        <f t="shared" si="102"/>
        <v>0</v>
      </c>
      <c r="BB46" s="25">
        <f t="shared" si="102"/>
        <v>0</v>
      </c>
      <c r="BC46" s="25">
        <f t="shared" si="102"/>
        <v>23.825416666666669</v>
      </c>
      <c r="BD46" s="25">
        <f t="shared" si="102"/>
        <v>56.58536458333333</v>
      </c>
      <c r="BE46" s="25">
        <f t="shared" si="102"/>
        <v>71.476249999999993</v>
      </c>
      <c r="BF46" s="25">
        <f t="shared" si="102"/>
        <v>85.816666666666677</v>
      </c>
      <c r="BG46" s="25">
        <f t="shared" si="102"/>
        <v>45.166666666666671</v>
      </c>
      <c r="BH46" s="25">
        <f t="shared" si="102"/>
        <v>76.783333333333346</v>
      </c>
      <c r="BI46" s="25">
        <f t="shared" si="102"/>
        <v>99.366666666666674</v>
      </c>
      <c r="BJ46" s="25">
        <f t="shared" si="102"/>
        <v>117.43333333333335</v>
      </c>
      <c r="BK46" s="25">
        <f t="shared" si="102"/>
        <v>67.750000000000014</v>
      </c>
      <c r="BL46" s="25">
        <f t="shared" si="102"/>
        <v>27.1</v>
      </c>
      <c r="BM46" s="25">
        <f t="shared" si="102"/>
        <v>0</v>
      </c>
      <c r="BN46" s="25">
        <f t="shared" si="102"/>
        <v>0</v>
      </c>
      <c r="BO46" s="25">
        <f t="shared" si="102"/>
        <v>40.65</v>
      </c>
      <c r="BP46" s="25">
        <f t="shared" si="102"/>
        <v>90.333333333333343</v>
      </c>
      <c r="BQ46" s="96">
        <f t="shared" si="102"/>
        <v>117.43333333333335</v>
      </c>
      <c r="BR46" s="25"/>
      <c r="BS46" s="25">
        <f t="shared" ref="BS46:BY46" si="103">BF46</f>
        <v>85.816666666666677</v>
      </c>
      <c r="BT46" s="25">
        <f t="shared" si="103"/>
        <v>45.166666666666671</v>
      </c>
      <c r="BU46" s="25">
        <f t="shared" si="103"/>
        <v>76.783333333333346</v>
      </c>
      <c r="BV46" s="25">
        <f t="shared" si="103"/>
        <v>99.366666666666674</v>
      </c>
      <c r="BW46" s="25">
        <f t="shared" si="103"/>
        <v>117.43333333333335</v>
      </c>
      <c r="BX46" s="25">
        <f t="shared" si="103"/>
        <v>67.750000000000014</v>
      </c>
      <c r="BY46" s="25">
        <f t="shared" si="103"/>
        <v>27.1</v>
      </c>
      <c r="BZ46" s="26"/>
      <c r="CA46" s="25">
        <f t="shared" ref="CA46:CB46" si="104">SUMIFS($D46:$BZ46,$D$1:$BZ$1,CA$2)</f>
        <v>0</v>
      </c>
      <c r="CB46" s="25">
        <f t="shared" si="104"/>
        <v>0</v>
      </c>
      <c r="CC46" s="84">
        <f>'Revenue Analysis - Total'!F61+'Revenue Analysis - Total'!F76</f>
        <v>0</v>
      </c>
      <c r="CD46" s="84">
        <f>'Revenue Analysis - Total'!G61+'Revenue Analysis - Total'!G76</f>
        <v>203.25</v>
      </c>
      <c r="CE46" s="84">
        <f>'Revenue Analysis - Total'!H61+'Revenue Analysis - Total'!H76</f>
        <v>476.50833333333333</v>
      </c>
      <c r="CF46" s="84">
        <f>'Revenue Analysis - Total'!I61+'Revenue Analysis - Total'!I76</f>
        <v>767.83333333333337</v>
      </c>
      <c r="CH46" s="45"/>
      <c r="CI46" s="45"/>
      <c r="CJ46" s="45"/>
      <c r="CL46" s="98"/>
      <c r="CN46" s="84">
        <f>SUMIFS('FY25 By Venue Financials'!$J:$J,'FY25 By Venue Financials'!$A:$A,$C46)</f>
        <v>7969.7325499999997</v>
      </c>
      <c r="CO46" s="69"/>
      <c r="CQ46" s="71"/>
      <c r="CR46" s="71" t="s">
        <v>113</v>
      </c>
      <c r="CU46" s="25">
        <f t="shared" ref="CU46:CX46" si="105">SUMIFS($D46:$BZ46,$D$1:$BZ$1,CU$9)</f>
        <v>131.435</v>
      </c>
      <c r="CV46" s="25">
        <f t="shared" si="105"/>
        <v>396.43630208333332</v>
      </c>
      <c r="CW46" s="25">
        <f t="shared" si="105"/>
        <v>671.30369791666681</v>
      </c>
      <c r="CX46" s="25">
        <f t="shared" si="105"/>
        <v>767.83333333333348</v>
      </c>
    </row>
    <row r="47" spans="3:102" ht="15.75" customHeight="1">
      <c r="C47" s="8" t="s">
        <v>118</v>
      </c>
      <c r="D47" s="84">
        <v>0</v>
      </c>
      <c r="E47" s="84">
        <v>0</v>
      </c>
      <c r="F47" s="84">
        <v>0</v>
      </c>
      <c r="G47" s="84">
        <v>0</v>
      </c>
      <c r="H47" s="84">
        <v>0</v>
      </c>
      <c r="I47" s="84">
        <v>0</v>
      </c>
      <c r="J47" s="84">
        <v>0</v>
      </c>
      <c r="K47" s="84">
        <v>0</v>
      </c>
      <c r="L47" s="84">
        <v>0</v>
      </c>
      <c r="M47" s="84">
        <v>0</v>
      </c>
      <c r="N47" s="84">
        <v>0</v>
      </c>
      <c r="O47" s="84">
        <v>0</v>
      </c>
      <c r="P47" s="84">
        <v>0</v>
      </c>
      <c r="Q47" s="84">
        <v>0</v>
      </c>
      <c r="R47" s="84">
        <v>0</v>
      </c>
      <c r="S47" s="84">
        <v>0</v>
      </c>
      <c r="T47" s="84">
        <v>0</v>
      </c>
      <c r="U47" s="84">
        <v>0</v>
      </c>
      <c r="V47" s="84">
        <v>0</v>
      </c>
      <c r="W47" s="84">
        <v>0</v>
      </c>
      <c r="X47" s="84">
        <v>0</v>
      </c>
      <c r="Y47" s="84">
        <v>0</v>
      </c>
      <c r="Z47" s="84">
        <v>0</v>
      </c>
      <c r="AA47" s="84">
        <v>0</v>
      </c>
      <c r="AB47" s="84">
        <v>0</v>
      </c>
      <c r="AC47" s="84">
        <v>0</v>
      </c>
      <c r="AD47" s="84">
        <v>0</v>
      </c>
      <c r="AE47" s="84">
        <v>0</v>
      </c>
      <c r="AF47" s="84">
        <v>0</v>
      </c>
      <c r="AG47" s="26"/>
      <c r="AH47" s="118">
        <v>0</v>
      </c>
      <c r="AI47" s="118">
        <v>0</v>
      </c>
      <c r="AJ47" s="118">
        <v>0</v>
      </c>
      <c r="AK47" s="118">
        <v>0</v>
      </c>
      <c r="AL47" s="118">
        <v>0</v>
      </c>
      <c r="AM47" s="118">
        <v>0</v>
      </c>
      <c r="AN47" s="118">
        <v>0</v>
      </c>
      <c r="AO47" s="118">
        <v>0</v>
      </c>
      <c r="AP47" s="118">
        <v>0</v>
      </c>
      <c r="AQ47" s="118">
        <v>0</v>
      </c>
      <c r="AR47" s="118">
        <v>0</v>
      </c>
      <c r="AS47" s="118">
        <v>0</v>
      </c>
      <c r="AT47" s="118">
        <v>0</v>
      </c>
      <c r="AU47" s="118">
        <v>0</v>
      </c>
      <c r="AV47" s="118">
        <v>0</v>
      </c>
      <c r="AW47" s="118">
        <v>0</v>
      </c>
      <c r="AX47" s="118">
        <v>0</v>
      </c>
      <c r="AY47" s="118">
        <v>0</v>
      </c>
      <c r="AZ47" s="118">
        <v>0</v>
      </c>
      <c r="BA47" s="118">
        <v>0</v>
      </c>
      <c r="BB47" s="118">
        <v>0</v>
      </c>
      <c r="BC47" s="117">
        <f t="shared" ref="BC47:BE47" si="106">SUMIFS($CD47:$CF47,$CD$2:$CF$2,BC$3)*(BC$36/SUM($BC$36:$BE$36))</f>
        <v>15.71760187098233</v>
      </c>
      <c r="BD47" s="117">
        <f t="shared" si="106"/>
        <v>37.329304443583027</v>
      </c>
      <c r="BE47" s="117">
        <f t="shared" si="106"/>
        <v>47.152805612946985</v>
      </c>
      <c r="BF47" s="25">
        <f t="shared" ref="BF47:BQ47" si="107">SUMIFS($CD47:$CF47,$CD$2:$CF$2,BF$3)*BF$36</f>
        <v>58.57829312685336</v>
      </c>
      <c r="BG47" s="25">
        <f t="shared" si="107"/>
        <v>30.830680593080714</v>
      </c>
      <c r="BH47" s="25">
        <f t="shared" si="107"/>
        <v>52.412157008237216</v>
      </c>
      <c r="BI47" s="25">
        <f t="shared" si="107"/>
        <v>67.82749730477758</v>
      </c>
      <c r="BJ47" s="25">
        <f t="shared" si="107"/>
        <v>80.159769542009869</v>
      </c>
      <c r="BK47" s="25">
        <f t="shared" si="107"/>
        <v>46.246020889621079</v>
      </c>
      <c r="BL47" s="25">
        <f t="shared" si="107"/>
        <v>18.498408355848429</v>
      </c>
      <c r="BM47" s="25">
        <f t="shared" si="107"/>
        <v>0</v>
      </c>
      <c r="BN47" s="25">
        <f t="shared" si="107"/>
        <v>0</v>
      </c>
      <c r="BO47" s="25">
        <f t="shared" si="107"/>
        <v>27.747612533772642</v>
      </c>
      <c r="BP47" s="25">
        <f t="shared" si="107"/>
        <v>61.661361186161429</v>
      </c>
      <c r="BQ47" s="96">
        <f t="shared" si="107"/>
        <v>80.159769542009869</v>
      </c>
      <c r="BR47" s="25"/>
      <c r="BS47" s="25">
        <f t="shared" ref="BS47:BY47" si="108">BF47</f>
        <v>58.57829312685336</v>
      </c>
      <c r="BT47" s="25">
        <f t="shared" si="108"/>
        <v>30.830680593080714</v>
      </c>
      <c r="BU47" s="25">
        <f t="shared" si="108"/>
        <v>52.412157008237216</v>
      </c>
      <c r="BV47" s="25">
        <f t="shared" si="108"/>
        <v>67.82749730477758</v>
      </c>
      <c r="BW47" s="25">
        <f t="shared" si="108"/>
        <v>80.159769542009869</v>
      </c>
      <c r="BX47" s="25">
        <f t="shared" si="108"/>
        <v>46.246020889621079</v>
      </c>
      <c r="BY47" s="25">
        <f t="shared" si="108"/>
        <v>18.498408355848429</v>
      </c>
      <c r="BZ47" s="26"/>
      <c r="CA47" s="25">
        <f t="shared" ref="CA47:CB47" si="109">SUMIFS($D47:$BZ47,$D$1:$BZ$1,CA$2)</f>
        <v>0</v>
      </c>
      <c r="CB47" s="25">
        <f t="shared" si="109"/>
        <v>0</v>
      </c>
      <c r="CC47" s="84">
        <f>'Revenue Analysis - Total'!F62+'Revenue Analysis - Total'!F77</f>
        <v>0</v>
      </c>
      <c r="CD47" s="84">
        <f>'Revenue Analysis - Total'!G62+'Revenue Analysis - Total'!G77</f>
        <v>0</v>
      </c>
      <c r="CE47" s="84">
        <f>'Revenue Analysis - Total'!H62+'Revenue Analysis - Total'!H77</f>
        <v>100.19971192751234</v>
      </c>
      <c r="CF47" s="84">
        <f>'Revenue Analysis - Total'!I62+'Revenue Analysis - Total'!I77</f>
        <v>524.12157008237216</v>
      </c>
      <c r="CH47" s="98"/>
      <c r="CI47" s="98"/>
      <c r="CJ47" s="98"/>
      <c r="CL47" s="98"/>
      <c r="CN47" s="84">
        <f>SUMIFS('FY25 By Venue Financials'!$J:$J,'FY25 By Venue Financials'!$A:$A,$C47)</f>
        <v>4751.2068900000004</v>
      </c>
      <c r="CO47" s="69"/>
      <c r="CQ47" s="71"/>
      <c r="CR47" s="71" t="s">
        <v>119</v>
      </c>
      <c r="CU47" s="25">
        <f t="shared" ref="CU47:CX47" si="110">SUMIFS($D47:$BZ47,$D$1:$BZ$1,CU$9)</f>
        <v>0</v>
      </c>
      <c r="CV47" s="25">
        <f t="shared" si="110"/>
        <v>0</v>
      </c>
      <c r="CW47" s="25">
        <f t="shared" si="110"/>
        <v>454.7525387479406</v>
      </c>
      <c r="CX47" s="25">
        <f t="shared" si="110"/>
        <v>524.12157008237227</v>
      </c>
    </row>
    <row r="48" spans="3:102" ht="15.75" customHeight="1">
      <c r="C48" s="8" t="s">
        <v>120</v>
      </c>
      <c r="D48" s="84">
        <v>0</v>
      </c>
      <c r="E48" s="84">
        <v>0</v>
      </c>
      <c r="F48" s="84">
        <v>0</v>
      </c>
      <c r="G48" s="84">
        <v>0</v>
      </c>
      <c r="H48" s="84">
        <v>0</v>
      </c>
      <c r="I48" s="84">
        <v>0</v>
      </c>
      <c r="J48" s="84">
        <v>0</v>
      </c>
      <c r="K48" s="84">
        <v>0</v>
      </c>
      <c r="L48" s="84">
        <v>0</v>
      </c>
      <c r="M48" s="84">
        <v>0</v>
      </c>
      <c r="N48" s="84">
        <v>0</v>
      </c>
      <c r="O48" s="84">
        <v>0</v>
      </c>
      <c r="P48" s="84">
        <v>0</v>
      </c>
      <c r="Q48" s="84">
        <v>0</v>
      </c>
      <c r="R48" s="84">
        <v>0</v>
      </c>
      <c r="S48" s="84">
        <v>0</v>
      </c>
      <c r="T48" s="84">
        <v>0</v>
      </c>
      <c r="U48" s="84">
        <v>0</v>
      </c>
      <c r="V48" s="84">
        <v>0</v>
      </c>
      <c r="W48" s="84">
        <v>0</v>
      </c>
      <c r="X48" s="84">
        <v>0</v>
      </c>
      <c r="Y48" s="84">
        <v>0</v>
      </c>
      <c r="Z48" s="84">
        <v>0</v>
      </c>
      <c r="AA48" s="84">
        <v>0</v>
      </c>
      <c r="AB48" s="84">
        <v>0</v>
      </c>
      <c r="AC48" s="84">
        <v>0</v>
      </c>
      <c r="AD48" s="84">
        <v>0</v>
      </c>
      <c r="AE48" s="84">
        <v>0</v>
      </c>
      <c r="AF48" s="84">
        <v>0</v>
      </c>
      <c r="AG48" s="26"/>
      <c r="AH48" s="25">
        <f t="shared" ref="AH48:BQ48" si="111">SUMIFS($CD48:$CF48,$CD$2:$CF$2,AH$3)*AH$36</f>
        <v>0</v>
      </c>
      <c r="AI48" s="25">
        <f t="shared" si="111"/>
        <v>0</v>
      </c>
      <c r="AJ48" s="25">
        <f t="shared" si="111"/>
        <v>0</v>
      </c>
      <c r="AK48" s="25">
        <f t="shared" si="111"/>
        <v>0</v>
      </c>
      <c r="AL48" s="25">
        <f t="shared" si="111"/>
        <v>0</v>
      </c>
      <c r="AM48" s="25">
        <f t="shared" si="111"/>
        <v>0</v>
      </c>
      <c r="AN48" s="25">
        <f t="shared" si="111"/>
        <v>0</v>
      </c>
      <c r="AO48" s="25">
        <f t="shared" si="111"/>
        <v>0</v>
      </c>
      <c r="AP48" s="25">
        <f t="shared" si="111"/>
        <v>0</v>
      </c>
      <c r="AQ48" s="25">
        <f t="shared" si="111"/>
        <v>0</v>
      </c>
      <c r="AR48" s="25">
        <f t="shared" si="111"/>
        <v>0</v>
      </c>
      <c r="AS48" s="25">
        <f t="shared" si="111"/>
        <v>0</v>
      </c>
      <c r="AT48" s="25">
        <f t="shared" si="111"/>
        <v>0</v>
      </c>
      <c r="AU48" s="25">
        <f t="shared" si="111"/>
        <v>0</v>
      </c>
      <c r="AV48" s="25">
        <f t="shared" si="111"/>
        <v>0</v>
      </c>
      <c r="AW48" s="25">
        <f t="shared" si="111"/>
        <v>0</v>
      </c>
      <c r="AX48" s="25">
        <f t="shared" si="111"/>
        <v>0</v>
      </c>
      <c r="AY48" s="25">
        <f t="shared" si="111"/>
        <v>0</v>
      </c>
      <c r="AZ48" s="25">
        <f t="shared" si="111"/>
        <v>0</v>
      </c>
      <c r="BA48" s="25">
        <f t="shared" si="111"/>
        <v>0</v>
      </c>
      <c r="BB48" s="25">
        <f t="shared" si="111"/>
        <v>0</v>
      </c>
      <c r="BC48" s="25">
        <f t="shared" si="111"/>
        <v>0</v>
      </c>
      <c r="BD48" s="25">
        <f t="shared" si="111"/>
        <v>0</v>
      </c>
      <c r="BE48" s="25">
        <f t="shared" si="111"/>
        <v>0</v>
      </c>
      <c r="BF48" s="25">
        <f t="shared" si="111"/>
        <v>0</v>
      </c>
      <c r="BG48" s="25">
        <f t="shared" si="111"/>
        <v>0</v>
      </c>
      <c r="BH48" s="25">
        <f t="shared" si="111"/>
        <v>0</v>
      </c>
      <c r="BI48" s="25">
        <f t="shared" si="111"/>
        <v>0</v>
      </c>
      <c r="BJ48" s="25">
        <f t="shared" si="111"/>
        <v>0</v>
      </c>
      <c r="BK48" s="25">
        <f t="shared" si="111"/>
        <v>0</v>
      </c>
      <c r="BL48" s="25">
        <f t="shared" si="111"/>
        <v>0</v>
      </c>
      <c r="BM48" s="25">
        <f t="shared" si="111"/>
        <v>0</v>
      </c>
      <c r="BN48" s="25">
        <f t="shared" si="111"/>
        <v>0</v>
      </c>
      <c r="BO48" s="25">
        <f t="shared" si="111"/>
        <v>0</v>
      </c>
      <c r="BP48" s="25">
        <f t="shared" si="111"/>
        <v>0</v>
      </c>
      <c r="BQ48" s="96">
        <f t="shared" si="111"/>
        <v>0</v>
      </c>
      <c r="BR48" s="25"/>
      <c r="BS48" s="25">
        <f t="shared" ref="BS48:BY48" si="112">BF48</f>
        <v>0</v>
      </c>
      <c r="BT48" s="25">
        <f t="shared" si="112"/>
        <v>0</v>
      </c>
      <c r="BU48" s="25">
        <f t="shared" si="112"/>
        <v>0</v>
      </c>
      <c r="BV48" s="25">
        <f t="shared" si="112"/>
        <v>0</v>
      </c>
      <c r="BW48" s="25">
        <f t="shared" si="112"/>
        <v>0</v>
      </c>
      <c r="BX48" s="25">
        <f t="shared" si="112"/>
        <v>0</v>
      </c>
      <c r="BY48" s="25">
        <f t="shared" si="112"/>
        <v>0</v>
      </c>
      <c r="BZ48" s="26"/>
      <c r="CA48" s="25">
        <f t="shared" ref="CA48:CB48" si="113">SUMIFS($D48:$BZ48,$D$1:$BZ$1,CA$2)</f>
        <v>0</v>
      </c>
      <c r="CB48" s="25">
        <f t="shared" si="113"/>
        <v>0</v>
      </c>
      <c r="CC48" s="84">
        <f>'Revenue Analysis - Total'!F63+'Revenue Analysis - Total'!F78</f>
        <v>0</v>
      </c>
      <c r="CD48" s="84">
        <f>'Revenue Analysis - Total'!G63+'Revenue Analysis - Total'!G78</f>
        <v>0</v>
      </c>
      <c r="CE48" s="84">
        <f>'Revenue Analysis - Total'!H63+'Revenue Analysis - Total'!H78</f>
        <v>0</v>
      </c>
      <c r="CF48" s="84">
        <f>'Revenue Analysis - Total'!I63+'Revenue Analysis - Total'!I78</f>
        <v>0</v>
      </c>
      <c r="CH48" s="98"/>
      <c r="CI48" s="98"/>
      <c r="CJ48" s="98"/>
      <c r="CL48" s="98"/>
      <c r="CN48" s="84">
        <f>SUMIFS('FY25 By Venue Financials'!$J:$J,'FY25 By Venue Financials'!$A:$A,$C48)</f>
        <v>146.209</v>
      </c>
      <c r="CO48" s="69"/>
      <c r="CQ48" s="71"/>
      <c r="CR48" s="119" t="s">
        <v>121</v>
      </c>
      <c r="CU48" s="25">
        <f t="shared" ref="CU48:CX48" si="114">SUMIFS($D48:$BZ48,$D$1:$BZ$1,CU$9)</f>
        <v>0</v>
      </c>
      <c r="CV48" s="25">
        <f t="shared" si="114"/>
        <v>0</v>
      </c>
      <c r="CW48" s="25">
        <f t="shared" si="114"/>
        <v>0</v>
      </c>
      <c r="CX48" s="25">
        <f t="shared" si="114"/>
        <v>0</v>
      </c>
    </row>
    <row r="49" spans="3:102" ht="15.75" customHeight="1">
      <c r="C49" s="8" t="s">
        <v>122</v>
      </c>
      <c r="D49" s="84">
        <v>0</v>
      </c>
      <c r="E49" s="84">
        <v>0</v>
      </c>
      <c r="F49" s="84">
        <v>0</v>
      </c>
      <c r="G49" s="84">
        <v>0</v>
      </c>
      <c r="H49" s="84">
        <v>0</v>
      </c>
      <c r="I49" s="84">
        <v>0</v>
      </c>
      <c r="J49" s="84">
        <v>0</v>
      </c>
      <c r="K49" s="84">
        <v>0</v>
      </c>
      <c r="L49" s="84">
        <v>0</v>
      </c>
      <c r="M49" s="84">
        <v>0</v>
      </c>
      <c r="N49" s="84">
        <v>0</v>
      </c>
      <c r="O49" s="84">
        <v>0</v>
      </c>
      <c r="P49" s="84">
        <v>0</v>
      </c>
      <c r="Q49" s="84">
        <v>0</v>
      </c>
      <c r="R49" s="84">
        <v>0</v>
      </c>
      <c r="S49" s="84">
        <v>0</v>
      </c>
      <c r="T49" s="84">
        <v>0</v>
      </c>
      <c r="U49" s="84">
        <v>0</v>
      </c>
      <c r="V49" s="84">
        <v>0</v>
      </c>
      <c r="W49" s="84">
        <v>0</v>
      </c>
      <c r="X49" s="84">
        <v>0</v>
      </c>
      <c r="Y49" s="84">
        <v>0</v>
      </c>
      <c r="Z49" s="84">
        <v>0</v>
      </c>
      <c r="AA49" s="84">
        <v>0</v>
      </c>
      <c r="AB49" s="84">
        <v>0</v>
      </c>
      <c r="AC49" s="84">
        <v>0</v>
      </c>
      <c r="AD49" s="84">
        <v>0</v>
      </c>
      <c r="AE49" s="84">
        <v>0</v>
      </c>
      <c r="AF49" s="84">
        <v>0</v>
      </c>
      <c r="AG49" s="26"/>
      <c r="AH49" s="25">
        <f t="shared" ref="AH49:BQ49" si="115">SUMIFS($CD49:$CF49,$CD$2:$CF$2,AH$3)*AH$36</f>
        <v>21.758789572163149</v>
      </c>
      <c r="AI49" s="25">
        <f t="shared" si="115"/>
        <v>18.132324643469293</v>
      </c>
      <c r="AJ49" s="25">
        <f t="shared" si="115"/>
        <v>27.198486965203941</v>
      </c>
      <c r="AK49" s="25">
        <f t="shared" si="115"/>
        <v>34.451416822591661</v>
      </c>
      <c r="AL49" s="25">
        <f t="shared" si="115"/>
        <v>43.517579144326298</v>
      </c>
      <c r="AM49" s="25">
        <f t="shared" si="115"/>
        <v>21.758789572163149</v>
      </c>
      <c r="AN49" s="25">
        <f t="shared" si="115"/>
        <v>9.0661623217346463</v>
      </c>
      <c r="AO49" s="25">
        <f t="shared" si="115"/>
        <v>0</v>
      </c>
      <c r="AP49" s="25">
        <f t="shared" si="115"/>
        <v>0</v>
      </c>
      <c r="AQ49" s="25">
        <f t="shared" si="115"/>
        <v>10.879394786081575</v>
      </c>
      <c r="AR49" s="25">
        <f t="shared" si="115"/>
        <v>36.264649286938585</v>
      </c>
      <c r="AS49" s="25">
        <f t="shared" si="115"/>
        <v>48.957276537367086</v>
      </c>
      <c r="AT49" s="25">
        <f t="shared" si="115"/>
        <v>77.352096133605329</v>
      </c>
      <c r="AU49" s="25">
        <f t="shared" si="115"/>
        <v>42.973386740891847</v>
      </c>
      <c r="AV49" s="25">
        <f t="shared" si="115"/>
        <v>68.757418785426964</v>
      </c>
      <c r="AW49" s="25">
        <f t="shared" si="115"/>
        <v>90.244112155872884</v>
      </c>
      <c r="AX49" s="25">
        <f t="shared" si="115"/>
        <v>103.13612817814042</v>
      </c>
      <c r="AY49" s="25">
        <f t="shared" si="115"/>
        <v>60.162741437248584</v>
      </c>
      <c r="AZ49" s="25">
        <f t="shared" si="115"/>
        <v>25.784032044535106</v>
      </c>
      <c r="BA49" s="25">
        <f t="shared" si="115"/>
        <v>0</v>
      </c>
      <c r="BB49" s="25">
        <f t="shared" si="115"/>
        <v>0</v>
      </c>
      <c r="BC49" s="25">
        <f t="shared" si="115"/>
        <v>34.378709392713482</v>
      </c>
      <c r="BD49" s="25">
        <f t="shared" si="115"/>
        <v>81.649434807694504</v>
      </c>
      <c r="BE49" s="25">
        <f t="shared" si="115"/>
        <v>103.13612817814042</v>
      </c>
      <c r="BF49" s="25">
        <f t="shared" si="115"/>
        <v>123.87691268431075</v>
      </c>
      <c r="BG49" s="25">
        <f t="shared" si="115"/>
        <v>65.198375097005652</v>
      </c>
      <c r="BH49" s="25">
        <f t="shared" si="115"/>
        <v>110.83723766490962</v>
      </c>
      <c r="BI49" s="25">
        <f t="shared" si="115"/>
        <v>143.43642521341246</v>
      </c>
      <c r="BJ49" s="25">
        <f t="shared" si="115"/>
        <v>169.51577525221472</v>
      </c>
      <c r="BK49" s="25">
        <f t="shared" si="115"/>
        <v>97.797562645508492</v>
      </c>
      <c r="BL49" s="25">
        <f t="shared" si="115"/>
        <v>39.119025058203391</v>
      </c>
      <c r="BM49" s="25">
        <f t="shared" si="115"/>
        <v>0</v>
      </c>
      <c r="BN49" s="25">
        <f t="shared" si="115"/>
        <v>0</v>
      </c>
      <c r="BO49" s="25">
        <f t="shared" si="115"/>
        <v>58.678537587305094</v>
      </c>
      <c r="BP49" s="25">
        <f t="shared" si="115"/>
        <v>130.3967501940113</v>
      </c>
      <c r="BQ49" s="96">
        <f t="shared" si="115"/>
        <v>169.51577525221472</v>
      </c>
      <c r="BR49" s="25"/>
      <c r="BS49" s="25">
        <f t="shared" ref="BS49:BY49" si="116">BF49</f>
        <v>123.87691268431075</v>
      </c>
      <c r="BT49" s="25">
        <f t="shared" si="116"/>
        <v>65.198375097005652</v>
      </c>
      <c r="BU49" s="25">
        <f t="shared" si="116"/>
        <v>110.83723766490962</v>
      </c>
      <c r="BV49" s="25">
        <f t="shared" si="116"/>
        <v>143.43642521341246</v>
      </c>
      <c r="BW49" s="25">
        <f t="shared" si="116"/>
        <v>169.51577525221472</v>
      </c>
      <c r="BX49" s="25">
        <f t="shared" si="116"/>
        <v>97.797562645508492</v>
      </c>
      <c r="BY49" s="25">
        <f t="shared" si="116"/>
        <v>39.119025058203391</v>
      </c>
      <c r="BZ49" s="26"/>
      <c r="CA49" s="25">
        <f t="shared" ref="CA49:CB49" si="117">SUMIFS($D49:$BZ49,$D$1:$BZ$1,CA$2)</f>
        <v>0</v>
      </c>
      <c r="CB49" s="25">
        <f t="shared" si="117"/>
        <v>0</v>
      </c>
      <c r="CC49" s="84">
        <f>SUM('Revenue Analysis - Total'!F64:F69)+SUM('Revenue Analysis - Total'!F79:F84)</f>
        <v>0</v>
      </c>
      <c r="CD49" s="84">
        <f>SUM('Revenue Analysis - Total'!G64:G69)+SUM('Revenue Analysis - Total'!G79:G84)</f>
        <v>271.98486965203938</v>
      </c>
      <c r="CE49" s="84">
        <f>SUM('Revenue Analysis - Total'!H64:H69)+SUM('Revenue Analysis - Total'!H79:H84)</f>
        <v>687.57418785426955</v>
      </c>
      <c r="CF49" s="84">
        <f>SUM('Revenue Analysis - Total'!I64:I69)+SUM('Revenue Analysis - Total'!I79:I84)</f>
        <v>1108.3723766490962</v>
      </c>
      <c r="CH49" s="45"/>
      <c r="CI49" s="45"/>
      <c r="CJ49" s="45"/>
      <c r="CL49" s="98"/>
      <c r="CN49" s="84">
        <f>SUMIFS('FY25 By Venue Financials'!$J:$J,'FY25 By Venue Financials'!$A:$A,$C49)</f>
        <v>9747.4759099999992</v>
      </c>
      <c r="CO49" s="69"/>
      <c r="CQ49" s="71"/>
      <c r="CR49" s="71" t="s">
        <v>113</v>
      </c>
      <c r="CU49" s="25">
        <f t="shared" ref="CU49:CX49" si="118">SUMIFS($D49:$BZ49,$D$1:$BZ$1,CU$9)</f>
        <v>175.88354904165215</v>
      </c>
      <c r="CV49" s="25">
        <f t="shared" si="118"/>
        <v>564.5112360861084</v>
      </c>
      <c r="CW49" s="25">
        <f t="shared" si="118"/>
        <v>968.94558599411357</v>
      </c>
      <c r="CX49" s="25">
        <f t="shared" si="118"/>
        <v>1108.3723766490959</v>
      </c>
    </row>
    <row r="50" spans="3:102" ht="15.75" customHeight="1">
      <c r="C50" s="8" t="s">
        <v>123</v>
      </c>
      <c r="D50" s="84">
        <v>0</v>
      </c>
      <c r="E50" s="84">
        <v>0</v>
      </c>
      <c r="F50" s="84">
        <v>0</v>
      </c>
      <c r="G50" s="84">
        <v>0</v>
      </c>
      <c r="H50" s="84">
        <v>0</v>
      </c>
      <c r="I50" s="84">
        <v>0</v>
      </c>
      <c r="J50" s="84">
        <v>0</v>
      </c>
      <c r="K50" s="84">
        <v>0</v>
      </c>
      <c r="L50" s="84">
        <v>0</v>
      </c>
      <c r="M50" s="84">
        <v>0</v>
      </c>
      <c r="N50" s="84">
        <v>0</v>
      </c>
      <c r="O50" s="84">
        <v>0</v>
      </c>
      <c r="P50" s="84">
        <v>0</v>
      </c>
      <c r="Q50" s="84">
        <v>0</v>
      </c>
      <c r="R50" s="84">
        <v>0</v>
      </c>
      <c r="S50" s="84">
        <v>0</v>
      </c>
      <c r="T50" s="84">
        <v>0</v>
      </c>
      <c r="U50" s="84">
        <v>0</v>
      </c>
      <c r="V50" s="84">
        <v>0</v>
      </c>
      <c r="W50" s="84">
        <v>0</v>
      </c>
      <c r="X50" s="84">
        <v>0</v>
      </c>
      <c r="Y50" s="84">
        <v>0</v>
      </c>
      <c r="Z50" s="84">
        <v>0</v>
      </c>
      <c r="AA50" s="84">
        <v>0</v>
      </c>
      <c r="AB50" s="84">
        <v>0</v>
      </c>
      <c r="AC50" s="84">
        <v>0</v>
      </c>
      <c r="AD50" s="84">
        <v>0</v>
      </c>
      <c r="AE50" s="84">
        <v>0</v>
      </c>
      <c r="AF50" s="84">
        <v>0</v>
      </c>
      <c r="AG50" s="26"/>
      <c r="AH50" s="25">
        <f t="shared" ref="AH50:BQ50" si="119">SUMIFS($CD50:$CF50,$CD$2:$CF$2,AH$3)*AH$36</f>
        <v>3.0040434702523489</v>
      </c>
      <c r="AI50" s="25">
        <f t="shared" si="119"/>
        <v>2.503369558543624</v>
      </c>
      <c r="AJ50" s="25">
        <f t="shared" si="119"/>
        <v>3.755054337815436</v>
      </c>
      <c r="AK50" s="25">
        <f t="shared" si="119"/>
        <v>4.7564021612328862</v>
      </c>
      <c r="AL50" s="25">
        <f t="shared" si="119"/>
        <v>6.0080869405046977</v>
      </c>
      <c r="AM50" s="25">
        <f t="shared" si="119"/>
        <v>3.0040434702523489</v>
      </c>
      <c r="AN50" s="25">
        <f t="shared" si="119"/>
        <v>1.251684779271812</v>
      </c>
      <c r="AO50" s="25">
        <f t="shared" si="119"/>
        <v>0</v>
      </c>
      <c r="AP50" s="25">
        <f t="shared" si="119"/>
        <v>0</v>
      </c>
      <c r="AQ50" s="25">
        <f t="shared" si="119"/>
        <v>1.5020217351261744</v>
      </c>
      <c r="AR50" s="25">
        <f t="shared" si="119"/>
        <v>5.0067391170872479</v>
      </c>
      <c r="AS50" s="25">
        <f t="shared" si="119"/>
        <v>6.7590978080677839</v>
      </c>
      <c r="AT50" s="25">
        <f t="shared" si="119"/>
        <v>20.62914095597716</v>
      </c>
      <c r="AU50" s="25">
        <f t="shared" si="119"/>
        <v>11.460633864431756</v>
      </c>
      <c r="AV50" s="25">
        <f t="shared" si="119"/>
        <v>18.337014183090812</v>
      </c>
      <c r="AW50" s="25">
        <f t="shared" si="119"/>
        <v>24.06733111530669</v>
      </c>
      <c r="AX50" s="25">
        <f t="shared" si="119"/>
        <v>27.505521274636212</v>
      </c>
      <c r="AY50" s="25">
        <f t="shared" si="119"/>
        <v>16.044887410204456</v>
      </c>
      <c r="AZ50" s="25">
        <f t="shared" si="119"/>
        <v>6.8763803186590531</v>
      </c>
      <c r="BA50" s="25">
        <f t="shared" si="119"/>
        <v>0</v>
      </c>
      <c r="BB50" s="25">
        <f t="shared" si="119"/>
        <v>0</v>
      </c>
      <c r="BC50" s="25">
        <f t="shared" si="119"/>
        <v>9.1685070915454059</v>
      </c>
      <c r="BD50" s="25">
        <f t="shared" si="119"/>
        <v>21.775204342420334</v>
      </c>
      <c r="BE50" s="25">
        <f t="shared" si="119"/>
        <v>27.505521274636212</v>
      </c>
      <c r="BF50" s="25">
        <f t="shared" si="119"/>
        <v>26.785279490318878</v>
      </c>
      <c r="BG50" s="25">
        <f t="shared" si="119"/>
        <v>14.097515521220462</v>
      </c>
      <c r="BH50" s="25">
        <f t="shared" si="119"/>
        <v>23.965776386074786</v>
      </c>
      <c r="BI50" s="25">
        <f t="shared" si="119"/>
        <v>31.014534146685019</v>
      </c>
      <c r="BJ50" s="25">
        <f t="shared" si="119"/>
        <v>36.653540355173206</v>
      </c>
      <c r="BK50" s="25">
        <f t="shared" si="119"/>
        <v>21.146273281830695</v>
      </c>
      <c r="BL50" s="25">
        <f t="shared" si="119"/>
        <v>8.4585093127322768</v>
      </c>
      <c r="BM50" s="25">
        <f t="shared" si="119"/>
        <v>0</v>
      </c>
      <c r="BN50" s="25">
        <f t="shared" si="119"/>
        <v>0</v>
      </c>
      <c r="BO50" s="25">
        <f t="shared" si="119"/>
        <v>12.687763969098416</v>
      </c>
      <c r="BP50" s="25">
        <f t="shared" si="119"/>
        <v>28.195031042440924</v>
      </c>
      <c r="BQ50" s="96">
        <f t="shared" si="119"/>
        <v>36.653540355173206</v>
      </c>
      <c r="BR50" s="25"/>
      <c r="BS50" s="25">
        <f t="shared" ref="BS50:BY50" si="120">BF50</f>
        <v>26.785279490318878</v>
      </c>
      <c r="BT50" s="25">
        <f t="shared" si="120"/>
        <v>14.097515521220462</v>
      </c>
      <c r="BU50" s="25">
        <f t="shared" si="120"/>
        <v>23.965776386074786</v>
      </c>
      <c r="BV50" s="25">
        <f t="shared" si="120"/>
        <v>31.014534146685019</v>
      </c>
      <c r="BW50" s="25">
        <f t="shared" si="120"/>
        <v>36.653540355173206</v>
      </c>
      <c r="BX50" s="25">
        <f t="shared" si="120"/>
        <v>21.146273281830695</v>
      </c>
      <c r="BY50" s="25">
        <f t="shared" si="120"/>
        <v>8.4585093127322768</v>
      </c>
      <c r="BZ50" s="26"/>
      <c r="CA50" s="25">
        <f t="shared" ref="CA50:CB50" si="121">SUMIFS($D50:$BZ50,$D$1:$BZ$1,CA$2)</f>
        <v>0</v>
      </c>
      <c r="CB50" s="25">
        <f t="shared" si="121"/>
        <v>0</v>
      </c>
      <c r="CC50" s="84">
        <f>'Revenue Analysis - Total'!F85</f>
        <v>0</v>
      </c>
      <c r="CD50" s="84">
        <f>'Revenue Analysis - Total'!G85</f>
        <v>37.550543378154359</v>
      </c>
      <c r="CE50" s="84">
        <f>'Revenue Analysis - Total'!H85</f>
        <v>183.3701418309081</v>
      </c>
      <c r="CF50" s="84">
        <f>'Revenue Analysis - Total'!I85</f>
        <v>239.65776386074785</v>
      </c>
      <c r="CH50" s="45"/>
      <c r="CI50" s="45"/>
      <c r="CJ50" s="45"/>
      <c r="CL50" s="98"/>
      <c r="CN50" s="84">
        <f>SUMIFS('FY25 By Venue Financials'!$J:$J,'FY25 By Venue Financials'!$A:$A,$C50)</f>
        <v>6093.3021400000007</v>
      </c>
      <c r="CO50" s="69"/>
      <c r="CQ50" s="71"/>
      <c r="CR50" s="71" t="s">
        <v>113</v>
      </c>
      <c r="CU50" s="25">
        <f t="shared" ref="CU50:CX50" si="122">SUMIFS($D50:$BZ50,$D$1:$BZ$1,CU$9)</f>
        <v>24.282684717873153</v>
      </c>
      <c r="CV50" s="25">
        <f t="shared" si="122"/>
        <v>138.18876778258735</v>
      </c>
      <c r="CW50" s="25">
        <f t="shared" si="122"/>
        <v>220.5706612026373</v>
      </c>
      <c r="CX50" s="25">
        <f t="shared" si="122"/>
        <v>239.65776386074785</v>
      </c>
    </row>
    <row r="51" spans="3:102" ht="15.75" customHeight="1">
      <c r="C51" s="8" t="s">
        <v>124</v>
      </c>
      <c r="D51" s="117">
        <f t="shared" ref="D51:O51" si="123">$CA51*D$35/SUM($D$35:$O$35)</f>
        <v>0</v>
      </c>
      <c r="E51" s="117">
        <f t="shared" si="123"/>
        <v>0</v>
      </c>
      <c r="F51" s="117">
        <f t="shared" si="123"/>
        <v>1.2712745098039218</v>
      </c>
      <c r="G51" s="117">
        <f t="shared" si="123"/>
        <v>5.085098039215687</v>
      </c>
      <c r="H51" s="117">
        <f t="shared" si="123"/>
        <v>4.3223333333333338</v>
      </c>
      <c r="I51" s="117">
        <f t="shared" si="123"/>
        <v>4.0680784313725491</v>
      </c>
      <c r="J51" s="117">
        <f t="shared" si="123"/>
        <v>1.7797843137254903</v>
      </c>
      <c r="K51" s="117">
        <f t="shared" si="123"/>
        <v>4.0680784313725491</v>
      </c>
      <c r="L51" s="117">
        <f t="shared" si="123"/>
        <v>5.5936078431372556</v>
      </c>
      <c r="M51" s="117">
        <f t="shared" si="123"/>
        <v>5.5936078431372556</v>
      </c>
      <c r="N51" s="117">
        <f t="shared" si="123"/>
        <v>4.8308431372549023</v>
      </c>
      <c r="O51" s="117">
        <f t="shared" si="123"/>
        <v>2.2882941176470593</v>
      </c>
      <c r="P51" s="117">
        <f t="shared" ref="P51:AA51" si="124">$CB51*P$35/SUM($P$35:$AA$35)</f>
        <v>0</v>
      </c>
      <c r="Q51" s="117">
        <f t="shared" si="124"/>
        <v>0</v>
      </c>
      <c r="R51" s="117">
        <f t="shared" si="124"/>
        <v>2.0704962406015035</v>
      </c>
      <c r="S51" s="117">
        <f t="shared" si="124"/>
        <v>3.8821804511278191</v>
      </c>
      <c r="T51" s="117">
        <f t="shared" si="124"/>
        <v>6.2114887218045105</v>
      </c>
      <c r="U51" s="117">
        <f t="shared" si="124"/>
        <v>4.140992481203007</v>
      </c>
      <c r="V51" s="117">
        <f t="shared" si="124"/>
        <v>2.3293082706766919</v>
      </c>
      <c r="W51" s="117">
        <f t="shared" si="124"/>
        <v>3.1057443609022553</v>
      </c>
      <c r="X51" s="117">
        <f t="shared" si="124"/>
        <v>4.140992481203007</v>
      </c>
      <c r="Y51" s="117">
        <f t="shared" si="124"/>
        <v>5.4350526315789471</v>
      </c>
      <c r="Z51" s="117">
        <f t="shared" si="124"/>
        <v>2.0704962406015035</v>
      </c>
      <c r="AA51" s="117">
        <f t="shared" si="124"/>
        <v>1.0352481203007518</v>
      </c>
      <c r="AB51" s="117">
        <f t="shared" ref="AB51:AF51" si="125">P51</f>
        <v>0</v>
      </c>
      <c r="AC51" s="117">
        <f t="shared" si="125"/>
        <v>0</v>
      </c>
      <c r="AD51" s="117">
        <f t="shared" si="125"/>
        <v>2.0704962406015035</v>
      </c>
      <c r="AE51" s="117">
        <f t="shared" si="125"/>
        <v>3.8821804511278191</v>
      </c>
      <c r="AF51" s="117">
        <f t="shared" si="125"/>
        <v>6.2114887218045105</v>
      </c>
      <c r="AG51" s="26"/>
      <c r="AH51" s="25">
        <f t="shared" ref="AH51:BQ51" si="126">SUMIFS($CD51:$CF51,$CD$2:$CF$2,AH$3)*AH$36</f>
        <v>0</v>
      </c>
      <c r="AI51" s="25">
        <f t="shared" si="126"/>
        <v>0</v>
      </c>
      <c r="AJ51" s="25">
        <f t="shared" si="126"/>
        <v>0</v>
      </c>
      <c r="AK51" s="25">
        <f t="shared" si="126"/>
        <v>0</v>
      </c>
      <c r="AL51" s="25">
        <f t="shared" si="126"/>
        <v>0</v>
      </c>
      <c r="AM51" s="25">
        <f t="shared" si="126"/>
        <v>0</v>
      </c>
      <c r="AN51" s="25">
        <f t="shared" si="126"/>
        <v>0</v>
      </c>
      <c r="AO51" s="25">
        <f t="shared" si="126"/>
        <v>0</v>
      </c>
      <c r="AP51" s="25">
        <f t="shared" si="126"/>
        <v>0</v>
      </c>
      <c r="AQ51" s="25">
        <f t="shared" si="126"/>
        <v>0</v>
      </c>
      <c r="AR51" s="25">
        <f t="shared" si="126"/>
        <v>0</v>
      </c>
      <c r="AS51" s="25">
        <f t="shared" si="126"/>
        <v>0</v>
      </c>
      <c r="AT51" s="25">
        <f t="shared" si="126"/>
        <v>0</v>
      </c>
      <c r="AU51" s="25">
        <f t="shared" si="126"/>
        <v>0</v>
      </c>
      <c r="AV51" s="25">
        <f t="shared" si="126"/>
        <v>0</v>
      </c>
      <c r="AW51" s="25">
        <f t="shared" si="126"/>
        <v>0</v>
      </c>
      <c r="AX51" s="25">
        <f t="shared" si="126"/>
        <v>0</v>
      </c>
      <c r="AY51" s="25">
        <f t="shared" si="126"/>
        <v>0</v>
      </c>
      <c r="AZ51" s="25">
        <f t="shared" si="126"/>
        <v>0</v>
      </c>
      <c r="BA51" s="25">
        <f t="shared" si="126"/>
        <v>0</v>
      </c>
      <c r="BB51" s="25">
        <f t="shared" si="126"/>
        <v>0</v>
      </c>
      <c r="BC51" s="25">
        <f t="shared" si="126"/>
        <v>0</v>
      </c>
      <c r="BD51" s="25">
        <f t="shared" si="126"/>
        <v>0</v>
      </c>
      <c r="BE51" s="25">
        <f t="shared" si="126"/>
        <v>0</v>
      </c>
      <c r="BF51" s="25">
        <f t="shared" si="126"/>
        <v>0</v>
      </c>
      <c r="BG51" s="25">
        <f t="shared" si="126"/>
        <v>0</v>
      </c>
      <c r="BH51" s="25">
        <f t="shared" si="126"/>
        <v>0</v>
      </c>
      <c r="BI51" s="25">
        <f t="shared" si="126"/>
        <v>0</v>
      </c>
      <c r="BJ51" s="25">
        <f t="shared" si="126"/>
        <v>0</v>
      </c>
      <c r="BK51" s="25">
        <f t="shared" si="126"/>
        <v>0</v>
      </c>
      <c r="BL51" s="25">
        <f t="shared" si="126"/>
        <v>0</v>
      </c>
      <c r="BM51" s="25">
        <f t="shared" si="126"/>
        <v>0</v>
      </c>
      <c r="BN51" s="25">
        <f t="shared" si="126"/>
        <v>0</v>
      </c>
      <c r="BO51" s="25">
        <f t="shared" si="126"/>
        <v>0</v>
      </c>
      <c r="BP51" s="25">
        <f t="shared" si="126"/>
        <v>0</v>
      </c>
      <c r="BQ51" s="96">
        <f t="shared" si="126"/>
        <v>0</v>
      </c>
      <c r="BR51" s="25"/>
      <c r="BS51" s="25">
        <f t="shared" ref="BS51:BY51" si="127">BF51</f>
        <v>0</v>
      </c>
      <c r="BT51" s="25">
        <f t="shared" si="127"/>
        <v>0</v>
      </c>
      <c r="BU51" s="25">
        <f t="shared" si="127"/>
        <v>0</v>
      </c>
      <c r="BV51" s="25">
        <f t="shared" si="127"/>
        <v>0</v>
      </c>
      <c r="BW51" s="25">
        <f t="shared" si="127"/>
        <v>0</v>
      </c>
      <c r="BX51" s="25">
        <f t="shared" si="127"/>
        <v>0</v>
      </c>
      <c r="BY51" s="25">
        <f t="shared" si="127"/>
        <v>0</v>
      </c>
      <c r="BZ51" s="26"/>
      <c r="CA51" s="118">
        <v>38.901000000000003</v>
      </c>
      <c r="CB51" s="118">
        <v>34.421999999999997</v>
      </c>
      <c r="CC51" s="117">
        <f>CB51</f>
        <v>34.421999999999997</v>
      </c>
      <c r="CD51" s="25">
        <f t="shared" ref="CD51:CF51" si="128">SUM(CD$43:CD$50)*CH51</f>
        <v>0</v>
      </c>
      <c r="CE51" s="25">
        <f t="shared" si="128"/>
        <v>0</v>
      </c>
      <c r="CF51" s="25">
        <f t="shared" si="128"/>
        <v>0</v>
      </c>
      <c r="CH51" s="120">
        <v>0</v>
      </c>
      <c r="CI51" s="120">
        <v>0</v>
      </c>
      <c r="CJ51" s="120">
        <v>0</v>
      </c>
      <c r="CL51" s="69">
        <f>IFERROR(CC51/CC4,0)</f>
        <v>0</v>
      </c>
      <c r="CN51" s="84">
        <f>SUMIFS('FY25 By Venue Financials'!$J:$J,'FY25 By Venue Financials'!$A:$A,$C51)</f>
        <v>717.19877999999994</v>
      </c>
      <c r="CO51" s="69">
        <f t="shared" ref="CO51:CO53" si="129">CN51/SUM($CN$43:$CN$50)</f>
        <v>1.9367624468221697E-2</v>
      </c>
      <c r="CQ51" s="71"/>
      <c r="CR51" s="119" t="s">
        <v>125</v>
      </c>
      <c r="CU51" s="25">
        <f t="shared" ref="CU51:CX51" si="130">SUMIFS($D51:$BZ51,$D$1:$BZ$1,CU$9)</f>
        <v>12.164165413533834</v>
      </c>
      <c r="CV51" s="25">
        <f t="shared" si="130"/>
        <v>0</v>
      </c>
      <c r="CW51" s="25">
        <f t="shared" si="130"/>
        <v>0</v>
      </c>
      <c r="CX51" s="25">
        <f t="shared" si="130"/>
        <v>0</v>
      </c>
    </row>
    <row r="52" spans="3:102" ht="15.75" customHeight="1">
      <c r="C52" s="8" t="s">
        <v>126</v>
      </c>
      <c r="D52" s="84">
        <v>0</v>
      </c>
      <c r="E52" s="84">
        <v>0</v>
      </c>
      <c r="F52" s="84">
        <v>0</v>
      </c>
      <c r="G52" s="84">
        <v>0</v>
      </c>
      <c r="H52" s="84">
        <v>0</v>
      </c>
      <c r="I52" s="84">
        <v>0</v>
      </c>
      <c r="J52" s="84">
        <v>0</v>
      </c>
      <c r="K52" s="84">
        <v>0</v>
      </c>
      <c r="L52" s="84">
        <v>0</v>
      </c>
      <c r="M52" s="84">
        <v>0</v>
      </c>
      <c r="N52" s="84">
        <v>0</v>
      </c>
      <c r="O52" s="84">
        <v>0</v>
      </c>
      <c r="P52" s="84">
        <v>0</v>
      </c>
      <c r="Q52" s="84">
        <v>0</v>
      </c>
      <c r="R52" s="84">
        <v>0</v>
      </c>
      <c r="S52" s="84">
        <v>0</v>
      </c>
      <c r="T52" s="84">
        <v>0</v>
      </c>
      <c r="U52" s="84">
        <v>0</v>
      </c>
      <c r="V52" s="84">
        <v>0</v>
      </c>
      <c r="W52" s="84">
        <v>0</v>
      </c>
      <c r="X52" s="84">
        <v>0</v>
      </c>
      <c r="Y52" s="84">
        <v>0</v>
      </c>
      <c r="Z52" s="84">
        <v>0</v>
      </c>
      <c r="AA52" s="84">
        <v>0</v>
      </c>
      <c r="AB52" s="84">
        <v>0</v>
      </c>
      <c r="AC52" s="84">
        <v>0</v>
      </c>
      <c r="AD52" s="84">
        <v>0</v>
      </c>
      <c r="AE52" s="84">
        <v>0</v>
      </c>
      <c r="AF52" s="84">
        <v>0</v>
      </c>
      <c r="AG52" s="26"/>
      <c r="AH52" s="25">
        <f t="shared" ref="AH52:BQ52" si="131">SUMIFS($CD52:$CF52,$CD$2:$CF$2,AH$3)*AH$36</f>
        <v>0</v>
      </c>
      <c r="AI52" s="25">
        <f t="shared" si="131"/>
        <v>0</v>
      </c>
      <c r="AJ52" s="25">
        <f t="shared" si="131"/>
        <v>0</v>
      </c>
      <c r="AK52" s="25">
        <f t="shared" si="131"/>
        <v>0</v>
      </c>
      <c r="AL52" s="25">
        <f t="shared" si="131"/>
        <v>0</v>
      </c>
      <c r="AM52" s="25">
        <f t="shared" si="131"/>
        <v>0</v>
      </c>
      <c r="AN52" s="25">
        <f t="shared" si="131"/>
        <v>0</v>
      </c>
      <c r="AO52" s="25">
        <f t="shared" si="131"/>
        <v>0</v>
      </c>
      <c r="AP52" s="25">
        <f t="shared" si="131"/>
        <v>0</v>
      </c>
      <c r="AQ52" s="25">
        <f t="shared" si="131"/>
        <v>0</v>
      </c>
      <c r="AR52" s="25">
        <f t="shared" si="131"/>
        <v>0</v>
      </c>
      <c r="AS52" s="25">
        <f t="shared" si="131"/>
        <v>0</v>
      </c>
      <c r="AT52" s="25">
        <f t="shared" si="131"/>
        <v>0</v>
      </c>
      <c r="AU52" s="25">
        <f t="shared" si="131"/>
        <v>0</v>
      </c>
      <c r="AV52" s="25">
        <f t="shared" si="131"/>
        <v>0</v>
      </c>
      <c r="AW52" s="25">
        <f t="shared" si="131"/>
        <v>0</v>
      </c>
      <c r="AX52" s="25">
        <f t="shared" si="131"/>
        <v>0</v>
      </c>
      <c r="AY52" s="25">
        <f t="shared" si="131"/>
        <v>0</v>
      </c>
      <c r="AZ52" s="25">
        <f t="shared" si="131"/>
        <v>0</v>
      </c>
      <c r="BA52" s="25">
        <f t="shared" si="131"/>
        <v>0</v>
      </c>
      <c r="BB52" s="25">
        <f t="shared" si="131"/>
        <v>0</v>
      </c>
      <c r="BC52" s="25">
        <f t="shared" si="131"/>
        <v>0</v>
      </c>
      <c r="BD52" s="25">
        <f t="shared" si="131"/>
        <v>0</v>
      </c>
      <c r="BE52" s="25">
        <f t="shared" si="131"/>
        <v>0</v>
      </c>
      <c r="BF52" s="25">
        <f t="shared" si="131"/>
        <v>0</v>
      </c>
      <c r="BG52" s="25">
        <f t="shared" si="131"/>
        <v>0</v>
      </c>
      <c r="BH52" s="25">
        <f t="shared" si="131"/>
        <v>0</v>
      </c>
      <c r="BI52" s="25">
        <f t="shared" si="131"/>
        <v>0</v>
      </c>
      <c r="BJ52" s="25">
        <f t="shared" si="131"/>
        <v>0</v>
      </c>
      <c r="BK52" s="25">
        <f t="shared" si="131"/>
        <v>0</v>
      </c>
      <c r="BL52" s="25">
        <f t="shared" si="131"/>
        <v>0</v>
      </c>
      <c r="BM52" s="25">
        <f t="shared" si="131"/>
        <v>0</v>
      </c>
      <c r="BN52" s="25">
        <f t="shared" si="131"/>
        <v>0</v>
      </c>
      <c r="BO52" s="25">
        <f t="shared" si="131"/>
        <v>0</v>
      </c>
      <c r="BP52" s="25">
        <f t="shared" si="131"/>
        <v>0</v>
      </c>
      <c r="BQ52" s="96">
        <f t="shared" si="131"/>
        <v>0</v>
      </c>
      <c r="BR52" s="25"/>
      <c r="BS52" s="25">
        <f t="shared" ref="BS52:BY52" si="132">BF52</f>
        <v>0</v>
      </c>
      <c r="BT52" s="25">
        <f t="shared" si="132"/>
        <v>0</v>
      </c>
      <c r="BU52" s="25">
        <f t="shared" si="132"/>
        <v>0</v>
      </c>
      <c r="BV52" s="25">
        <f t="shared" si="132"/>
        <v>0</v>
      </c>
      <c r="BW52" s="25">
        <f t="shared" si="132"/>
        <v>0</v>
      </c>
      <c r="BX52" s="25">
        <f t="shared" si="132"/>
        <v>0</v>
      </c>
      <c r="BY52" s="25">
        <f t="shared" si="132"/>
        <v>0</v>
      </c>
      <c r="BZ52" s="26"/>
      <c r="CA52" s="25">
        <f t="shared" ref="CA52:CB52" si="133">SUMIFS($D52:$BZ52,$D$1:$BZ$1,CA$2)</f>
        <v>0</v>
      </c>
      <c r="CB52" s="25">
        <f t="shared" si="133"/>
        <v>0</v>
      </c>
      <c r="CC52" s="84">
        <v>0</v>
      </c>
      <c r="CD52" s="25">
        <f t="shared" ref="CD52:CF52" si="134">SUM(CD$43:CD$50)*CH52</f>
        <v>0</v>
      </c>
      <c r="CE52" s="25">
        <f t="shared" si="134"/>
        <v>0</v>
      </c>
      <c r="CF52" s="25">
        <f t="shared" si="134"/>
        <v>0</v>
      </c>
      <c r="CH52" s="120">
        <v>0</v>
      </c>
      <c r="CI52" s="120">
        <v>0</v>
      </c>
      <c r="CJ52" s="120">
        <v>0</v>
      </c>
      <c r="CL52" s="69">
        <f t="shared" ref="CL52:CL53" si="135">IFERROR(CC52/CC6,0)</f>
        <v>0</v>
      </c>
      <c r="CN52" s="84">
        <f>SUMIFS('FY25 By Venue Financials'!$J:$J,'FY25 By Venue Financials'!$A:$A,$C52)</f>
        <v>-1498.1671900000003</v>
      </c>
      <c r="CO52" s="69">
        <f t="shared" si="129"/>
        <v>-4.0457318578443424E-2</v>
      </c>
      <c r="CQ52" s="71"/>
      <c r="CR52" s="119" t="s">
        <v>121</v>
      </c>
      <c r="CU52" s="25">
        <f t="shared" ref="CU52:CX52" si="136">SUMIFS($D52:$BZ52,$D$1:$BZ$1,CU$9)</f>
        <v>0</v>
      </c>
      <c r="CV52" s="25">
        <f t="shared" si="136"/>
        <v>0</v>
      </c>
      <c r="CW52" s="25">
        <f t="shared" si="136"/>
        <v>0</v>
      </c>
      <c r="CX52" s="25">
        <f t="shared" si="136"/>
        <v>0</v>
      </c>
    </row>
    <row r="53" spans="3:102" ht="15.75" customHeight="1">
      <c r="C53" s="8" t="s">
        <v>127</v>
      </c>
      <c r="D53" s="84">
        <v>0</v>
      </c>
      <c r="E53" s="84">
        <v>0</v>
      </c>
      <c r="F53" s="84">
        <v>0</v>
      </c>
      <c r="G53" s="84">
        <v>0</v>
      </c>
      <c r="H53" s="84">
        <v>0</v>
      </c>
      <c r="I53" s="84">
        <v>0</v>
      </c>
      <c r="J53" s="84">
        <v>0</v>
      </c>
      <c r="K53" s="84">
        <v>0</v>
      </c>
      <c r="L53" s="84">
        <v>0</v>
      </c>
      <c r="M53" s="84">
        <v>0</v>
      </c>
      <c r="N53" s="84">
        <v>0</v>
      </c>
      <c r="O53" s="84">
        <v>0</v>
      </c>
      <c r="P53" s="84">
        <v>0</v>
      </c>
      <c r="Q53" s="84">
        <v>0</v>
      </c>
      <c r="R53" s="84">
        <v>0</v>
      </c>
      <c r="S53" s="84">
        <v>0</v>
      </c>
      <c r="T53" s="84">
        <v>0</v>
      </c>
      <c r="U53" s="84">
        <v>0</v>
      </c>
      <c r="V53" s="84">
        <v>0</v>
      </c>
      <c r="W53" s="84">
        <v>0</v>
      </c>
      <c r="X53" s="84">
        <v>0</v>
      </c>
      <c r="Y53" s="84">
        <v>0</v>
      </c>
      <c r="Z53" s="84">
        <v>0</v>
      </c>
      <c r="AA53" s="84">
        <v>0</v>
      </c>
      <c r="AB53" s="84">
        <v>0</v>
      </c>
      <c r="AC53" s="84">
        <v>0</v>
      </c>
      <c r="AD53" s="84">
        <v>0</v>
      </c>
      <c r="AE53" s="84">
        <v>0</v>
      </c>
      <c r="AF53" s="84">
        <v>0</v>
      </c>
      <c r="AG53" s="26"/>
      <c r="AH53" s="25">
        <f t="shared" ref="AH53:BQ53" si="137">SUMIFS($CD53:$CF53,$CD$2:$CF$2,AH$3)*AH$36</f>
        <v>0</v>
      </c>
      <c r="AI53" s="25">
        <f t="shared" si="137"/>
        <v>0</v>
      </c>
      <c r="AJ53" s="25">
        <f t="shared" si="137"/>
        <v>0</v>
      </c>
      <c r="AK53" s="25">
        <f t="shared" si="137"/>
        <v>0</v>
      </c>
      <c r="AL53" s="25">
        <f t="shared" si="137"/>
        <v>0</v>
      </c>
      <c r="AM53" s="25">
        <f t="shared" si="137"/>
        <v>0</v>
      </c>
      <c r="AN53" s="25">
        <f t="shared" si="137"/>
        <v>0</v>
      </c>
      <c r="AO53" s="25">
        <f t="shared" si="137"/>
        <v>0</v>
      </c>
      <c r="AP53" s="25">
        <f t="shared" si="137"/>
        <v>0</v>
      </c>
      <c r="AQ53" s="25">
        <f t="shared" si="137"/>
        <v>0</v>
      </c>
      <c r="AR53" s="25">
        <f t="shared" si="137"/>
        <v>0</v>
      </c>
      <c r="AS53" s="25">
        <f t="shared" si="137"/>
        <v>0</v>
      </c>
      <c r="AT53" s="25">
        <f t="shared" si="137"/>
        <v>0</v>
      </c>
      <c r="AU53" s="25">
        <f t="shared" si="137"/>
        <v>0</v>
      </c>
      <c r="AV53" s="25">
        <f t="shared" si="137"/>
        <v>0</v>
      </c>
      <c r="AW53" s="25">
        <f t="shared" si="137"/>
        <v>0</v>
      </c>
      <c r="AX53" s="25">
        <f t="shared" si="137"/>
        <v>0</v>
      </c>
      <c r="AY53" s="25">
        <f t="shared" si="137"/>
        <v>0</v>
      </c>
      <c r="AZ53" s="25">
        <f t="shared" si="137"/>
        <v>0</v>
      </c>
      <c r="BA53" s="25">
        <f t="shared" si="137"/>
        <v>0</v>
      </c>
      <c r="BB53" s="25">
        <f t="shared" si="137"/>
        <v>0</v>
      </c>
      <c r="BC53" s="25">
        <f t="shared" si="137"/>
        <v>0</v>
      </c>
      <c r="BD53" s="25">
        <f t="shared" si="137"/>
        <v>0</v>
      </c>
      <c r="BE53" s="25">
        <f t="shared" si="137"/>
        <v>0</v>
      </c>
      <c r="BF53" s="25">
        <f t="shared" si="137"/>
        <v>0</v>
      </c>
      <c r="BG53" s="25">
        <f t="shared" si="137"/>
        <v>0</v>
      </c>
      <c r="BH53" s="25">
        <f t="shared" si="137"/>
        <v>0</v>
      </c>
      <c r="BI53" s="25">
        <f t="shared" si="137"/>
        <v>0</v>
      </c>
      <c r="BJ53" s="25">
        <f t="shared" si="137"/>
        <v>0</v>
      </c>
      <c r="BK53" s="25">
        <f t="shared" si="137"/>
        <v>0</v>
      </c>
      <c r="BL53" s="25">
        <f t="shared" si="137"/>
        <v>0</v>
      </c>
      <c r="BM53" s="25">
        <f t="shared" si="137"/>
        <v>0</v>
      </c>
      <c r="BN53" s="25">
        <f t="shared" si="137"/>
        <v>0</v>
      </c>
      <c r="BO53" s="25">
        <f t="shared" si="137"/>
        <v>0</v>
      </c>
      <c r="BP53" s="25">
        <f t="shared" si="137"/>
        <v>0</v>
      </c>
      <c r="BQ53" s="96">
        <f t="shared" si="137"/>
        <v>0</v>
      </c>
      <c r="BR53" s="25"/>
      <c r="BS53" s="25">
        <f t="shared" ref="BS53:BY53" si="138">BF53</f>
        <v>0</v>
      </c>
      <c r="BT53" s="25">
        <f t="shared" si="138"/>
        <v>0</v>
      </c>
      <c r="BU53" s="25">
        <f t="shared" si="138"/>
        <v>0</v>
      </c>
      <c r="BV53" s="25">
        <f t="shared" si="138"/>
        <v>0</v>
      </c>
      <c r="BW53" s="25">
        <f t="shared" si="138"/>
        <v>0</v>
      </c>
      <c r="BX53" s="25">
        <f t="shared" si="138"/>
        <v>0</v>
      </c>
      <c r="BY53" s="25">
        <f t="shared" si="138"/>
        <v>0</v>
      </c>
      <c r="BZ53" s="26"/>
      <c r="CA53" s="25">
        <f t="shared" ref="CA53:CB53" si="139">SUMIFS($D53:$BZ53,$D$1:$BZ$1,CA$2)</f>
        <v>0</v>
      </c>
      <c r="CB53" s="25">
        <f t="shared" si="139"/>
        <v>0</v>
      </c>
      <c r="CC53" s="84">
        <v>0</v>
      </c>
      <c r="CD53" s="25">
        <f t="shared" ref="CD53:CF53" si="140">SUM(CD$43:CD$50)*CH53</f>
        <v>0</v>
      </c>
      <c r="CE53" s="25">
        <f t="shared" si="140"/>
        <v>0</v>
      </c>
      <c r="CF53" s="25">
        <f t="shared" si="140"/>
        <v>0</v>
      </c>
      <c r="CH53" s="120">
        <v>0</v>
      </c>
      <c r="CI53" s="120">
        <v>0</v>
      </c>
      <c r="CJ53" s="120">
        <v>0</v>
      </c>
      <c r="CL53" s="69">
        <f t="shared" si="135"/>
        <v>0</v>
      </c>
      <c r="CN53" s="84">
        <f>SUMIFS('FY25 By Venue Financials'!$J:$J,'FY25 By Venue Financials'!$A:$A,$C53)</f>
        <v>1.4565700000000001</v>
      </c>
      <c r="CO53" s="69">
        <f t="shared" si="129"/>
        <v>3.9334005520307335E-5</v>
      </c>
      <c r="CQ53" s="71"/>
      <c r="CR53" s="119" t="s">
        <v>121</v>
      </c>
      <c r="CU53" s="25">
        <f t="shared" ref="CU53:CX53" si="141">SUMIFS($D53:$BZ53,$D$1:$BZ$1,CU$9)</f>
        <v>0</v>
      </c>
      <c r="CV53" s="25">
        <f t="shared" si="141"/>
        <v>0</v>
      </c>
      <c r="CW53" s="25">
        <f t="shared" si="141"/>
        <v>0</v>
      </c>
      <c r="CX53" s="25">
        <f t="shared" si="141"/>
        <v>0</v>
      </c>
    </row>
    <row r="54" spans="3:102" ht="4.5" customHeight="1">
      <c r="C54" s="8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26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5"/>
      <c r="BR54" s="84"/>
      <c r="BS54" s="84"/>
      <c r="BT54" s="84"/>
      <c r="BU54" s="84"/>
      <c r="BV54" s="84"/>
      <c r="BW54" s="84"/>
      <c r="BX54" s="84"/>
      <c r="BY54" s="84"/>
      <c r="BZ54" s="26"/>
      <c r="CA54" s="84"/>
      <c r="CB54" s="84"/>
      <c r="CC54" s="84"/>
      <c r="CD54" s="25"/>
      <c r="CE54" s="25"/>
      <c r="CF54" s="25"/>
      <c r="CH54" s="25"/>
      <c r="CI54" s="25"/>
      <c r="CJ54" s="25"/>
      <c r="CL54" s="25"/>
      <c r="CN54" s="25"/>
      <c r="CO54" s="25"/>
      <c r="CQ54" s="71"/>
      <c r="CR54" s="71"/>
      <c r="CU54" s="25"/>
      <c r="CV54" s="25"/>
      <c r="CW54" s="25"/>
      <c r="CX54" s="25"/>
    </row>
    <row r="55" spans="3:102" ht="15.75" customHeight="1">
      <c r="C55" s="121" t="s">
        <v>9</v>
      </c>
      <c r="D55" s="122">
        <f t="shared" ref="D55:AF55" si="142">SUM(D43:D54)</f>
        <v>0</v>
      </c>
      <c r="E55" s="122">
        <f t="shared" si="142"/>
        <v>0</v>
      </c>
      <c r="F55" s="122">
        <f t="shared" si="142"/>
        <v>43.726927777777782</v>
      </c>
      <c r="G55" s="122">
        <f t="shared" si="142"/>
        <v>175.65771111111113</v>
      </c>
      <c r="H55" s="122">
        <f t="shared" si="142"/>
        <v>144.77155444444446</v>
      </c>
      <c r="I55" s="122">
        <f t="shared" si="142"/>
        <v>145.22616888888891</v>
      </c>
      <c r="J55" s="122">
        <f t="shared" si="142"/>
        <v>63.067698888888891</v>
      </c>
      <c r="K55" s="122">
        <f t="shared" si="142"/>
        <v>142.47616888888891</v>
      </c>
      <c r="L55" s="122">
        <f t="shared" si="142"/>
        <v>195.8484822222222</v>
      </c>
      <c r="M55" s="122">
        <f t="shared" si="142"/>
        <v>197.49848222222221</v>
      </c>
      <c r="N55" s="122">
        <f t="shared" si="142"/>
        <v>166.11232555555554</v>
      </c>
      <c r="O55" s="122">
        <f t="shared" si="142"/>
        <v>83.658469999999994</v>
      </c>
      <c r="P55" s="122">
        <f t="shared" si="142"/>
        <v>10.13686</v>
      </c>
      <c r="Q55" s="122">
        <f t="shared" si="142"/>
        <v>24.61683</v>
      </c>
      <c r="R55" s="122">
        <f t="shared" si="142"/>
        <v>69.424076240601494</v>
      </c>
      <c r="S55" s="122">
        <f t="shared" si="142"/>
        <v>128.92485045112781</v>
      </c>
      <c r="T55" s="122">
        <f t="shared" si="142"/>
        <v>222.78766872180449</v>
      </c>
      <c r="U55" s="122">
        <f t="shared" si="142"/>
        <v>185.18814248120299</v>
      </c>
      <c r="V55" s="122">
        <f t="shared" si="142"/>
        <v>86.856698270676688</v>
      </c>
      <c r="W55" s="122">
        <f t="shared" si="142"/>
        <v>106.39727436090224</v>
      </c>
      <c r="X55" s="122">
        <f t="shared" si="142"/>
        <v>164.83823248120302</v>
      </c>
      <c r="Y55" s="122">
        <f t="shared" si="142"/>
        <v>229.20771263157894</v>
      </c>
      <c r="Z55" s="122">
        <f t="shared" si="142"/>
        <v>104.02989624060149</v>
      </c>
      <c r="AA55" s="122">
        <f t="shared" si="142"/>
        <v>30.380188120300751</v>
      </c>
      <c r="AB55" s="122">
        <f t="shared" si="142"/>
        <v>0.88854999999999995</v>
      </c>
      <c r="AC55" s="122">
        <f t="shared" si="142"/>
        <v>1.2470000000000001</v>
      </c>
      <c r="AD55" s="122">
        <f t="shared" si="142"/>
        <v>49.527856240601508</v>
      </c>
      <c r="AE55" s="122">
        <f t="shared" si="142"/>
        <v>145.33052045112782</v>
      </c>
      <c r="AF55" s="122">
        <f t="shared" si="142"/>
        <v>203.18267872180451</v>
      </c>
      <c r="AG55" s="123"/>
      <c r="AH55" s="122">
        <f t="shared" ref="AH55:BQ55" si="143">SUM(AH43:AH54)</f>
        <v>170.66257608901708</v>
      </c>
      <c r="AI55" s="122">
        <f t="shared" si="143"/>
        <v>115.06464674084755</v>
      </c>
      <c r="AJ55" s="122">
        <f t="shared" si="143"/>
        <v>238.78947011127136</v>
      </c>
      <c r="AK55" s="122">
        <f t="shared" si="143"/>
        <v>256.80032880761041</v>
      </c>
      <c r="AL55" s="122">
        <f t="shared" si="143"/>
        <v>298.71015217803415</v>
      </c>
      <c r="AM55" s="122">
        <f t="shared" si="143"/>
        <v>154.8925760890171</v>
      </c>
      <c r="AN55" s="122">
        <f t="shared" si="143"/>
        <v>54.519823370423779</v>
      </c>
      <c r="AO55" s="122">
        <f t="shared" si="143"/>
        <v>0</v>
      </c>
      <c r="AP55" s="122">
        <f t="shared" si="143"/>
        <v>0</v>
      </c>
      <c r="AQ55" s="122">
        <f t="shared" si="143"/>
        <v>68.083788044508537</v>
      </c>
      <c r="AR55" s="122">
        <f t="shared" si="143"/>
        <v>229.17929348169511</v>
      </c>
      <c r="AS55" s="122">
        <f t="shared" si="143"/>
        <v>376.7120462002884</v>
      </c>
      <c r="AT55" s="122">
        <f t="shared" si="143"/>
        <v>307.66318461675144</v>
      </c>
      <c r="AU55" s="122">
        <f t="shared" si="143"/>
        <v>155.92676923152857</v>
      </c>
      <c r="AV55" s="122">
        <f t="shared" si="143"/>
        <v>252.22283077044571</v>
      </c>
      <c r="AW55" s="122">
        <f t="shared" si="143"/>
        <v>341.38621538620998</v>
      </c>
      <c r="AX55" s="122">
        <f t="shared" si="143"/>
        <v>400.45424615566856</v>
      </c>
      <c r="AY55" s="122">
        <f t="shared" si="143"/>
        <v>221.55747692413996</v>
      </c>
      <c r="AZ55" s="122">
        <f t="shared" si="143"/>
        <v>94.596061538917141</v>
      </c>
      <c r="BA55" s="122">
        <f t="shared" si="143"/>
        <v>0</v>
      </c>
      <c r="BB55" s="122">
        <f t="shared" si="143"/>
        <v>0</v>
      </c>
      <c r="BC55" s="122">
        <f t="shared" si="143"/>
        <v>140.67901725620519</v>
      </c>
      <c r="BD55" s="122">
        <f t="shared" si="143"/>
        <v>334.55016598348732</v>
      </c>
      <c r="BE55" s="122">
        <f t="shared" si="143"/>
        <v>422.03705176861553</v>
      </c>
      <c r="BF55" s="122">
        <f t="shared" si="143"/>
        <v>423.80842237869001</v>
      </c>
      <c r="BG55" s="122">
        <f t="shared" si="143"/>
        <v>222.87285388352103</v>
      </c>
      <c r="BH55" s="122">
        <f t="shared" si="143"/>
        <v>379.93385160198585</v>
      </c>
      <c r="BI55" s="122">
        <f t="shared" si="143"/>
        <v>491.37027854374639</v>
      </c>
      <c r="BJ55" s="122">
        <f t="shared" si="143"/>
        <v>580.86942009715472</v>
      </c>
      <c r="BK55" s="122">
        <f t="shared" si="143"/>
        <v>336.05928082528163</v>
      </c>
      <c r="BL55" s="122">
        <f t="shared" si="143"/>
        <v>135.12371233011262</v>
      </c>
      <c r="BM55" s="122">
        <f t="shared" si="143"/>
        <v>0</v>
      </c>
      <c r="BN55" s="122">
        <f t="shared" si="143"/>
        <v>0</v>
      </c>
      <c r="BO55" s="122">
        <f t="shared" si="143"/>
        <v>200.93556849516898</v>
      </c>
      <c r="BP55" s="122">
        <f t="shared" si="143"/>
        <v>447.49570776704206</v>
      </c>
      <c r="BQ55" s="124">
        <f t="shared" si="143"/>
        <v>580.86942009715472</v>
      </c>
      <c r="BR55" s="122"/>
      <c r="BS55" s="122">
        <f t="shared" ref="BS55:BY55" si="144">SUM(BS43:BS54)</f>
        <v>423.80842237869001</v>
      </c>
      <c r="BT55" s="122">
        <f t="shared" si="144"/>
        <v>222.87285388352103</v>
      </c>
      <c r="BU55" s="122">
        <f t="shared" si="144"/>
        <v>379.93385160198585</v>
      </c>
      <c r="BV55" s="122">
        <f t="shared" si="144"/>
        <v>491.37027854374639</v>
      </c>
      <c r="BW55" s="122">
        <f t="shared" si="144"/>
        <v>580.86942009715472</v>
      </c>
      <c r="BX55" s="122">
        <f t="shared" si="144"/>
        <v>336.05928082528163</v>
      </c>
      <c r="BY55" s="122">
        <f t="shared" si="144"/>
        <v>135.12371233011262</v>
      </c>
      <c r="BZ55" s="123"/>
      <c r="CA55" s="122">
        <f t="shared" ref="CA55:CF55" si="145">SUM(CA43:CA54)</f>
        <v>1358.0439899999999</v>
      </c>
      <c r="CB55" s="122">
        <f t="shared" si="145"/>
        <v>1362.7884300000001</v>
      </c>
      <c r="CC55" s="122">
        <f t="shared" si="145"/>
        <v>1326.67974</v>
      </c>
      <c r="CD55" s="122">
        <f t="shared" si="145"/>
        <v>1963.4147011127134</v>
      </c>
      <c r="CE55" s="122">
        <f t="shared" si="145"/>
        <v>2671.0730196319691</v>
      </c>
      <c r="CF55" s="122">
        <f t="shared" si="145"/>
        <v>3799.3385160198582</v>
      </c>
      <c r="CG55" s="7"/>
      <c r="CH55" s="122"/>
      <c r="CI55" s="122"/>
      <c r="CJ55" s="122"/>
      <c r="CK55" s="7"/>
      <c r="CL55" s="122"/>
      <c r="CM55" s="7"/>
      <c r="CN55" s="122">
        <f>SUM(CN43:CN54)</f>
        <v>36251.296000000002</v>
      </c>
      <c r="CO55" s="125"/>
      <c r="CQ55" s="71"/>
      <c r="CR55" s="71"/>
      <c r="CU55" s="122">
        <f t="shared" ref="CU55:CX55" si="146">SUM(CU43:CU54)</f>
        <v>1689.6161787997553</v>
      </c>
      <c r="CV55" s="122">
        <f t="shared" si="146"/>
        <v>2447.7819123501536</v>
      </c>
      <c r="CW55" s="122">
        <f t="shared" si="146"/>
        <v>3467.3040546688007</v>
      </c>
      <c r="CX55" s="122">
        <f t="shared" si="146"/>
        <v>3799.3385160198577</v>
      </c>
    </row>
    <row r="56" spans="3:102" ht="15.75" customHeight="1"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114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96"/>
      <c r="BR56" s="25"/>
      <c r="BS56" s="25"/>
      <c r="BT56" s="25"/>
      <c r="BU56" s="25"/>
      <c r="BV56" s="25"/>
      <c r="BW56" s="25"/>
      <c r="BX56" s="25"/>
      <c r="BY56" s="25"/>
      <c r="BZ56" s="114"/>
      <c r="CA56" s="25"/>
      <c r="CB56" s="25"/>
      <c r="CC56" s="25"/>
      <c r="CD56" s="25"/>
      <c r="CE56" s="25"/>
      <c r="CF56" s="25"/>
      <c r="CH56" s="25"/>
      <c r="CI56" s="25"/>
      <c r="CJ56" s="25"/>
      <c r="CL56" s="25"/>
      <c r="CN56" s="25"/>
      <c r="CO56" s="25"/>
      <c r="CQ56" s="71"/>
      <c r="CR56" s="71"/>
      <c r="CU56" s="25"/>
      <c r="CV56" s="25"/>
      <c r="CW56" s="25"/>
      <c r="CX56" s="25"/>
    </row>
    <row r="57" spans="3:102" ht="15.75" customHeight="1">
      <c r="C57" s="50" t="s">
        <v>128</v>
      </c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114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96"/>
      <c r="BR57" s="25"/>
      <c r="BS57" s="25"/>
      <c r="BT57" s="25"/>
      <c r="BU57" s="25"/>
      <c r="BV57" s="25"/>
      <c r="BW57" s="25"/>
      <c r="BX57" s="25"/>
      <c r="BY57" s="25"/>
      <c r="BZ57" s="114"/>
      <c r="CA57" s="25"/>
      <c r="CB57" s="25"/>
      <c r="CC57" s="25"/>
      <c r="CD57" s="25"/>
      <c r="CE57" s="25"/>
      <c r="CF57" s="25"/>
      <c r="CH57" s="25"/>
      <c r="CI57" s="25"/>
      <c r="CJ57" s="25"/>
      <c r="CL57" s="25"/>
      <c r="CN57" s="25"/>
      <c r="CO57" s="25"/>
      <c r="CQ57" s="71"/>
      <c r="CR57" s="71"/>
      <c r="CU57" s="25"/>
      <c r="CV57" s="25"/>
      <c r="CW57" s="25"/>
      <c r="CX57" s="25"/>
    </row>
    <row r="58" spans="3:102" ht="15.75" customHeight="1">
      <c r="C58" s="8" t="s">
        <v>129</v>
      </c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>
        <f>-SUMIFS('Monthly P&amp;L'!H:H,'Monthly P&amp;L'!$A:$A,$C58)/1000</f>
        <v>0</v>
      </c>
      <c r="Q58" s="84">
        <f>-SUMIFS('Monthly P&amp;L'!I:I,'Monthly P&amp;L'!$A:$A,$C58)/1000</f>
        <v>0</v>
      </c>
      <c r="R58" s="84">
        <f>-SUMIFS('Monthly P&amp;L'!J:J,'Monthly P&amp;L'!$A:$A,$C58)/1000</f>
        <v>0</v>
      </c>
      <c r="S58" s="84">
        <f>-SUMIFS('Monthly P&amp;L'!K:K,'Monthly P&amp;L'!$A:$A,$C58)/1000</f>
        <v>0</v>
      </c>
      <c r="T58" s="84">
        <f>-SUMIFS('Monthly P&amp;L'!L:L,'Monthly P&amp;L'!$A:$A,$C58)/1000</f>
        <v>0</v>
      </c>
      <c r="U58" s="84">
        <f>-SUMIFS('Monthly P&amp;L'!M:M,'Monthly P&amp;L'!$A:$A,$C58)/1000</f>
        <v>0</v>
      </c>
      <c r="V58" s="84">
        <f>-SUMIFS('Monthly P&amp;L'!N:N,'Monthly P&amp;L'!$A:$A,$C58)/1000</f>
        <v>0</v>
      </c>
      <c r="W58" s="84">
        <f>-SUMIFS('Monthly P&amp;L'!O:O,'Monthly P&amp;L'!$A:$A,$C58)/1000</f>
        <v>0</v>
      </c>
      <c r="X58" s="84">
        <f>-SUMIFS('Monthly P&amp;L'!P:P,'Monthly P&amp;L'!$A:$A,$C58)/1000</f>
        <v>0</v>
      </c>
      <c r="Y58" s="84">
        <f>-SUMIFS('Monthly P&amp;L'!Q:Q,'Monthly P&amp;L'!$A:$A,$C58)/1000</f>
        <v>0</v>
      </c>
      <c r="Z58" s="84">
        <f>-SUMIFS('Monthly P&amp;L'!R:R,'Monthly P&amp;L'!$A:$A,$C58)/1000</f>
        <v>0</v>
      </c>
      <c r="AA58" s="84">
        <f>-SUMIFS('Monthly P&amp;L'!S:S,'Monthly P&amp;L'!$A:$A,$C58)/1000</f>
        <v>0</v>
      </c>
      <c r="AB58" s="84">
        <f>-SUMIFS('Monthly P&amp;L'!T:T,'Monthly P&amp;L'!$A:$A,$C58)/1000</f>
        <v>0</v>
      </c>
      <c r="AC58" s="84">
        <f>-SUMIFS('Monthly P&amp;L'!U:U,'Monthly P&amp;L'!$A:$A,$C58)/1000</f>
        <v>0</v>
      </c>
      <c r="AD58" s="84">
        <f>-SUMIFS('Monthly P&amp;L'!V:V,'Monthly P&amp;L'!$A:$A,$C58)/1000</f>
        <v>0</v>
      </c>
      <c r="AE58" s="84">
        <f>-SUMIFS('Monthly P&amp;L'!W:W,'Monthly P&amp;L'!$A:$A,$C58)/1000</f>
        <v>0</v>
      </c>
      <c r="AF58" s="84">
        <f>-SUMIFS('Monthly P&amp;L'!X:X,'Monthly P&amp;L'!$A:$A,$C58)/1000</f>
        <v>0</v>
      </c>
      <c r="AG58" s="26"/>
      <c r="AH58" s="25">
        <f t="shared" ref="AH58:BQ58" si="147">SUMIFS($CH58:$CJ58,$CH$1:$CJ$1,AH$3)*AH$46</f>
        <v>-12.920660050664235</v>
      </c>
      <c r="AI58" s="25">
        <f t="shared" si="147"/>
        <v>-10.767216708886862</v>
      </c>
      <c r="AJ58" s="25">
        <f t="shared" si="147"/>
        <v>-16.150825063330295</v>
      </c>
      <c r="AK58" s="25">
        <f t="shared" si="147"/>
        <v>-20.457711746885039</v>
      </c>
      <c r="AL58" s="25">
        <f t="shared" si="147"/>
        <v>-25.841320101328471</v>
      </c>
      <c r="AM58" s="25">
        <f t="shared" si="147"/>
        <v>-12.920660050664235</v>
      </c>
      <c r="AN58" s="25">
        <f t="shared" si="147"/>
        <v>-5.3836083544434308</v>
      </c>
      <c r="AO58" s="25">
        <f t="shared" si="147"/>
        <v>0</v>
      </c>
      <c r="AP58" s="25">
        <f t="shared" si="147"/>
        <v>0</v>
      </c>
      <c r="AQ58" s="25">
        <f t="shared" si="147"/>
        <v>-6.4603300253321176</v>
      </c>
      <c r="AR58" s="25">
        <f t="shared" si="147"/>
        <v>-21.534433417773723</v>
      </c>
      <c r="AS58" s="25">
        <f t="shared" si="147"/>
        <v>-29.07148511399453</v>
      </c>
      <c r="AT58" s="25">
        <f t="shared" si="147"/>
        <v>-42.597801104533652</v>
      </c>
      <c r="AU58" s="25">
        <f t="shared" si="147"/>
        <v>-23.665445058074248</v>
      </c>
      <c r="AV58" s="25">
        <f t="shared" si="147"/>
        <v>-37.864712092918801</v>
      </c>
      <c r="AW58" s="25">
        <f t="shared" si="147"/>
        <v>-49.697434621955928</v>
      </c>
      <c r="AX58" s="25">
        <f t="shared" si="147"/>
        <v>-56.79706813937819</v>
      </c>
      <c r="AY58" s="25">
        <f t="shared" si="147"/>
        <v>-33.131623081303943</v>
      </c>
      <c r="AZ58" s="25">
        <f t="shared" si="147"/>
        <v>-14.199267034844548</v>
      </c>
      <c r="BA58" s="25">
        <f t="shared" si="147"/>
        <v>0</v>
      </c>
      <c r="BB58" s="25">
        <f t="shared" si="147"/>
        <v>0</v>
      </c>
      <c r="BC58" s="25">
        <f t="shared" si="147"/>
        <v>-18.9323560464594</v>
      </c>
      <c r="BD58" s="25">
        <f t="shared" si="147"/>
        <v>-44.96434561034107</v>
      </c>
      <c r="BE58" s="25">
        <f t="shared" si="147"/>
        <v>-56.79706813937819</v>
      </c>
      <c r="BF58" s="25">
        <f t="shared" si="147"/>
        <v>-68.192372489616801</v>
      </c>
      <c r="BG58" s="25">
        <f t="shared" si="147"/>
        <v>-35.890722362956211</v>
      </c>
      <c r="BH58" s="25">
        <f t="shared" si="147"/>
        <v>-61.014228017025566</v>
      </c>
      <c r="BI58" s="25">
        <f t="shared" si="147"/>
        <v>-78.959589198503664</v>
      </c>
      <c r="BJ58" s="25">
        <f t="shared" si="147"/>
        <v>-93.315878143686149</v>
      </c>
      <c r="BK58" s="25">
        <f t="shared" si="147"/>
        <v>-53.836083544434324</v>
      </c>
      <c r="BL58" s="25">
        <f t="shared" si="147"/>
        <v>-21.534433417773727</v>
      </c>
      <c r="BM58" s="25">
        <f t="shared" si="147"/>
        <v>0</v>
      </c>
      <c r="BN58" s="25">
        <f t="shared" si="147"/>
        <v>0</v>
      </c>
      <c r="BO58" s="25">
        <f t="shared" si="147"/>
        <v>-32.301650126660583</v>
      </c>
      <c r="BP58" s="25">
        <f t="shared" si="147"/>
        <v>-71.781444725912422</v>
      </c>
      <c r="BQ58" s="96">
        <f t="shared" si="147"/>
        <v>-93.315878143686149</v>
      </c>
      <c r="BR58" s="25"/>
      <c r="BS58" s="25">
        <f t="shared" ref="BS58:BY58" si="148">BF58</f>
        <v>-68.192372489616801</v>
      </c>
      <c r="BT58" s="25">
        <f t="shared" si="148"/>
        <v>-35.890722362956211</v>
      </c>
      <c r="BU58" s="25">
        <f t="shared" si="148"/>
        <v>-61.014228017025566</v>
      </c>
      <c r="BV58" s="25">
        <f t="shared" si="148"/>
        <v>-78.959589198503664</v>
      </c>
      <c r="BW58" s="25">
        <f t="shared" si="148"/>
        <v>-93.315878143686149</v>
      </c>
      <c r="BX58" s="25">
        <f t="shared" si="148"/>
        <v>-53.836083544434324</v>
      </c>
      <c r="BY58" s="25">
        <f t="shared" si="148"/>
        <v>-21.534433417773727</v>
      </c>
      <c r="BZ58" s="26"/>
      <c r="CA58" s="84">
        <f>-SUMIFS('Monthly P&amp;L'!$E:$E,'Monthly P&amp;L'!$A:$A,$C58)/1000</f>
        <v>0</v>
      </c>
      <c r="CB58" s="25">
        <f t="shared" ref="CB58:CB62" si="149">SUMIFS($D58:$BZ58,$D$1:$BZ$1,CB$2)</f>
        <v>0</v>
      </c>
      <c r="CC58" s="25">
        <f t="shared" ref="CC58:CC62" si="150">SUMIFS($P58:$AF58,$P$3:$AF$3,$CC$2)</f>
        <v>0</v>
      </c>
      <c r="CD58" s="25">
        <f t="shared" ref="CD58:CF58" si="151">SUMIFS($D58:$BZ58,$D$3:$BZ$3,CD$2)</f>
        <v>-161.50825063330294</v>
      </c>
      <c r="CE58" s="25">
        <f t="shared" si="151"/>
        <v>-378.64712092918796</v>
      </c>
      <c r="CF58" s="25">
        <f t="shared" si="151"/>
        <v>-610.14228017025562</v>
      </c>
      <c r="CH58" s="120">
        <f t="shared" ref="CH58:CH59" si="152">$CC$61/$CC$45</f>
        <v>-0.79462853940124445</v>
      </c>
      <c r="CI58" s="69">
        <f t="shared" ref="CI58:CJ58" si="153">CH58</f>
        <v>-0.79462853940124445</v>
      </c>
      <c r="CJ58" s="69">
        <f t="shared" si="153"/>
        <v>-0.79462853940124445</v>
      </c>
      <c r="CL58" s="69">
        <f>IFERROR(CC58/CC46,0)</f>
        <v>0</v>
      </c>
      <c r="CN58" s="84">
        <f>-SUMIFS('FY25 By Venue Financials'!$J:$J,'FY25 By Venue Financials'!$A:$A,$C58)</f>
        <v>-1149.3133700000001</v>
      </c>
      <c r="CO58" s="69">
        <f>IFERROR(CN58/CN46,0)</f>
        <v>-0.14420977903455495</v>
      </c>
      <c r="CQ58" s="71" t="s">
        <v>130</v>
      </c>
      <c r="CR58" s="71" t="s">
        <v>131</v>
      </c>
      <c r="CU58" s="25">
        <f t="shared" ref="CU58:CX58" si="154">SUMIFS($D58:$BZ58,$D$1:$BZ$1,CU$9)</f>
        <v>-104.44200207620257</v>
      </c>
      <c r="CV58" s="25">
        <f t="shared" si="154"/>
        <v>-315.01959969010966</v>
      </c>
      <c r="CW58" s="25">
        <f t="shared" si="154"/>
        <v>-533.4370769701751</v>
      </c>
      <c r="CX58" s="25">
        <f t="shared" si="154"/>
        <v>-610.14228017025562</v>
      </c>
    </row>
    <row r="59" spans="3:102" ht="15.75" customHeight="1">
      <c r="C59" s="8" t="s">
        <v>132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>
        <f>-SUMIFS('Monthly P&amp;L'!H:H,'Monthly P&amp;L'!$A:$A,$C59)/1000</f>
        <v>0</v>
      </c>
      <c r="Q59" s="84">
        <f>-SUMIFS('Monthly P&amp;L'!I:I,'Monthly P&amp;L'!$A:$A,$C59)/1000</f>
        <v>0</v>
      </c>
      <c r="R59" s="84">
        <f>-SUMIFS('Monthly P&amp;L'!J:J,'Monthly P&amp;L'!$A:$A,$C59)/1000</f>
        <v>0</v>
      </c>
      <c r="S59" s="84">
        <f>-SUMIFS('Monthly P&amp;L'!K:K,'Monthly P&amp;L'!$A:$A,$C59)/1000</f>
        <v>0</v>
      </c>
      <c r="T59" s="84">
        <f>-SUMIFS('Monthly P&amp;L'!L:L,'Monthly P&amp;L'!$A:$A,$C59)/1000</f>
        <v>0</v>
      </c>
      <c r="U59" s="84">
        <f>-SUMIFS('Monthly P&amp;L'!M:M,'Monthly P&amp;L'!$A:$A,$C59)/1000</f>
        <v>0</v>
      </c>
      <c r="V59" s="84">
        <f>-SUMIFS('Monthly P&amp;L'!N:N,'Monthly P&amp;L'!$A:$A,$C59)/1000</f>
        <v>0</v>
      </c>
      <c r="W59" s="84">
        <f>-SUMIFS('Monthly P&amp;L'!O:O,'Monthly P&amp;L'!$A:$A,$C59)/1000</f>
        <v>0</v>
      </c>
      <c r="X59" s="84">
        <f>-SUMIFS('Monthly P&amp;L'!P:P,'Monthly P&amp;L'!$A:$A,$C59)/1000</f>
        <v>0</v>
      </c>
      <c r="Y59" s="84">
        <f>-SUMIFS('Monthly P&amp;L'!Q:Q,'Monthly P&amp;L'!$A:$A,$C59)/1000</f>
        <v>0</v>
      </c>
      <c r="Z59" s="84">
        <f>-SUMIFS('Monthly P&amp;L'!R:R,'Monthly P&amp;L'!$A:$A,$C59)/1000</f>
        <v>0</v>
      </c>
      <c r="AA59" s="84">
        <f>-SUMIFS('Monthly P&amp;L'!S:S,'Monthly P&amp;L'!$A:$A,$C59)/1000</f>
        <v>0</v>
      </c>
      <c r="AB59" s="84">
        <f>-SUMIFS('Monthly P&amp;L'!T:T,'Monthly P&amp;L'!$A:$A,$C59)/1000</f>
        <v>0</v>
      </c>
      <c r="AC59" s="84">
        <f>-SUMIFS('Monthly P&amp;L'!U:U,'Monthly P&amp;L'!$A:$A,$C59)/1000</f>
        <v>0</v>
      </c>
      <c r="AD59" s="84">
        <f>-SUMIFS('Monthly P&amp;L'!V:V,'Monthly P&amp;L'!$A:$A,$C59)/1000</f>
        <v>0</v>
      </c>
      <c r="AE59" s="84">
        <f>-SUMIFS('Monthly P&amp;L'!W:W,'Monthly P&amp;L'!$A:$A,$C59)/1000</f>
        <v>0</v>
      </c>
      <c r="AF59" s="84">
        <f>-SUMIFS('Monthly P&amp;L'!X:X,'Monthly P&amp;L'!$A:$A,$C59)/1000</f>
        <v>0</v>
      </c>
      <c r="AG59" s="26"/>
      <c r="AH59" s="25">
        <f t="shared" ref="AH59:BQ59" si="155">SUMIFS($CH59:$CJ59,$CH$1:$CJ$1,AH$3)*AH$49</f>
        <v>-17.290155176867032</v>
      </c>
      <c r="AI59" s="25">
        <f t="shared" si="155"/>
        <v>-14.408462647389195</v>
      </c>
      <c r="AJ59" s="25">
        <f t="shared" si="155"/>
        <v>-21.612693971083793</v>
      </c>
      <c r="AK59" s="25">
        <f t="shared" si="155"/>
        <v>-27.376079030039474</v>
      </c>
      <c r="AL59" s="25">
        <f t="shared" si="155"/>
        <v>-34.580310353734063</v>
      </c>
      <c r="AM59" s="25">
        <f t="shared" si="155"/>
        <v>-17.290155176867032</v>
      </c>
      <c r="AN59" s="25">
        <f t="shared" si="155"/>
        <v>-7.2042313236945974</v>
      </c>
      <c r="AO59" s="25">
        <f t="shared" si="155"/>
        <v>0</v>
      </c>
      <c r="AP59" s="25">
        <f t="shared" si="155"/>
        <v>0</v>
      </c>
      <c r="AQ59" s="25">
        <f t="shared" si="155"/>
        <v>-8.6450775884335158</v>
      </c>
      <c r="AR59" s="25">
        <f t="shared" si="155"/>
        <v>-28.81692529477839</v>
      </c>
      <c r="AS59" s="25">
        <f t="shared" si="155"/>
        <v>-38.902849147950825</v>
      </c>
      <c r="AT59" s="25">
        <f t="shared" si="155"/>
        <v>-61.466183170271449</v>
      </c>
      <c r="AU59" s="25">
        <f t="shared" si="155"/>
        <v>-34.147879539039693</v>
      </c>
      <c r="AV59" s="25">
        <f t="shared" si="155"/>
        <v>-54.636607262463514</v>
      </c>
      <c r="AW59" s="25">
        <f t="shared" si="155"/>
        <v>-71.710547031983353</v>
      </c>
      <c r="AX59" s="25">
        <f t="shared" si="155"/>
        <v>-81.954910893695256</v>
      </c>
      <c r="AY59" s="25">
        <f t="shared" si="155"/>
        <v>-47.807031354655571</v>
      </c>
      <c r="AZ59" s="25">
        <f t="shared" si="155"/>
        <v>-20.488727723423814</v>
      </c>
      <c r="BA59" s="25">
        <f t="shared" si="155"/>
        <v>0</v>
      </c>
      <c r="BB59" s="25">
        <f t="shared" si="155"/>
        <v>0</v>
      </c>
      <c r="BC59" s="25">
        <f t="shared" si="155"/>
        <v>-27.318303631231757</v>
      </c>
      <c r="BD59" s="25">
        <f t="shared" si="155"/>
        <v>-64.880971124175417</v>
      </c>
      <c r="BE59" s="25">
        <f t="shared" si="155"/>
        <v>-81.954910893695256</v>
      </c>
      <c r="BF59" s="25">
        <f t="shared" si="155"/>
        <v>-98.436130191869339</v>
      </c>
      <c r="BG59" s="25">
        <f t="shared" si="155"/>
        <v>-51.808489574668073</v>
      </c>
      <c r="BH59" s="25">
        <f t="shared" si="155"/>
        <v>-88.074432276935738</v>
      </c>
      <c r="BI59" s="25">
        <f t="shared" si="155"/>
        <v>-113.97867706426977</v>
      </c>
      <c r="BJ59" s="25">
        <f t="shared" si="155"/>
        <v>-134.70207289413702</v>
      </c>
      <c r="BK59" s="25">
        <f t="shared" si="155"/>
        <v>-77.712734362002124</v>
      </c>
      <c r="BL59" s="25">
        <f t="shared" si="155"/>
        <v>-31.085093744800844</v>
      </c>
      <c r="BM59" s="25">
        <f t="shared" si="155"/>
        <v>0</v>
      </c>
      <c r="BN59" s="25">
        <f t="shared" si="155"/>
        <v>0</v>
      </c>
      <c r="BO59" s="25">
        <f t="shared" si="155"/>
        <v>-46.627640617201266</v>
      </c>
      <c r="BP59" s="25">
        <f t="shared" si="155"/>
        <v>-103.61697914933615</v>
      </c>
      <c r="BQ59" s="96">
        <f t="shared" si="155"/>
        <v>-134.70207289413702</v>
      </c>
      <c r="BR59" s="25"/>
      <c r="BS59" s="25">
        <f t="shared" ref="BS59:BY59" si="156">BF59</f>
        <v>-98.436130191869339</v>
      </c>
      <c r="BT59" s="25">
        <f t="shared" si="156"/>
        <v>-51.808489574668073</v>
      </c>
      <c r="BU59" s="25">
        <f t="shared" si="156"/>
        <v>-88.074432276935738</v>
      </c>
      <c r="BV59" s="25">
        <f t="shared" si="156"/>
        <v>-113.97867706426977</v>
      </c>
      <c r="BW59" s="25">
        <f t="shared" si="156"/>
        <v>-134.70207289413702</v>
      </c>
      <c r="BX59" s="25">
        <f t="shared" si="156"/>
        <v>-77.712734362002124</v>
      </c>
      <c r="BY59" s="25">
        <f t="shared" si="156"/>
        <v>-31.085093744800844</v>
      </c>
      <c r="BZ59" s="26"/>
      <c r="CA59" s="84">
        <f>-SUMIFS('Monthly P&amp;L'!$E:$E,'Monthly P&amp;L'!$A:$A,$C59)/1000</f>
        <v>0</v>
      </c>
      <c r="CB59" s="25">
        <f t="shared" si="149"/>
        <v>0</v>
      </c>
      <c r="CC59" s="25">
        <f t="shared" si="150"/>
        <v>0</v>
      </c>
      <c r="CD59" s="25">
        <f t="shared" ref="CD59:CF59" si="157">SUMIFS($D59:$BZ59,$D$3:$BZ$3,CD$2)</f>
        <v>-216.12693971083792</v>
      </c>
      <c r="CE59" s="25">
        <f t="shared" si="157"/>
        <v>-546.36607262463508</v>
      </c>
      <c r="CF59" s="25">
        <f t="shared" si="157"/>
        <v>-880.74432276935727</v>
      </c>
      <c r="CH59" s="120">
        <f t="shared" si="152"/>
        <v>-0.79462853940124445</v>
      </c>
      <c r="CI59" s="69">
        <f t="shared" ref="CI59:CJ59" si="158">CH59</f>
        <v>-0.79462853940124445</v>
      </c>
      <c r="CJ59" s="69">
        <f t="shared" si="158"/>
        <v>-0.79462853940124445</v>
      </c>
      <c r="CL59" s="69">
        <f>IFERROR(CC59/CC49,0)</f>
        <v>0</v>
      </c>
      <c r="CN59" s="84">
        <f>-SUMIFS('FY25 By Venue Financials'!$J:$J,'FY25 By Venue Financials'!$A:$A,$C59)</f>
        <v>-1852.7597800000001</v>
      </c>
      <c r="CO59" s="69">
        <f>IFERROR(CN59/CN$49,0)</f>
        <v>-0.19007585113385525</v>
      </c>
      <c r="CQ59" s="71" t="s">
        <v>133</v>
      </c>
      <c r="CR59" s="71" t="s">
        <v>131</v>
      </c>
      <c r="CU59" s="25">
        <f t="shared" ref="CU59:CX59" si="159">SUMIFS($D59:$BZ59,$D$1:$BZ$1,CU$9)</f>
        <v>-139.76208767967518</v>
      </c>
      <c r="CV59" s="25">
        <f t="shared" si="159"/>
        <v>-448.57673900669545</v>
      </c>
      <c r="CW59" s="25">
        <f t="shared" si="159"/>
        <v>-769.95181575778531</v>
      </c>
      <c r="CX59" s="25">
        <f t="shared" si="159"/>
        <v>-880.74432276935738</v>
      </c>
    </row>
    <row r="60" spans="3:102" ht="15.75" customHeight="1">
      <c r="C60" s="8" t="s">
        <v>134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>
        <f>-SUMIFS('Monthly P&amp;L'!H:H,'Monthly P&amp;L'!$A:$A,$C60)/1000</f>
        <v>0</v>
      </c>
      <c r="Q60" s="84">
        <f>-SUMIFS('Monthly P&amp;L'!I:I,'Monthly P&amp;L'!$A:$A,$C60)/1000</f>
        <v>0</v>
      </c>
      <c r="R60" s="84">
        <f>-SUMIFS('Monthly P&amp;L'!J:J,'Monthly P&amp;L'!$A:$A,$C60)/1000</f>
        <v>0</v>
      </c>
      <c r="S60" s="84">
        <f>-SUMIFS('Monthly P&amp;L'!K:K,'Monthly P&amp;L'!$A:$A,$C60)/1000</f>
        <v>0</v>
      </c>
      <c r="T60" s="84">
        <f>-SUMIFS('Monthly P&amp;L'!L:L,'Monthly P&amp;L'!$A:$A,$C60)/1000</f>
        <v>0</v>
      </c>
      <c r="U60" s="84">
        <f>-SUMIFS('Monthly P&amp;L'!M:M,'Monthly P&amp;L'!$A:$A,$C60)/1000</f>
        <v>0</v>
      </c>
      <c r="V60" s="84">
        <f>-SUMIFS('Monthly P&amp;L'!N:N,'Monthly P&amp;L'!$A:$A,$C60)/1000</f>
        <v>0</v>
      </c>
      <c r="W60" s="84">
        <f>-SUMIFS('Monthly P&amp;L'!O:O,'Monthly P&amp;L'!$A:$A,$C60)/1000</f>
        <v>0</v>
      </c>
      <c r="X60" s="84">
        <f>-SUMIFS('Monthly P&amp;L'!P:P,'Monthly P&amp;L'!$A:$A,$C60)/1000</f>
        <v>0</v>
      </c>
      <c r="Y60" s="84">
        <f>-SUMIFS('Monthly P&amp;L'!Q:Q,'Monthly P&amp;L'!$A:$A,$C60)/1000</f>
        <v>0</v>
      </c>
      <c r="Z60" s="84">
        <f>-SUMIFS('Monthly P&amp;L'!R:R,'Monthly P&amp;L'!$A:$A,$C60)/1000</f>
        <v>0</v>
      </c>
      <c r="AA60" s="84">
        <f>-SUMIFS('Monthly P&amp;L'!S:S,'Monthly P&amp;L'!$A:$A,$C60)/1000</f>
        <v>0</v>
      </c>
      <c r="AB60" s="84">
        <f>-SUMIFS('Monthly P&amp;L'!T:T,'Monthly P&amp;L'!$A:$A,$C60)/1000</f>
        <v>0</v>
      </c>
      <c r="AC60" s="84">
        <f>-SUMIFS('Monthly P&amp;L'!U:U,'Monthly P&amp;L'!$A:$A,$C60)/1000</f>
        <v>0</v>
      </c>
      <c r="AD60" s="84">
        <f>-SUMIFS('Monthly P&amp;L'!V:V,'Monthly P&amp;L'!$A:$A,$C60)/1000</f>
        <v>0</v>
      </c>
      <c r="AE60" s="84">
        <f>-SUMIFS('Monthly P&amp;L'!W:W,'Monthly P&amp;L'!$A:$A,$C60)/1000</f>
        <v>0</v>
      </c>
      <c r="AF60" s="84">
        <f>-SUMIFS('Monthly P&amp;L'!X:X,'Monthly P&amp;L'!$A:$A,$C60)/1000</f>
        <v>0</v>
      </c>
      <c r="AG60" s="26"/>
      <c r="AH60" s="25">
        <f t="shared" ref="AH60:BQ60" si="160">SUMIFS($CH60:$CJ60,$CH$1:$CJ$1,AH$3)*AH$47</f>
        <v>0</v>
      </c>
      <c r="AI60" s="25">
        <f t="shared" si="160"/>
        <v>0</v>
      </c>
      <c r="AJ60" s="25">
        <f t="shared" si="160"/>
        <v>0</v>
      </c>
      <c r="AK60" s="25">
        <f t="shared" si="160"/>
        <v>0</v>
      </c>
      <c r="AL60" s="25">
        <f t="shared" si="160"/>
        <v>0</v>
      </c>
      <c r="AM60" s="25">
        <f t="shared" si="160"/>
        <v>0</v>
      </c>
      <c r="AN60" s="25">
        <f t="shared" si="160"/>
        <v>0</v>
      </c>
      <c r="AO60" s="25">
        <f t="shared" si="160"/>
        <v>0</v>
      </c>
      <c r="AP60" s="25">
        <f t="shared" si="160"/>
        <v>0</v>
      </c>
      <c r="AQ60" s="25">
        <f t="shared" si="160"/>
        <v>0</v>
      </c>
      <c r="AR60" s="25">
        <f t="shared" si="160"/>
        <v>0</v>
      </c>
      <c r="AS60" s="25">
        <f t="shared" si="160"/>
        <v>0</v>
      </c>
      <c r="AT60" s="25">
        <f t="shared" si="160"/>
        <v>0</v>
      </c>
      <c r="AU60" s="25">
        <f t="shared" si="160"/>
        <v>0</v>
      </c>
      <c r="AV60" s="25">
        <f t="shared" si="160"/>
        <v>0</v>
      </c>
      <c r="AW60" s="25">
        <f t="shared" si="160"/>
        <v>0</v>
      </c>
      <c r="AX60" s="25">
        <f t="shared" si="160"/>
        <v>0</v>
      </c>
      <c r="AY60" s="25">
        <f t="shared" si="160"/>
        <v>0</v>
      </c>
      <c r="AZ60" s="25">
        <f t="shared" si="160"/>
        <v>0</v>
      </c>
      <c r="BA60" s="25">
        <f t="shared" si="160"/>
        <v>0</v>
      </c>
      <c r="BB60" s="25">
        <f t="shared" si="160"/>
        <v>0</v>
      </c>
      <c r="BC60" s="25">
        <f t="shared" si="160"/>
        <v>-1.7156525890582348</v>
      </c>
      <c r="BD60" s="25">
        <f t="shared" si="160"/>
        <v>-4.0746748990133064</v>
      </c>
      <c r="BE60" s="25">
        <f t="shared" si="160"/>
        <v>-5.1469577671747038</v>
      </c>
      <c r="BF60" s="25">
        <f t="shared" si="160"/>
        <v>-6.3941052261439575</v>
      </c>
      <c r="BG60" s="25">
        <f t="shared" si="160"/>
        <v>-3.365318540075767</v>
      </c>
      <c r="BH60" s="25">
        <f t="shared" si="160"/>
        <v>-5.7210415181288043</v>
      </c>
      <c r="BI60" s="25">
        <f t="shared" si="160"/>
        <v>-7.4037007881666881</v>
      </c>
      <c r="BJ60" s="25">
        <f t="shared" si="160"/>
        <v>-8.7498282041969961</v>
      </c>
      <c r="BK60" s="25">
        <f t="shared" si="160"/>
        <v>-5.0479778101136512</v>
      </c>
      <c r="BL60" s="25">
        <f t="shared" si="160"/>
        <v>-2.0191911240454603</v>
      </c>
      <c r="BM60" s="25">
        <f t="shared" si="160"/>
        <v>0</v>
      </c>
      <c r="BN60" s="25">
        <f t="shared" si="160"/>
        <v>0</v>
      </c>
      <c r="BO60" s="25">
        <f t="shared" si="160"/>
        <v>-3.0287866860681905</v>
      </c>
      <c r="BP60" s="25">
        <f t="shared" si="160"/>
        <v>-6.7306370801515341</v>
      </c>
      <c r="BQ60" s="96">
        <f t="shared" si="160"/>
        <v>-8.7498282041969961</v>
      </c>
      <c r="BR60" s="25"/>
      <c r="BS60" s="25">
        <f t="shared" ref="BS60:BY60" si="161">BF60</f>
        <v>-6.3941052261439575</v>
      </c>
      <c r="BT60" s="25">
        <f t="shared" si="161"/>
        <v>-3.365318540075767</v>
      </c>
      <c r="BU60" s="25">
        <f t="shared" si="161"/>
        <v>-5.7210415181288043</v>
      </c>
      <c r="BV60" s="25">
        <f t="shared" si="161"/>
        <v>-7.4037007881666881</v>
      </c>
      <c r="BW60" s="25">
        <f t="shared" si="161"/>
        <v>-8.7498282041969961</v>
      </c>
      <c r="BX60" s="25">
        <f t="shared" si="161"/>
        <v>-5.0479778101136512</v>
      </c>
      <c r="BY60" s="25">
        <f t="shared" si="161"/>
        <v>-2.0191911240454603</v>
      </c>
      <c r="BZ60" s="26"/>
      <c r="CA60" s="84">
        <f>-SUMIFS('Monthly P&amp;L'!$E:$E,'Monthly P&amp;L'!$A:$A,$C60)/1000</f>
        <v>0</v>
      </c>
      <c r="CB60" s="25">
        <f t="shared" si="149"/>
        <v>0</v>
      </c>
      <c r="CC60" s="25">
        <f t="shared" si="150"/>
        <v>0</v>
      </c>
      <c r="CD60" s="25">
        <f t="shared" ref="CD60:CF60" si="162">SUMIFS($D60:$BZ60,$D$3:$BZ$3,CD$2)</f>
        <v>0</v>
      </c>
      <c r="CE60" s="25">
        <f t="shared" si="162"/>
        <v>-10.937285255246245</v>
      </c>
      <c r="CF60" s="25">
        <f t="shared" si="162"/>
        <v>-57.210415181288042</v>
      </c>
      <c r="CH60" s="120">
        <f t="shared" ref="CH60:CJ60" si="163">$CO60</f>
        <v>-0.10915485728300921</v>
      </c>
      <c r="CI60" s="120">
        <f t="shared" si="163"/>
        <v>-0.10915485728300921</v>
      </c>
      <c r="CJ60" s="120">
        <f t="shared" si="163"/>
        <v>-0.10915485728300921</v>
      </c>
      <c r="CL60" s="69">
        <f>IFERROR(CC60/CC47,0)</f>
        <v>0</v>
      </c>
      <c r="CN60" s="84">
        <f>-SUMIFS('FY25 By Venue Financials'!$J:$J,'FY25 By Venue Financials'!$A:$A,$C60)</f>
        <v>-518.61731000000009</v>
      </c>
      <c r="CO60" s="69">
        <f>IFERROR(CN60/CN47,0)</f>
        <v>-0.10915485728300921</v>
      </c>
      <c r="CQ60" s="71" t="s">
        <v>135</v>
      </c>
      <c r="CR60" s="71" t="s">
        <v>136</v>
      </c>
      <c r="CU60" s="25">
        <f t="shared" ref="CU60:CX60" si="164">SUMIFS($D60:$BZ60,$D$1:$BZ$1,CU$9)</f>
        <v>0</v>
      </c>
      <c r="CV60" s="25">
        <f t="shared" si="164"/>
        <v>0</v>
      </c>
      <c r="CW60" s="25">
        <f t="shared" si="164"/>
        <v>-49.638448466117566</v>
      </c>
      <c r="CX60" s="25">
        <f t="shared" si="164"/>
        <v>-57.210415181288042</v>
      </c>
    </row>
    <row r="61" spans="3:102" ht="15.75" customHeight="1">
      <c r="C61" s="8" t="s">
        <v>137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>
        <f>-SUMIFS('Monthly P&amp;L'!H:H,'Monthly P&amp;L'!$A:$A,$C61)/1000</f>
        <v>-10.13686</v>
      </c>
      <c r="Q61" s="84">
        <f>-SUMIFS('Monthly P&amp;L'!I:I,'Monthly P&amp;L'!$A:$A,$C61)/1000</f>
        <v>-24.61683</v>
      </c>
      <c r="R61" s="84">
        <f>-SUMIFS('Monthly P&amp;L'!J:J,'Monthly P&amp;L'!$A:$A,$C61)/1000</f>
        <v>-3.7535799999999999</v>
      </c>
      <c r="S61" s="84">
        <f>-SUMIFS('Monthly P&amp;L'!K:K,'Monthly P&amp;L'!$A:$A,$C61)/1000</f>
        <v>-4.2426700000000004</v>
      </c>
      <c r="T61" s="84">
        <f>-SUMIFS('Monthly P&amp;L'!L:L,'Monthly P&amp;L'!$A:$A,$C61)/1000</f>
        <v>-33.514180000000003</v>
      </c>
      <c r="U61" s="84">
        <f>-SUMIFS('Monthly P&amp;L'!M:M,'Monthly P&amp;L'!$A:$A,$C61)/1000</f>
        <v>-44.748149999999995</v>
      </c>
      <c r="V61" s="84">
        <f>-SUMIFS('Monthly P&amp;L'!N:N,'Monthly P&amp;L'!$A:$A,$C61)/1000</f>
        <v>-8.9773899999999998</v>
      </c>
      <c r="W61" s="84">
        <f>-SUMIFS('Monthly P&amp;L'!O:O,'Monthly P&amp;L'!$A:$A,$C61)/1000</f>
        <v>-11.289529999999999</v>
      </c>
      <c r="X61" s="84">
        <f>-SUMIFS('Monthly P&amp;L'!P:P,'Monthly P&amp;L'!$A:$A,$C61)/1000</f>
        <v>-37.846240000000009</v>
      </c>
      <c r="Y61" s="84">
        <f>-SUMIFS('Monthly P&amp;L'!Q:Q,'Monthly P&amp;L'!$A:$A,$C61)/1000</f>
        <v>-51.036660000000005</v>
      </c>
      <c r="Z61" s="84">
        <f>-SUMIFS('Monthly P&amp;L'!R:R,'Monthly P&amp;L'!$A:$A,$C61)/1000</f>
        <v>-43.109399999999994</v>
      </c>
      <c r="AA61" s="84">
        <f>-SUMIFS('Monthly P&amp;L'!S:S,'Monthly P&amp;L'!$A:$A,$C61)/1000</f>
        <v>-2.5949400000000002</v>
      </c>
      <c r="AB61" s="84">
        <f>-SUMIFS('Monthly P&amp;L'!T:T,'Monthly P&amp;L'!$A:$A,$C61)/1000</f>
        <v>-0.88854999999999995</v>
      </c>
      <c r="AC61" s="84">
        <f>-SUMIFS('Monthly P&amp;L'!U:U,'Monthly P&amp;L'!$A:$A,$C61)/1000</f>
        <v>-1.2470000000000001</v>
      </c>
      <c r="AD61" s="84">
        <f>-SUMIFS('Monthly P&amp;L'!V:V,'Monthly P&amp;L'!$A:$A,$C61)/1000</f>
        <v>-5.9573599999999995</v>
      </c>
      <c r="AE61" s="84">
        <f>-SUMIFS('Monthly P&amp;L'!W:W,'Monthly P&amp;L'!$A:$A,$C61)/1000</f>
        <v>-17.448340000000002</v>
      </c>
      <c r="AF61" s="84">
        <f>-SUMIFS('Monthly P&amp;L'!X:X,'Monthly P&amp;L'!$A:$A,$C61)/1000</f>
        <v>-14.061189999999998</v>
      </c>
      <c r="AG61" s="26"/>
      <c r="AH61" s="84">
        <f>-SUMIFS('Future Events'!$AH:$AH,'Future Events'!$D:$D,AH$9)/1000</f>
        <v>-30.495000000000001</v>
      </c>
      <c r="AI61" s="84">
        <f>-SUMIFS('Future Events'!$AH:$AH,'Future Events'!$D:$D,AI$9)/1000</f>
        <v>-7.5250000000000004</v>
      </c>
      <c r="AJ61" s="84">
        <f>-SUMIFS('Future Events'!$AH:$AH,'Future Events'!$D:$D,AJ$9)/1000</f>
        <v>-63.48</v>
      </c>
      <c r="AK61" s="84">
        <f>-SUMIFS('Future Events'!$AH:$AH,'Future Events'!$D:$D,AK$9)/1000</f>
        <v>-37.484999999999999</v>
      </c>
      <c r="AL61" s="84">
        <f>-SUMIFS('Future Events'!$AH:$AH,'Future Events'!$D:$D,AL$9)/1000</f>
        <v>-27.574999999999999</v>
      </c>
      <c r="AM61" s="84">
        <f>-SUMIFS('Future Events'!$AH:$AH,'Future Events'!$D:$D,AM$9)/1000</f>
        <v>-20.574999999999999</v>
      </c>
      <c r="AN61" s="84">
        <f>-SUMIFS('Future Events'!$AH:$AH,'Future Events'!$D:$D,AN$9)/1000</f>
        <v>-0.55000000000000004</v>
      </c>
      <c r="AO61" s="84">
        <f>-SUMIFS('Future Events'!$AH:$AH,'Future Events'!$D:$D,AO$9)/1000</f>
        <v>0</v>
      </c>
      <c r="AP61" s="84">
        <f>-SUMIFS('Future Events'!$AH:$AH,'Future Events'!$D:$D,AP$9)/1000</f>
        <v>0</v>
      </c>
      <c r="AQ61" s="84">
        <f>-SUMIFS('Future Events'!$AH:$AH,'Future Events'!$D:$D,AQ$9)/1000</f>
        <v>-0.3</v>
      </c>
      <c r="AR61" s="84">
        <f>-SUMIFS('Future Events'!$AH:$AH,'Future Events'!$D:$D,AR$9)/1000</f>
        <v>-2.65</v>
      </c>
      <c r="AS61" s="84">
        <f>-SUMIFS('Future Events'!$AH:$AH,'Future Events'!$D:$D,AS$9)/1000</f>
        <v>-55.435000000000002</v>
      </c>
      <c r="AT61" s="84">
        <f>-SUMIFS('Future Events'!$AH:$AH,'Future Events'!$D:$D,AT$9)/1000</f>
        <v>-23.875</v>
      </c>
      <c r="AU61" s="84">
        <f>-SUMIFS('Future Events'!$AH:$AH,'Future Events'!$D:$D,AU$9)/1000</f>
        <v>-0.6</v>
      </c>
      <c r="AV61" s="84">
        <f>-SUMIFS('Future Events'!$AH:$AH,'Future Events'!$D:$D,AV$9)/1000</f>
        <v>-2.2999999999999998</v>
      </c>
      <c r="AW61" s="84">
        <f>-SUMIFS('Future Events'!$AH:$AH,'Future Events'!$D:$D,AW$9)/1000</f>
        <v>-11.6</v>
      </c>
      <c r="AX61" s="84">
        <f>-SUMIFS('Future Events'!$AH:$AH,'Future Events'!$D:$D,AX$9)/1000</f>
        <v>-22.07</v>
      </c>
      <c r="AY61" s="84">
        <f>-SUMIFS('Future Events'!$AH:$AH,'Future Events'!$D:$D,AY$9)/1000</f>
        <v>-2</v>
      </c>
      <c r="AZ61" s="84">
        <f>-SUMIFS('Future Events'!$AH:$AH,'Future Events'!$D:$D,AZ$9)/1000</f>
        <v>0</v>
      </c>
      <c r="BA61" s="84">
        <f>-SUMIFS('Future Events'!$AH:$AH,'Future Events'!$D:$D,BA$9)/1000</f>
        <v>0</v>
      </c>
      <c r="BB61" s="84">
        <f>-SUMIFS('Future Events'!$AH:$AH,'Future Events'!$D:$D,BB$9)/1000</f>
        <v>0</v>
      </c>
      <c r="BC61" s="84">
        <f>-SUMIFS('Future Events'!$AH:$AH,'Future Events'!$D:$D,BC$9)/1000</f>
        <v>0</v>
      </c>
      <c r="BD61" s="84">
        <f>-SUMIFS('Future Events'!$AH:$AH,'Future Events'!$D:$D,BD$9)/1000</f>
        <v>0</v>
      </c>
      <c r="BE61" s="84">
        <f>-SUMIFS('Future Events'!$AH:$AH,'Future Events'!$D:$D,BE$9)/1000</f>
        <v>0</v>
      </c>
      <c r="BF61" s="84">
        <f>-SUMIFS('Future Events'!$AH:$AH,'Future Events'!$D:$D,BF$9)/1000</f>
        <v>0</v>
      </c>
      <c r="BG61" s="84">
        <f>-SUMIFS('Future Events'!$AH:$AH,'Future Events'!$D:$D,BG$9)/1000</f>
        <v>0</v>
      </c>
      <c r="BH61" s="84">
        <f>-SUMIFS('Future Events'!$AH:$AH,'Future Events'!$D:$D,BH$9)/1000</f>
        <v>0</v>
      </c>
      <c r="BI61" s="84">
        <f>-SUMIFS('Future Events'!$AH:$AH,'Future Events'!$D:$D,BI$9)/1000</f>
        <v>0</v>
      </c>
      <c r="BJ61" s="84">
        <f>-SUMIFS('Future Events'!$AH:$AH,'Future Events'!$D:$D,BJ$9)/1000</f>
        <v>0</v>
      </c>
      <c r="BK61" s="84">
        <f>-SUMIFS('Future Events'!$AH:$AH,'Future Events'!$D:$D,BK$9)/1000</f>
        <v>0</v>
      </c>
      <c r="BL61" s="84">
        <f>-SUMIFS('Future Events'!$AH:$AH,'Future Events'!$D:$D,BL$9)/1000</f>
        <v>0</v>
      </c>
      <c r="BM61" s="84">
        <f>-SUMIFS('Future Events'!$AH:$AH,'Future Events'!$D:$D,BM$9)/1000</f>
        <v>0</v>
      </c>
      <c r="BN61" s="84">
        <f>-SUMIFS('Future Events'!$AH:$AH,'Future Events'!$D:$D,BN$9)/1000</f>
        <v>0</v>
      </c>
      <c r="BO61" s="84">
        <f>-SUMIFS('Future Events'!$AH:$AH,'Future Events'!$D:$D,BO$9)/1000</f>
        <v>0</v>
      </c>
      <c r="BP61" s="84">
        <f>-SUMIFS('Future Events'!$AH:$AH,'Future Events'!$D:$D,BP$9)/1000</f>
        <v>0</v>
      </c>
      <c r="BQ61" s="85">
        <f>-SUMIFS('Future Events'!$AH:$AH,'Future Events'!$D:$D,BQ$9)/1000</f>
        <v>0</v>
      </c>
      <c r="BR61" s="84"/>
      <c r="BS61" s="84">
        <f>-SUMIFS('Future Events'!$AH:$AH,'Future Events'!$D:$D,BS$9)/1000</f>
        <v>0</v>
      </c>
      <c r="BT61" s="84">
        <f>-SUMIFS('Future Events'!$AH:$AH,'Future Events'!$D:$D,BT$9)/1000</f>
        <v>0</v>
      </c>
      <c r="BU61" s="84">
        <f>-SUMIFS('Future Events'!$AH:$AH,'Future Events'!$D:$D,BU$9)/1000</f>
        <v>0</v>
      </c>
      <c r="BV61" s="84">
        <f>-SUMIFS('Future Events'!$AH:$AH,'Future Events'!$D:$D,BV$9)/1000</f>
        <v>0</v>
      </c>
      <c r="BW61" s="84">
        <f>-SUMIFS('Future Events'!$AH:$AH,'Future Events'!$D:$D,BW$9)/1000</f>
        <v>0</v>
      </c>
      <c r="BX61" s="84">
        <f>-SUMIFS('Future Events'!$AH:$AH,'Future Events'!$D:$D,BX$9)/1000</f>
        <v>0</v>
      </c>
      <c r="BY61" s="84">
        <f>-SUMIFS('Future Events'!$AH:$AH,'Future Events'!$D:$D,BY$9)/1000</f>
        <v>0</v>
      </c>
      <c r="BZ61" s="26"/>
      <c r="CA61" s="84">
        <f>-SUMIFS('Monthly P&amp;L'!$E:$E,'Monthly P&amp;L'!$A:$A,$C61)/1000</f>
        <v>-167.41099</v>
      </c>
      <c r="CB61" s="25">
        <f t="shared" si="149"/>
        <v>-275.86642999999998</v>
      </c>
      <c r="CC61" s="25">
        <f t="shared" si="150"/>
        <v>-258.65774000000005</v>
      </c>
      <c r="CD61" s="25">
        <f t="shared" ref="CD61:CF61" si="165">SUMIFS($D61:$BZ61,$D$3:$BZ$3,CD$2)</f>
        <v>-246.07000000000002</v>
      </c>
      <c r="CE61" s="25">
        <f t="shared" si="165"/>
        <v>-62.445</v>
      </c>
      <c r="CF61" s="25">
        <f t="shared" si="165"/>
        <v>0</v>
      </c>
      <c r="CH61" s="126"/>
      <c r="CI61" s="126"/>
      <c r="CJ61" s="126"/>
      <c r="CL61" s="98"/>
      <c r="CN61" s="84">
        <f>-SUMIFS('FY25 By Venue Financials'!$J:$J,'FY25 By Venue Financials'!$A:$A,$C61)</f>
        <v>0</v>
      </c>
      <c r="CO61" s="69">
        <f t="shared" ref="CO61:CO62" si="166">IFERROR(CN61/CN$55,0)</f>
        <v>0</v>
      </c>
      <c r="CQ61" s="71" t="s">
        <v>138</v>
      </c>
      <c r="CR61" s="71" t="s">
        <v>139</v>
      </c>
      <c r="CU61" s="25">
        <f t="shared" ref="CU61:CX61" si="167">SUMIFS($D61:$BZ61,$D$1:$BZ$1,CU$9)</f>
        <v>-227.28744</v>
      </c>
      <c r="CV61" s="25">
        <f t="shared" si="167"/>
        <v>-120.82999999999998</v>
      </c>
      <c r="CW61" s="25">
        <f t="shared" si="167"/>
        <v>0</v>
      </c>
      <c r="CX61" s="25">
        <f t="shared" si="167"/>
        <v>0</v>
      </c>
    </row>
    <row r="62" spans="3:102" ht="15.75" customHeight="1">
      <c r="C62" s="8" t="s">
        <v>140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>
        <f>-SUMIFS('Monthly P&amp;L'!H:H,'Monthly P&amp;L'!$A:$A,$C62)/1000</f>
        <v>-0.25649</v>
      </c>
      <c r="Q62" s="84">
        <f>-SUMIFS('Monthly P&amp;L'!I:I,'Monthly P&amp;L'!$A:$A,$C62)/1000</f>
        <v>0</v>
      </c>
      <c r="R62" s="84">
        <f>-SUMIFS('Monthly P&amp;L'!J:J,'Monthly P&amp;L'!$A:$A,$C62)/1000</f>
        <v>-0.23652000000000001</v>
      </c>
      <c r="S62" s="84">
        <f>-SUMIFS('Monthly P&amp;L'!K:K,'Monthly P&amp;L'!$A:$A,$C62)/1000</f>
        <v>-0.19974</v>
      </c>
      <c r="T62" s="84">
        <f>-SUMIFS('Monthly P&amp;L'!L:L,'Monthly P&amp;L'!$A:$A,$C62)/1000</f>
        <v>-1.6E-2</v>
      </c>
      <c r="U62" s="84">
        <f>-SUMIFS('Monthly P&amp;L'!M:M,'Monthly P&amp;L'!$A:$A,$C62)/1000</f>
        <v>-0.30123</v>
      </c>
      <c r="V62" s="84">
        <f>-SUMIFS('Monthly P&amp;L'!N:N,'Monthly P&amp;L'!$A:$A,$C62)/1000</f>
        <v>0</v>
      </c>
      <c r="W62" s="84">
        <f>-SUMIFS('Monthly P&amp;L'!O:O,'Monthly P&amp;L'!$A:$A,$C62)/1000</f>
        <v>0</v>
      </c>
      <c r="X62" s="84">
        <f>-SUMIFS('Monthly P&amp;L'!P:P,'Monthly P&amp;L'!$A:$A,$C62)/1000</f>
        <v>0</v>
      </c>
      <c r="Y62" s="84">
        <f>-SUMIFS('Monthly P&amp;L'!Q:Q,'Monthly P&amp;L'!$A:$A,$C62)/1000</f>
        <v>-0.38844999999999996</v>
      </c>
      <c r="Z62" s="84">
        <f>-SUMIFS('Monthly P&amp;L'!R:R,'Monthly P&amp;L'!$A:$A,$C62)/1000</f>
        <v>-0.12452000000000001</v>
      </c>
      <c r="AA62" s="84">
        <f>-SUMIFS('Monthly P&amp;L'!S:S,'Monthly P&amp;L'!$A:$A,$C62)/1000</f>
        <v>0</v>
      </c>
      <c r="AB62" s="84">
        <f>-SUMIFS('Monthly P&amp;L'!T:T,'Monthly P&amp;L'!$A:$A,$C62)/1000</f>
        <v>0</v>
      </c>
      <c r="AC62" s="84">
        <f>-SUMIFS('Monthly P&amp;L'!U:U,'Monthly P&amp;L'!$A:$A,$C62)/1000</f>
        <v>-0.22271000000000002</v>
      </c>
      <c r="AD62" s="84">
        <f>-SUMIFS('Monthly P&amp;L'!V:V,'Monthly P&amp;L'!$A:$A,$C62)/1000</f>
        <v>-0.13819999999999999</v>
      </c>
      <c r="AE62" s="84">
        <f>-SUMIFS('Monthly P&amp;L'!W:W,'Monthly P&amp;L'!$A:$A,$C62)/1000</f>
        <v>0</v>
      </c>
      <c r="AF62" s="84">
        <f>-SUMIFS('Monthly P&amp;L'!X:X,'Monthly P&amp;L'!$A:$A,$C62)/1000</f>
        <v>0</v>
      </c>
      <c r="AG62" s="26"/>
      <c r="AH62" s="25">
        <f t="shared" ref="AH62:BQ62" si="168">SUMIFS($CH62:$CJ62,$CH$1:$CJ$1,AH$3)*AH$55</f>
        <v>-1.9942839853130125</v>
      </c>
      <c r="AI62" s="25">
        <f t="shared" si="168"/>
        <v>-1.3445922798638625</v>
      </c>
      <c r="AJ62" s="25">
        <f t="shared" si="168"/>
        <v>-2.7903833811573131</v>
      </c>
      <c r="AK62" s="25">
        <f t="shared" si="168"/>
        <v>-3.0008499514094198</v>
      </c>
      <c r="AL62" s="25">
        <f t="shared" si="168"/>
        <v>-3.4905887769345774</v>
      </c>
      <c r="AM62" s="25">
        <f t="shared" si="168"/>
        <v>-1.8100030540795473</v>
      </c>
      <c r="AN62" s="25">
        <f t="shared" si="168"/>
        <v>-0.63709345728508193</v>
      </c>
      <c r="AO62" s="25">
        <f t="shared" si="168"/>
        <v>0</v>
      </c>
      <c r="AP62" s="25">
        <f t="shared" si="168"/>
        <v>0</v>
      </c>
      <c r="AQ62" s="25">
        <f t="shared" si="168"/>
        <v>-0.79559567931159858</v>
      </c>
      <c r="AR62" s="25">
        <f t="shared" si="168"/>
        <v>-2.6780832988100465</v>
      </c>
      <c r="AS62" s="25">
        <f t="shared" si="168"/>
        <v>-4.4020828586336949</v>
      </c>
      <c r="AT62" s="25">
        <f t="shared" si="168"/>
        <v>-3.5952097759941997</v>
      </c>
      <c r="AU62" s="25">
        <f t="shared" si="168"/>
        <v>-1.8220881571472252</v>
      </c>
      <c r="AV62" s="25">
        <f t="shared" si="168"/>
        <v>-2.947359425029707</v>
      </c>
      <c r="AW62" s="25">
        <f t="shared" si="168"/>
        <v>-3.9892815270538464</v>
      </c>
      <c r="AX62" s="25">
        <f t="shared" si="168"/>
        <v>-4.6795232338593511</v>
      </c>
      <c r="AY62" s="25">
        <f t="shared" si="168"/>
        <v>-2.5890182732604647</v>
      </c>
      <c r="AZ62" s="25">
        <f t="shared" si="168"/>
        <v>-1.1054058536087412</v>
      </c>
      <c r="BA62" s="25">
        <f t="shared" si="168"/>
        <v>0</v>
      </c>
      <c r="BB62" s="25">
        <f t="shared" si="168"/>
        <v>0</v>
      </c>
      <c r="BC62" s="25">
        <f t="shared" si="168"/>
        <v>-1.6439099749513149</v>
      </c>
      <c r="BD62" s="25">
        <f t="shared" si="168"/>
        <v>-3.9093986133004091</v>
      </c>
      <c r="BE62" s="25">
        <f t="shared" si="168"/>
        <v>-4.9317299248539443</v>
      </c>
      <c r="BF62" s="25">
        <f t="shared" si="168"/>
        <v>-4.9524293430900963</v>
      </c>
      <c r="BG62" s="25">
        <f t="shared" si="168"/>
        <v>-2.6043891604511931</v>
      </c>
      <c r="BH62" s="25">
        <f t="shared" si="168"/>
        <v>-4.4397313874655158</v>
      </c>
      <c r="BI62" s="25">
        <f t="shared" si="168"/>
        <v>-5.7419259676911132</v>
      </c>
      <c r="BJ62" s="25">
        <f t="shared" si="168"/>
        <v>-6.7877715701044181</v>
      </c>
      <c r="BK62" s="25">
        <f t="shared" si="168"/>
        <v>-3.9270334318409352</v>
      </c>
      <c r="BL62" s="25">
        <f t="shared" si="168"/>
        <v>-1.5789932492020318</v>
      </c>
      <c r="BM62" s="25">
        <f t="shared" si="168"/>
        <v>0</v>
      </c>
      <c r="BN62" s="25">
        <f t="shared" si="168"/>
        <v>0</v>
      </c>
      <c r="BO62" s="25">
        <f t="shared" si="168"/>
        <v>-2.3480401826389032</v>
      </c>
      <c r="BP62" s="25">
        <f t="shared" si="168"/>
        <v>-5.2292280120665309</v>
      </c>
      <c r="BQ62" s="96">
        <f t="shared" si="168"/>
        <v>-6.7877715701044181</v>
      </c>
      <c r="BR62" s="25"/>
      <c r="BS62" s="25">
        <f t="shared" ref="BS62:BY62" si="169">BF62</f>
        <v>-4.9524293430900963</v>
      </c>
      <c r="BT62" s="25">
        <f t="shared" si="169"/>
        <v>-2.6043891604511931</v>
      </c>
      <c r="BU62" s="25">
        <f t="shared" si="169"/>
        <v>-4.4397313874655158</v>
      </c>
      <c r="BV62" s="25">
        <f t="shared" si="169"/>
        <v>-5.7419259676911132</v>
      </c>
      <c r="BW62" s="25">
        <f t="shared" si="169"/>
        <v>-6.7877715701044181</v>
      </c>
      <c r="BX62" s="25">
        <f t="shared" si="169"/>
        <v>-3.9270334318409352</v>
      </c>
      <c r="BY62" s="25">
        <f t="shared" si="169"/>
        <v>-1.5789932492020318</v>
      </c>
      <c r="BZ62" s="26"/>
      <c r="CA62" s="84">
        <f>-SUMIFS('Monthly P&amp;L'!$E:$E,'Monthly P&amp;L'!$A:$A,$C62)/1000</f>
        <v>-4.8411200000000001</v>
      </c>
      <c r="CB62" s="25">
        <f t="shared" si="149"/>
        <v>-1.52295</v>
      </c>
      <c r="CC62" s="25">
        <f t="shared" si="150"/>
        <v>-1.1911100000000001</v>
      </c>
      <c r="CD62" s="25">
        <f t="shared" ref="CD62:CF62" si="170">SUMIFS($D62:$BZ62,$D$3:$BZ$3,CD$2)</f>
        <v>-22.943556722798156</v>
      </c>
      <c r="CE62" s="25">
        <f t="shared" si="170"/>
        <v>-31.212924759059202</v>
      </c>
      <c r="CF62" s="25">
        <f t="shared" si="170"/>
        <v>-44.397313874655154</v>
      </c>
      <c r="CH62" s="120">
        <f t="shared" ref="CH62:CJ62" si="171">$CL62</f>
        <v>-1.1685537808082775E-2</v>
      </c>
      <c r="CI62" s="120">
        <f t="shared" si="171"/>
        <v>-1.1685537808082775E-2</v>
      </c>
      <c r="CJ62" s="120">
        <f t="shared" si="171"/>
        <v>-1.1685537808082775E-2</v>
      </c>
      <c r="CL62" s="69">
        <f>$CO62</f>
        <v>-1.1685537808082775E-2</v>
      </c>
      <c r="CN62" s="84">
        <f>-SUMIFS('FY25 By Venue Financials'!$J:$J,'FY25 By Venue Financials'!$A:$A,$C62)</f>
        <v>-423.61588999999992</v>
      </c>
      <c r="CO62" s="69">
        <f t="shared" si="166"/>
        <v>-1.1685537808082775E-2</v>
      </c>
      <c r="CQ62" s="71" t="s">
        <v>138</v>
      </c>
      <c r="CR62" s="71" t="s">
        <v>141</v>
      </c>
      <c r="CU62" s="25">
        <f t="shared" ref="CU62:CX62" si="172">SUMIFS($D62:$BZ62,$D$1:$BZ$1,CU$9)</f>
        <v>-15.428704886042816</v>
      </c>
      <c r="CV62" s="25">
        <f t="shared" si="172"/>
        <v>-28.603648082708876</v>
      </c>
      <c r="CW62" s="25">
        <f t="shared" si="172"/>
        <v>-40.517312622950961</v>
      </c>
      <c r="CX62" s="25">
        <f t="shared" si="172"/>
        <v>-44.397313874655154</v>
      </c>
    </row>
    <row r="63" spans="3:102" ht="15.75" customHeight="1">
      <c r="C63" s="8" t="s">
        <v>142</v>
      </c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>
        <f>-SUMIFS('Monthly P&amp;L'!H:H,'Monthly P&amp;L'!$A:$A,$C63)/1000</f>
        <v>0</v>
      </c>
      <c r="Q63" s="84">
        <f>-SUMIFS('Monthly P&amp;L'!I:I,'Monthly P&amp;L'!$A:$A,$C63)/1000</f>
        <v>0</v>
      </c>
      <c r="R63" s="84">
        <f>-SUMIFS('Monthly P&amp;L'!J:J,'Monthly P&amp;L'!$A:$A,$C63)/1000</f>
        <v>0</v>
      </c>
      <c r="S63" s="84">
        <f>-SUMIFS('Monthly P&amp;L'!K:K,'Monthly P&amp;L'!$A:$A,$C63)/1000</f>
        <v>0</v>
      </c>
      <c r="T63" s="84">
        <f>-SUMIFS('Monthly P&amp;L'!L:L,'Monthly P&amp;L'!$A:$A,$C63)/1000</f>
        <v>0</v>
      </c>
      <c r="U63" s="84">
        <f>-SUMIFS('Monthly P&amp;L'!M:M,'Monthly P&amp;L'!$A:$A,$C63)/1000</f>
        <v>0</v>
      </c>
      <c r="V63" s="84">
        <f>-SUMIFS('Monthly P&amp;L'!N:N,'Monthly P&amp;L'!$A:$A,$C63)/1000</f>
        <v>0</v>
      </c>
      <c r="W63" s="84">
        <f>-SUMIFS('Monthly P&amp;L'!O:O,'Monthly P&amp;L'!$A:$A,$C63)/1000</f>
        <v>0</v>
      </c>
      <c r="X63" s="84">
        <f>-SUMIFS('Monthly P&amp;L'!P:P,'Monthly P&amp;L'!$A:$A,$C63)/1000</f>
        <v>0</v>
      </c>
      <c r="Y63" s="84">
        <f>-SUMIFS('Monthly P&amp;L'!Q:Q,'Monthly P&amp;L'!$A:$A,$C63)/1000</f>
        <v>0</v>
      </c>
      <c r="Z63" s="84">
        <f>-SUMIFS('Monthly P&amp;L'!R:R,'Monthly P&amp;L'!$A:$A,$C63)/1000</f>
        <v>0</v>
      </c>
      <c r="AA63" s="84">
        <f>-SUMIFS('Monthly P&amp;L'!S:S,'Monthly P&amp;L'!$A:$A,$C63)/1000</f>
        <v>0</v>
      </c>
      <c r="AB63" s="84">
        <f>-SUMIFS('Monthly P&amp;L'!T:T,'Monthly P&amp;L'!$A:$A,$C63)/1000</f>
        <v>0</v>
      </c>
      <c r="AC63" s="84">
        <f>-SUMIFS('Monthly P&amp;L'!U:U,'Monthly P&amp;L'!$A:$A,$C63)/1000</f>
        <v>0</v>
      </c>
      <c r="AD63" s="84">
        <f>-SUMIFS('Monthly P&amp;L'!V:V,'Monthly P&amp;L'!$A:$A,$C63)/1000</f>
        <v>0</v>
      </c>
      <c r="AE63" s="84">
        <f>-SUMIFS('Monthly P&amp;L'!W:W,'Monthly P&amp;L'!$A:$A,$C63)/1000</f>
        <v>0</v>
      </c>
      <c r="AF63" s="84">
        <f>-SUMIFS('Monthly P&amp;L'!X:X,'Monthly P&amp;L'!$A:$A,$C63)/1000</f>
        <v>0</v>
      </c>
      <c r="AG63" s="26"/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96">
        <v>0</v>
      </c>
      <c r="BR63" s="25"/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6"/>
      <c r="CA63" s="25">
        <v>0</v>
      </c>
      <c r="CB63" s="25">
        <v>0</v>
      </c>
      <c r="CC63" s="25">
        <v>0</v>
      </c>
      <c r="CD63" s="25">
        <v>0</v>
      </c>
      <c r="CE63" s="25">
        <v>0</v>
      </c>
      <c r="CF63" s="25">
        <v>0</v>
      </c>
      <c r="CH63" s="120">
        <f t="shared" ref="CH63:CJ63" si="173">$CO63</f>
        <v>-1.9558303524406847E-3</v>
      </c>
      <c r="CI63" s="120">
        <f t="shared" si="173"/>
        <v>-1.9558303524406847E-3</v>
      </c>
      <c r="CJ63" s="120">
        <f t="shared" si="173"/>
        <v>-1.9558303524406847E-3</v>
      </c>
      <c r="CL63" s="69">
        <f>IFERROR(CC63/CC43,0)</f>
        <v>0</v>
      </c>
      <c r="CN63" s="84">
        <f>-SUMIFS('FY25 By Venue Financials'!$J:$J,'FY25 By Venue Financials'!$A:$A,$C63)</f>
        <v>-0.28596000000000005</v>
      </c>
      <c r="CO63" s="69">
        <f>IFERROR(CN63/CN48,0)</f>
        <v>-1.9558303524406847E-3</v>
      </c>
      <c r="CQ63" s="71" t="s">
        <v>143</v>
      </c>
      <c r="CR63" s="119" t="s">
        <v>121</v>
      </c>
      <c r="CU63" s="25">
        <f t="shared" ref="CU63:CX63" si="174">SUMIFS($D63:$BZ63,$D$1:$BZ$1,CU$9)</f>
        <v>0</v>
      </c>
      <c r="CV63" s="25">
        <f t="shared" si="174"/>
        <v>0</v>
      </c>
      <c r="CW63" s="25">
        <f t="shared" si="174"/>
        <v>0</v>
      </c>
      <c r="CX63" s="25">
        <f t="shared" si="174"/>
        <v>0</v>
      </c>
    </row>
    <row r="64" spans="3:102" ht="4.5" customHeight="1">
      <c r="C64" s="8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26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5"/>
      <c r="BR64" s="84"/>
      <c r="BS64" s="84"/>
      <c r="BT64" s="84"/>
      <c r="BU64" s="84"/>
      <c r="BV64" s="84"/>
      <c r="BW64" s="84"/>
      <c r="BX64" s="84"/>
      <c r="BY64" s="84"/>
      <c r="BZ64" s="26"/>
      <c r="CA64" s="84"/>
      <c r="CB64" s="25"/>
      <c r="CC64" s="25"/>
      <c r="CD64" s="25"/>
      <c r="CE64" s="25"/>
      <c r="CF64" s="25"/>
      <c r="CH64" s="69"/>
      <c r="CI64" s="69"/>
      <c r="CJ64" s="69"/>
      <c r="CL64" s="69"/>
      <c r="CN64" s="25"/>
      <c r="CO64" s="69"/>
      <c r="CQ64" s="71"/>
      <c r="CR64" s="71"/>
      <c r="CU64" s="25"/>
      <c r="CV64" s="25"/>
      <c r="CW64" s="25"/>
      <c r="CX64" s="25"/>
    </row>
    <row r="65" spans="3:102" ht="15.75" customHeight="1">
      <c r="C65" s="127" t="s">
        <v>10</v>
      </c>
      <c r="D65" s="128">
        <f t="shared" ref="D65:AF65" si="175">SUM(D58:D64)</f>
        <v>0</v>
      </c>
      <c r="E65" s="128">
        <f t="shared" si="175"/>
        <v>0</v>
      </c>
      <c r="F65" s="128">
        <f t="shared" si="175"/>
        <v>0</v>
      </c>
      <c r="G65" s="128">
        <f t="shared" si="175"/>
        <v>0</v>
      </c>
      <c r="H65" s="128">
        <f t="shared" si="175"/>
        <v>0</v>
      </c>
      <c r="I65" s="128">
        <f t="shared" si="175"/>
        <v>0</v>
      </c>
      <c r="J65" s="128">
        <f t="shared" si="175"/>
        <v>0</v>
      </c>
      <c r="K65" s="128">
        <f t="shared" si="175"/>
        <v>0</v>
      </c>
      <c r="L65" s="128">
        <f t="shared" si="175"/>
        <v>0</v>
      </c>
      <c r="M65" s="128">
        <f t="shared" si="175"/>
        <v>0</v>
      </c>
      <c r="N65" s="128">
        <f t="shared" si="175"/>
        <v>0</v>
      </c>
      <c r="O65" s="128">
        <f t="shared" si="175"/>
        <v>0</v>
      </c>
      <c r="P65" s="128">
        <f t="shared" si="175"/>
        <v>-10.39335</v>
      </c>
      <c r="Q65" s="128">
        <f t="shared" si="175"/>
        <v>-24.61683</v>
      </c>
      <c r="R65" s="128">
        <f t="shared" si="175"/>
        <v>-3.9901</v>
      </c>
      <c r="S65" s="128">
        <f t="shared" si="175"/>
        <v>-4.4424100000000006</v>
      </c>
      <c r="T65" s="128">
        <f t="shared" si="175"/>
        <v>-33.530180000000001</v>
      </c>
      <c r="U65" s="128">
        <f t="shared" si="175"/>
        <v>-45.049379999999992</v>
      </c>
      <c r="V65" s="128">
        <f t="shared" si="175"/>
        <v>-8.9773899999999998</v>
      </c>
      <c r="W65" s="128">
        <f t="shared" si="175"/>
        <v>-11.289529999999999</v>
      </c>
      <c r="X65" s="128">
        <f t="shared" si="175"/>
        <v>-37.846240000000009</v>
      </c>
      <c r="Y65" s="128">
        <f t="shared" si="175"/>
        <v>-51.425110000000004</v>
      </c>
      <c r="Z65" s="128">
        <f t="shared" si="175"/>
        <v>-43.233919999999991</v>
      </c>
      <c r="AA65" s="128">
        <f t="shared" si="175"/>
        <v>-2.5949400000000002</v>
      </c>
      <c r="AB65" s="128">
        <f t="shared" si="175"/>
        <v>-0.88854999999999995</v>
      </c>
      <c r="AC65" s="128">
        <f t="shared" si="175"/>
        <v>-1.4697100000000001</v>
      </c>
      <c r="AD65" s="128">
        <f t="shared" si="175"/>
        <v>-6.0955599999999999</v>
      </c>
      <c r="AE65" s="128">
        <f t="shared" si="175"/>
        <v>-17.448340000000002</v>
      </c>
      <c r="AF65" s="128">
        <f t="shared" si="175"/>
        <v>-14.061189999999998</v>
      </c>
      <c r="AG65" s="129"/>
      <c r="AH65" s="128">
        <f t="shared" ref="AH65:BQ65" si="176">SUM(AH58:AH64)</f>
        <v>-62.700099212844279</v>
      </c>
      <c r="AI65" s="128">
        <f t="shared" si="176"/>
        <v>-34.045271636139915</v>
      </c>
      <c r="AJ65" s="128">
        <f t="shared" si="176"/>
        <v>-104.03390241557139</v>
      </c>
      <c r="AK65" s="128">
        <f t="shared" si="176"/>
        <v>-88.319640728333937</v>
      </c>
      <c r="AL65" s="128">
        <f t="shared" si="176"/>
        <v>-91.487219231997102</v>
      </c>
      <c r="AM65" s="128">
        <f t="shared" si="176"/>
        <v>-52.595818281610811</v>
      </c>
      <c r="AN65" s="128">
        <f t="shared" si="176"/>
        <v>-13.774933135423112</v>
      </c>
      <c r="AO65" s="128">
        <f t="shared" si="176"/>
        <v>0</v>
      </c>
      <c r="AP65" s="128">
        <f t="shared" si="176"/>
        <v>0</v>
      </c>
      <c r="AQ65" s="128">
        <f t="shared" si="176"/>
        <v>-16.201003293077232</v>
      </c>
      <c r="AR65" s="128">
        <f t="shared" si="176"/>
        <v>-55.679442011362156</v>
      </c>
      <c r="AS65" s="128">
        <f t="shared" si="176"/>
        <v>-127.81141712057905</v>
      </c>
      <c r="AT65" s="128">
        <f t="shared" si="176"/>
        <v>-131.5341940507993</v>
      </c>
      <c r="AU65" s="128">
        <f t="shared" si="176"/>
        <v>-60.235412754261169</v>
      </c>
      <c r="AV65" s="128">
        <f t="shared" si="176"/>
        <v>-97.748678780412021</v>
      </c>
      <c r="AW65" s="128">
        <f t="shared" si="176"/>
        <v>-136.99726318099312</v>
      </c>
      <c r="AX65" s="128">
        <f t="shared" si="176"/>
        <v>-165.50150226693279</v>
      </c>
      <c r="AY65" s="128">
        <f t="shared" si="176"/>
        <v>-85.527672709219971</v>
      </c>
      <c r="AZ65" s="128">
        <f t="shared" si="176"/>
        <v>-35.793400611877104</v>
      </c>
      <c r="BA65" s="128">
        <f t="shared" si="176"/>
        <v>0</v>
      </c>
      <c r="BB65" s="128">
        <f t="shared" si="176"/>
        <v>0</v>
      </c>
      <c r="BC65" s="128">
        <f t="shared" si="176"/>
        <v>-49.610222241700711</v>
      </c>
      <c r="BD65" s="128">
        <f t="shared" si="176"/>
        <v>-117.8293902468302</v>
      </c>
      <c r="BE65" s="128">
        <f t="shared" si="176"/>
        <v>-148.83066672510211</v>
      </c>
      <c r="BF65" s="128">
        <f t="shared" si="176"/>
        <v>-177.97503725072019</v>
      </c>
      <c r="BG65" s="128">
        <f t="shared" si="176"/>
        <v>-93.668919638151237</v>
      </c>
      <c r="BH65" s="128">
        <f t="shared" si="176"/>
        <v>-159.24943319955563</v>
      </c>
      <c r="BI65" s="128">
        <f t="shared" si="176"/>
        <v>-206.08389301863124</v>
      </c>
      <c r="BJ65" s="128">
        <f t="shared" si="176"/>
        <v>-243.55555081212458</v>
      </c>
      <c r="BK65" s="128">
        <f t="shared" si="176"/>
        <v>-140.52382914839103</v>
      </c>
      <c r="BL65" s="128">
        <f t="shared" si="176"/>
        <v>-56.217711535822062</v>
      </c>
      <c r="BM65" s="128">
        <f t="shared" si="176"/>
        <v>0</v>
      </c>
      <c r="BN65" s="128">
        <f t="shared" si="176"/>
        <v>0</v>
      </c>
      <c r="BO65" s="128">
        <f t="shared" si="176"/>
        <v>-84.30611761256894</v>
      </c>
      <c r="BP65" s="128">
        <f t="shared" si="176"/>
        <v>-187.35828896746662</v>
      </c>
      <c r="BQ65" s="130">
        <f t="shared" si="176"/>
        <v>-243.55555081212458</v>
      </c>
      <c r="BR65" s="128"/>
      <c r="BS65" s="128">
        <f t="shared" ref="BS65:BY65" si="177">SUM(BS58:BS64)</f>
        <v>-177.97503725072019</v>
      </c>
      <c r="BT65" s="128">
        <f t="shared" si="177"/>
        <v>-93.668919638151237</v>
      </c>
      <c r="BU65" s="128">
        <f t="shared" si="177"/>
        <v>-159.24943319955563</v>
      </c>
      <c r="BV65" s="128">
        <f t="shared" si="177"/>
        <v>-206.08389301863124</v>
      </c>
      <c r="BW65" s="128">
        <f t="shared" si="177"/>
        <v>-243.55555081212458</v>
      </c>
      <c r="BX65" s="128">
        <f t="shared" si="177"/>
        <v>-140.52382914839103</v>
      </c>
      <c r="BY65" s="128">
        <f t="shared" si="177"/>
        <v>-56.217711535822062</v>
      </c>
      <c r="BZ65" s="129"/>
      <c r="CA65" s="128">
        <f t="shared" ref="CA65:CF65" si="178">SUM(CA58:CA64)</f>
        <v>-172.25210999999999</v>
      </c>
      <c r="CB65" s="128">
        <f t="shared" si="178"/>
        <v>-277.38937999999996</v>
      </c>
      <c r="CC65" s="128">
        <f t="shared" si="178"/>
        <v>-259.84885000000003</v>
      </c>
      <c r="CD65" s="128">
        <f t="shared" si="178"/>
        <v>-646.64874706693899</v>
      </c>
      <c r="CE65" s="128">
        <f t="shared" si="178"/>
        <v>-1029.6084035681286</v>
      </c>
      <c r="CF65" s="128">
        <f t="shared" si="178"/>
        <v>-1592.494331995556</v>
      </c>
      <c r="CH65" s="131">
        <f t="shared" ref="CH65:CJ65" si="179">IFERROR(CD65/CD$55,0)</f>
        <v>-0.3293490400680345</v>
      </c>
      <c r="CI65" s="131">
        <f t="shared" si="179"/>
        <v>-0.38546621376528001</v>
      </c>
      <c r="CJ65" s="131">
        <f t="shared" si="179"/>
        <v>-0.41915041928504809</v>
      </c>
      <c r="CL65" s="131">
        <f>IFERROR(CC65/CC$55,0)</f>
        <v>-0.19586403723931145</v>
      </c>
      <c r="CN65" s="128">
        <f>SUM(CN58:CN64)</f>
        <v>-3944.5923100000005</v>
      </c>
      <c r="CO65" s="131">
        <f>IFERROR(CN65/CN$55,0)</f>
        <v>-0.10881244935353485</v>
      </c>
      <c r="CQ65" s="71" t="s">
        <v>138</v>
      </c>
      <c r="CR65" s="71"/>
      <c r="CU65" s="128">
        <f t="shared" ref="CU65:CX65" si="180">SUM(CU58:CU64)</f>
        <v>-486.92023464192056</v>
      </c>
      <c r="CV65" s="128">
        <f t="shared" si="180"/>
        <v>-913.02998677951393</v>
      </c>
      <c r="CW65" s="128">
        <f t="shared" si="180"/>
        <v>-1393.544653817029</v>
      </c>
      <c r="CX65" s="128">
        <f t="shared" si="180"/>
        <v>-1592.4943319955562</v>
      </c>
    </row>
    <row r="66" spans="3:102" ht="15.75" customHeight="1"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114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96"/>
      <c r="BR66" s="25"/>
      <c r="BS66" s="25"/>
      <c r="BT66" s="25"/>
      <c r="BU66" s="25"/>
      <c r="BV66" s="25"/>
      <c r="BW66" s="25"/>
      <c r="BX66" s="25"/>
      <c r="BY66" s="25"/>
      <c r="BZ66" s="114"/>
      <c r="CA66" s="25"/>
      <c r="CB66" s="25"/>
      <c r="CC66" s="25"/>
      <c r="CD66" s="25"/>
      <c r="CE66" s="25"/>
      <c r="CF66" s="25"/>
      <c r="CH66" s="69"/>
      <c r="CI66" s="69"/>
      <c r="CJ66" s="69"/>
      <c r="CL66" s="69"/>
      <c r="CN66" s="25"/>
      <c r="CO66" s="69"/>
      <c r="CQ66" s="71"/>
      <c r="CR66" s="71"/>
      <c r="CU66" s="25"/>
      <c r="CV66" s="25"/>
      <c r="CW66" s="25"/>
      <c r="CX66" s="25"/>
    </row>
    <row r="67" spans="3:102" ht="15.75" customHeight="1">
      <c r="C67" s="121" t="s">
        <v>144</v>
      </c>
      <c r="D67" s="122">
        <f t="shared" ref="D67:AF67" si="181">D55+D65</f>
        <v>0</v>
      </c>
      <c r="E67" s="122">
        <f t="shared" si="181"/>
        <v>0</v>
      </c>
      <c r="F67" s="122">
        <f t="shared" si="181"/>
        <v>43.726927777777782</v>
      </c>
      <c r="G67" s="122">
        <f t="shared" si="181"/>
        <v>175.65771111111113</v>
      </c>
      <c r="H67" s="122">
        <f t="shared" si="181"/>
        <v>144.77155444444446</v>
      </c>
      <c r="I67" s="122">
        <f t="shared" si="181"/>
        <v>145.22616888888891</v>
      </c>
      <c r="J67" s="122">
        <f t="shared" si="181"/>
        <v>63.067698888888891</v>
      </c>
      <c r="K67" s="122">
        <f t="shared" si="181"/>
        <v>142.47616888888891</v>
      </c>
      <c r="L67" s="122">
        <f t="shared" si="181"/>
        <v>195.8484822222222</v>
      </c>
      <c r="M67" s="122">
        <f t="shared" si="181"/>
        <v>197.49848222222221</v>
      </c>
      <c r="N67" s="122">
        <f t="shared" si="181"/>
        <v>166.11232555555554</v>
      </c>
      <c r="O67" s="122">
        <f t="shared" si="181"/>
        <v>83.658469999999994</v>
      </c>
      <c r="P67" s="122">
        <f t="shared" si="181"/>
        <v>-0.25648999999999944</v>
      </c>
      <c r="Q67" s="122">
        <f t="shared" si="181"/>
        <v>0</v>
      </c>
      <c r="R67" s="122">
        <f t="shared" si="181"/>
        <v>65.433976240601496</v>
      </c>
      <c r="S67" s="122">
        <f t="shared" si="181"/>
        <v>124.48244045112781</v>
      </c>
      <c r="T67" s="122">
        <f t="shared" si="181"/>
        <v>189.25748872180449</v>
      </c>
      <c r="U67" s="122">
        <f t="shared" si="181"/>
        <v>140.138762481203</v>
      </c>
      <c r="V67" s="122">
        <f t="shared" si="181"/>
        <v>77.879308270676688</v>
      </c>
      <c r="W67" s="122">
        <f t="shared" si="181"/>
        <v>95.107744360902245</v>
      </c>
      <c r="X67" s="122">
        <f t="shared" si="181"/>
        <v>126.99199248120301</v>
      </c>
      <c r="Y67" s="122">
        <f t="shared" si="181"/>
        <v>177.78260263157892</v>
      </c>
      <c r="Z67" s="122">
        <f t="shared" si="181"/>
        <v>60.795976240601497</v>
      </c>
      <c r="AA67" s="122">
        <f t="shared" si="181"/>
        <v>27.78524812030075</v>
      </c>
      <c r="AB67" s="122">
        <f t="shared" si="181"/>
        <v>0</v>
      </c>
      <c r="AC67" s="122">
        <f t="shared" si="181"/>
        <v>-0.22270999999999996</v>
      </c>
      <c r="AD67" s="122">
        <f t="shared" si="181"/>
        <v>43.432296240601509</v>
      </c>
      <c r="AE67" s="122">
        <f t="shared" si="181"/>
        <v>127.88218045112782</v>
      </c>
      <c r="AF67" s="122">
        <f t="shared" si="181"/>
        <v>189.1214887218045</v>
      </c>
      <c r="AG67" s="123"/>
      <c r="AH67" s="122">
        <f t="shared" ref="AH67:BQ67" si="182">AH55+AH65</f>
        <v>107.9624768761728</v>
      </c>
      <c r="AI67" s="122">
        <f t="shared" si="182"/>
        <v>81.019375104707635</v>
      </c>
      <c r="AJ67" s="122">
        <f t="shared" si="182"/>
        <v>134.75556769569997</v>
      </c>
      <c r="AK67" s="122">
        <f t="shared" si="182"/>
        <v>168.48068807927649</v>
      </c>
      <c r="AL67" s="122">
        <f t="shared" si="182"/>
        <v>207.22293294603705</v>
      </c>
      <c r="AM67" s="122">
        <f t="shared" si="182"/>
        <v>102.29675780740629</v>
      </c>
      <c r="AN67" s="122">
        <f t="shared" si="182"/>
        <v>40.744890235000668</v>
      </c>
      <c r="AO67" s="122">
        <f t="shared" si="182"/>
        <v>0</v>
      </c>
      <c r="AP67" s="122">
        <f t="shared" si="182"/>
        <v>0</v>
      </c>
      <c r="AQ67" s="122">
        <f t="shared" si="182"/>
        <v>51.882784751431302</v>
      </c>
      <c r="AR67" s="122">
        <f t="shared" si="182"/>
        <v>173.49985147033294</v>
      </c>
      <c r="AS67" s="122">
        <f t="shared" si="182"/>
        <v>248.90062907970935</v>
      </c>
      <c r="AT67" s="122">
        <f t="shared" si="182"/>
        <v>176.12899056595214</v>
      </c>
      <c r="AU67" s="122">
        <f t="shared" si="182"/>
        <v>95.691356477267391</v>
      </c>
      <c r="AV67" s="122">
        <f t="shared" si="182"/>
        <v>154.4741519900337</v>
      </c>
      <c r="AW67" s="122">
        <f t="shared" si="182"/>
        <v>204.38895220521687</v>
      </c>
      <c r="AX67" s="122">
        <f t="shared" si="182"/>
        <v>234.95274388873577</v>
      </c>
      <c r="AY67" s="122">
        <f t="shared" si="182"/>
        <v>136.02980421491998</v>
      </c>
      <c r="AZ67" s="122">
        <f t="shared" si="182"/>
        <v>58.802660927040037</v>
      </c>
      <c r="BA67" s="122">
        <f t="shared" si="182"/>
        <v>0</v>
      </c>
      <c r="BB67" s="122">
        <f t="shared" si="182"/>
        <v>0</v>
      </c>
      <c r="BC67" s="122">
        <f t="shared" si="182"/>
        <v>91.068795014504474</v>
      </c>
      <c r="BD67" s="122">
        <f t="shared" si="182"/>
        <v>216.72077573665712</v>
      </c>
      <c r="BE67" s="122">
        <f t="shared" si="182"/>
        <v>273.20638504351342</v>
      </c>
      <c r="BF67" s="122">
        <f t="shared" si="182"/>
        <v>245.83338512796982</v>
      </c>
      <c r="BG67" s="122">
        <f t="shared" si="182"/>
        <v>129.20393424536979</v>
      </c>
      <c r="BH67" s="122">
        <f t="shared" si="182"/>
        <v>220.68441840243023</v>
      </c>
      <c r="BI67" s="122">
        <f t="shared" si="182"/>
        <v>285.28638552511518</v>
      </c>
      <c r="BJ67" s="122">
        <f t="shared" si="182"/>
        <v>337.31386928503014</v>
      </c>
      <c r="BK67" s="122">
        <f t="shared" si="182"/>
        <v>195.5354516768906</v>
      </c>
      <c r="BL67" s="122">
        <f t="shared" si="182"/>
        <v>78.906000794290563</v>
      </c>
      <c r="BM67" s="122">
        <f t="shared" si="182"/>
        <v>0</v>
      </c>
      <c r="BN67" s="122">
        <f t="shared" si="182"/>
        <v>0</v>
      </c>
      <c r="BO67" s="122">
        <f t="shared" si="182"/>
        <v>116.62945088260004</v>
      </c>
      <c r="BP67" s="122">
        <f t="shared" si="182"/>
        <v>260.13741879957547</v>
      </c>
      <c r="BQ67" s="124">
        <f t="shared" si="182"/>
        <v>337.31386928503014</v>
      </c>
      <c r="BR67" s="122"/>
      <c r="BS67" s="122">
        <f t="shared" ref="BS67:BY67" si="183">BS55+BS65</f>
        <v>245.83338512796982</v>
      </c>
      <c r="BT67" s="122">
        <f t="shared" si="183"/>
        <v>129.20393424536979</v>
      </c>
      <c r="BU67" s="122">
        <f t="shared" si="183"/>
        <v>220.68441840243023</v>
      </c>
      <c r="BV67" s="122">
        <f t="shared" si="183"/>
        <v>285.28638552511518</v>
      </c>
      <c r="BW67" s="122">
        <f t="shared" si="183"/>
        <v>337.31386928503014</v>
      </c>
      <c r="BX67" s="122">
        <f t="shared" si="183"/>
        <v>195.5354516768906</v>
      </c>
      <c r="BY67" s="122">
        <f t="shared" si="183"/>
        <v>78.906000794290563</v>
      </c>
      <c r="BZ67" s="123"/>
      <c r="CA67" s="122">
        <f t="shared" ref="CA67:CF67" si="184">CA55+CA65</f>
        <v>1185.79188</v>
      </c>
      <c r="CB67" s="122">
        <f t="shared" si="184"/>
        <v>1085.39905</v>
      </c>
      <c r="CC67" s="122">
        <f t="shared" si="184"/>
        <v>1066.83089</v>
      </c>
      <c r="CD67" s="122">
        <f t="shared" si="184"/>
        <v>1316.7659540457744</v>
      </c>
      <c r="CE67" s="122">
        <f t="shared" si="184"/>
        <v>1641.4646160638406</v>
      </c>
      <c r="CF67" s="122">
        <f t="shared" si="184"/>
        <v>2206.8441840243022</v>
      </c>
      <c r="CG67" s="7"/>
      <c r="CH67" s="132">
        <f t="shared" ref="CH67:CJ67" si="185">IFERROR(CD67/CD$55,0)</f>
        <v>0.67065095993196555</v>
      </c>
      <c r="CI67" s="132">
        <f t="shared" si="185"/>
        <v>0.61453378623471999</v>
      </c>
      <c r="CJ67" s="132">
        <f t="shared" si="185"/>
        <v>0.58084958071495185</v>
      </c>
      <c r="CK67" s="7"/>
      <c r="CL67" s="132">
        <f>IFERROR(CC67/CC$55,0)</f>
        <v>0.80413596276068855</v>
      </c>
      <c r="CM67" s="7"/>
      <c r="CN67" s="122">
        <f>CN55+CN65</f>
        <v>32306.703690000002</v>
      </c>
      <c r="CO67" s="132">
        <f>IFERROR(CN67/CN$55,0)</f>
        <v>0.89118755064646515</v>
      </c>
      <c r="CQ67" s="71" t="s">
        <v>138</v>
      </c>
      <c r="CR67" s="71"/>
      <c r="CU67" s="122">
        <f t="shared" ref="CU67:CX67" si="186">CU55+CU65</f>
        <v>1202.6959441578347</v>
      </c>
      <c r="CV67" s="122">
        <f t="shared" si="186"/>
        <v>1534.7519255706397</v>
      </c>
      <c r="CW67" s="122">
        <f t="shared" si="186"/>
        <v>2073.7594008517717</v>
      </c>
      <c r="CX67" s="122">
        <f t="shared" si="186"/>
        <v>2206.8441840243013</v>
      </c>
    </row>
    <row r="68" spans="3:102" ht="15.75" customHeight="1"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114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96"/>
      <c r="BR68" s="25"/>
      <c r="BS68" s="25"/>
      <c r="BT68" s="25"/>
      <c r="BU68" s="25"/>
      <c r="BV68" s="25"/>
      <c r="BW68" s="25"/>
      <c r="BX68" s="25"/>
      <c r="BY68" s="25"/>
      <c r="BZ68" s="114"/>
      <c r="CA68" s="25"/>
      <c r="CB68" s="25"/>
      <c r="CC68" s="25"/>
      <c r="CD68" s="25"/>
      <c r="CE68" s="25"/>
      <c r="CF68" s="25"/>
      <c r="CH68" s="69"/>
      <c r="CI68" s="69"/>
      <c r="CJ68" s="69"/>
      <c r="CL68" s="69"/>
      <c r="CN68" s="25"/>
      <c r="CO68" s="69"/>
      <c r="CQ68" s="71"/>
      <c r="CR68" s="71"/>
      <c r="CU68" s="25"/>
      <c r="CV68" s="25"/>
      <c r="CW68" s="25"/>
      <c r="CX68" s="25"/>
    </row>
    <row r="69" spans="3:102" ht="15.75" customHeight="1">
      <c r="C69" s="50" t="s">
        <v>145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114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96"/>
      <c r="BR69" s="25"/>
      <c r="BS69" s="25"/>
      <c r="BT69" s="25"/>
      <c r="BU69" s="25"/>
      <c r="BV69" s="25"/>
      <c r="BW69" s="25"/>
      <c r="BX69" s="25"/>
      <c r="BY69" s="25"/>
      <c r="BZ69" s="114"/>
      <c r="CA69" s="25"/>
      <c r="CB69" s="25"/>
      <c r="CC69" s="25"/>
      <c r="CD69" s="25"/>
      <c r="CE69" s="25"/>
      <c r="CF69" s="25"/>
      <c r="CH69" s="69"/>
      <c r="CI69" s="69"/>
      <c r="CJ69" s="69"/>
      <c r="CL69" s="69"/>
      <c r="CN69" s="25"/>
      <c r="CO69" s="69"/>
      <c r="CQ69" s="71"/>
      <c r="CR69" s="71"/>
      <c r="CU69" s="25"/>
      <c r="CV69" s="25"/>
      <c r="CW69" s="25"/>
      <c r="CX69" s="25"/>
    </row>
    <row r="70" spans="3:102" ht="15.75" customHeight="1">
      <c r="C70" s="8" t="s">
        <v>146</v>
      </c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>
        <f>-SUMIFS('Monthly P&amp;L'!H:H,'Monthly P&amp;L'!$A:$A,$C70)/1000</f>
        <v>0</v>
      </c>
      <c r="Q70" s="84">
        <f>-SUMIFS('Monthly P&amp;L'!I:I,'Monthly P&amp;L'!$A:$A,$C70)/1000</f>
        <v>0</v>
      </c>
      <c r="R70" s="84">
        <f>-SUMIFS('Monthly P&amp;L'!J:J,'Monthly P&amp;L'!$A:$A,$C70)/1000</f>
        <v>0</v>
      </c>
      <c r="S70" s="84">
        <f>-SUMIFS('Monthly P&amp;L'!K:K,'Monthly P&amp;L'!$A:$A,$C70)/1000</f>
        <v>0</v>
      </c>
      <c r="T70" s="84">
        <f>-SUMIFS('Monthly P&amp;L'!L:L,'Monthly P&amp;L'!$A:$A,$C70)/1000</f>
        <v>0</v>
      </c>
      <c r="U70" s="84">
        <f>-SUMIFS('Monthly P&amp;L'!M:M,'Monthly P&amp;L'!$A:$A,$C70)/1000</f>
        <v>0</v>
      </c>
      <c r="V70" s="84">
        <f>-SUMIFS('Monthly P&amp;L'!N:N,'Monthly P&amp;L'!$A:$A,$C70)/1000</f>
        <v>0</v>
      </c>
      <c r="W70" s="84">
        <f>-SUMIFS('Monthly P&amp;L'!O:O,'Monthly P&amp;L'!$A:$A,$C70)/1000</f>
        <v>0</v>
      </c>
      <c r="X70" s="84">
        <f>-SUMIFS('Monthly P&amp;L'!P:P,'Monthly P&amp;L'!$A:$A,$C70)/1000</f>
        <v>0</v>
      </c>
      <c r="Y70" s="84">
        <f>-SUMIFS('Monthly P&amp;L'!Q:Q,'Monthly P&amp;L'!$A:$A,$C70)/1000</f>
        <v>0</v>
      </c>
      <c r="Z70" s="84">
        <f>-SUMIFS('Monthly P&amp;L'!R:R,'Monthly P&amp;L'!$A:$A,$C70)/1000</f>
        <v>0</v>
      </c>
      <c r="AA70" s="84">
        <f>-SUMIFS('Monthly P&amp;L'!S:S,'Monthly P&amp;L'!$A:$A,$C70)/1000</f>
        <v>0</v>
      </c>
      <c r="AB70" s="84">
        <f>-SUMIFS('Monthly P&amp;L'!T:T,'Monthly P&amp;L'!$A:$A,$C70)/1000</f>
        <v>0</v>
      </c>
      <c r="AC70" s="84">
        <f>-SUMIFS('Monthly P&amp;L'!U:U,'Monthly P&amp;L'!$A:$A,$C70)/1000</f>
        <v>0</v>
      </c>
      <c r="AD70" s="84">
        <f>-SUMIFS('Monthly P&amp;L'!V:V,'Monthly P&amp;L'!$A:$A,$C70)/1000</f>
        <v>0</v>
      </c>
      <c r="AE70" s="84">
        <f>-SUMIFS('Monthly P&amp;L'!W:W,'Monthly P&amp;L'!$A:$A,$C70)/1000</f>
        <v>0</v>
      </c>
      <c r="AF70" s="117">
        <f>-SUMIFS('Monthly P&amp;L'!X:X,'Monthly P&amp;L'!$A:$A,$C70)/1000*2</f>
        <v>0</v>
      </c>
      <c r="AG70" s="26"/>
      <c r="AH70" s="25">
        <f t="shared" ref="AH70:BQ70" si="187">SUMIFS($CD70:$CF70,$CD$2:$CF$2,AH$3)/12</f>
        <v>-12.913666666666666</v>
      </c>
      <c r="AI70" s="25">
        <f t="shared" si="187"/>
        <v>-12.913666666666666</v>
      </c>
      <c r="AJ70" s="25">
        <f t="shared" si="187"/>
        <v>-12.913666666666666</v>
      </c>
      <c r="AK70" s="25">
        <f t="shared" si="187"/>
        <v>-12.913666666666666</v>
      </c>
      <c r="AL70" s="25">
        <f t="shared" si="187"/>
        <v>-12.913666666666666</v>
      </c>
      <c r="AM70" s="25">
        <f t="shared" si="187"/>
        <v>-12.913666666666666</v>
      </c>
      <c r="AN70" s="25">
        <f t="shared" si="187"/>
        <v>-12.913666666666666</v>
      </c>
      <c r="AO70" s="25">
        <f t="shared" si="187"/>
        <v>-12.913666666666666</v>
      </c>
      <c r="AP70" s="25">
        <f t="shared" si="187"/>
        <v>-12.913666666666666</v>
      </c>
      <c r="AQ70" s="25">
        <f t="shared" si="187"/>
        <v>-12.913666666666666</v>
      </c>
      <c r="AR70" s="25">
        <f t="shared" si="187"/>
        <v>-12.913666666666666</v>
      </c>
      <c r="AS70" s="25">
        <f t="shared" si="187"/>
        <v>-12.913666666666666</v>
      </c>
      <c r="AT70" s="25">
        <f t="shared" si="187"/>
        <v>-14.205033333333335</v>
      </c>
      <c r="AU70" s="25">
        <f t="shared" si="187"/>
        <v>-14.205033333333335</v>
      </c>
      <c r="AV70" s="25">
        <f t="shared" si="187"/>
        <v>-14.205033333333335</v>
      </c>
      <c r="AW70" s="25">
        <f t="shared" si="187"/>
        <v>-14.205033333333335</v>
      </c>
      <c r="AX70" s="25">
        <f t="shared" si="187"/>
        <v>-14.205033333333335</v>
      </c>
      <c r="AY70" s="25">
        <f t="shared" si="187"/>
        <v>-14.205033333333335</v>
      </c>
      <c r="AZ70" s="25">
        <f t="shared" si="187"/>
        <v>-14.205033333333335</v>
      </c>
      <c r="BA70" s="25">
        <f t="shared" si="187"/>
        <v>-14.205033333333335</v>
      </c>
      <c r="BB70" s="25">
        <f t="shared" si="187"/>
        <v>-14.205033333333335</v>
      </c>
      <c r="BC70" s="25">
        <f t="shared" si="187"/>
        <v>-14.205033333333335</v>
      </c>
      <c r="BD70" s="25">
        <f t="shared" si="187"/>
        <v>-14.205033333333335</v>
      </c>
      <c r="BE70" s="25">
        <f t="shared" si="187"/>
        <v>-14.205033333333335</v>
      </c>
      <c r="BF70" s="25">
        <f t="shared" si="187"/>
        <v>-15.625536666666669</v>
      </c>
      <c r="BG70" s="25">
        <f t="shared" si="187"/>
        <v>-15.625536666666669</v>
      </c>
      <c r="BH70" s="25">
        <f t="shared" si="187"/>
        <v>-15.625536666666669</v>
      </c>
      <c r="BI70" s="25">
        <f t="shared" si="187"/>
        <v>-15.625536666666669</v>
      </c>
      <c r="BJ70" s="25">
        <f t="shared" si="187"/>
        <v>-15.625536666666669</v>
      </c>
      <c r="BK70" s="25">
        <f t="shared" si="187"/>
        <v>-15.625536666666669</v>
      </c>
      <c r="BL70" s="25">
        <f t="shared" si="187"/>
        <v>-15.625536666666669</v>
      </c>
      <c r="BM70" s="25">
        <f t="shared" si="187"/>
        <v>-15.625536666666669</v>
      </c>
      <c r="BN70" s="25">
        <f t="shared" si="187"/>
        <v>-15.625536666666669</v>
      </c>
      <c r="BO70" s="25">
        <f t="shared" si="187"/>
        <v>-15.625536666666669</v>
      </c>
      <c r="BP70" s="25">
        <f t="shared" si="187"/>
        <v>-15.625536666666669</v>
      </c>
      <c r="BQ70" s="96">
        <f t="shared" si="187"/>
        <v>-15.625536666666669</v>
      </c>
      <c r="BR70" s="25"/>
      <c r="BS70" s="25">
        <f t="shared" ref="BS70:BY70" si="188">BF70</f>
        <v>-15.625536666666669</v>
      </c>
      <c r="BT70" s="25">
        <f t="shared" si="188"/>
        <v>-15.625536666666669</v>
      </c>
      <c r="BU70" s="25">
        <f t="shared" si="188"/>
        <v>-15.625536666666669</v>
      </c>
      <c r="BV70" s="25">
        <f t="shared" si="188"/>
        <v>-15.625536666666669</v>
      </c>
      <c r="BW70" s="25">
        <f t="shared" si="188"/>
        <v>-15.625536666666669</v>
      </c>
      <c r="BX70" s="25">
        <f t="shared" si="188"/>
        <v>-15.625536666666669</v>
      </c>
      <c r="BY70" s="25">
        <f t="shared" si="188"/>
        <v>-15.625536666666669</v>
      </c>
      <c r="BZ70" s="26"/>
      <c r="CA70" s="84">
        <f>-SUMIFS('Monthly P&amp;L'!$E:$E,'Monthly P&amp;L'!$A:$A,$C70)/1000</f>
        <v>0</v>
      </c>
      <c r="CB70" s="25">
        <f t="shared" ref="CB70:CB78" si="189">SUMIFS($D70:$AF70,$D$1:$AF$1,CB$2)</f>
        <v>0</v>
      </c>
      <c r="CC70" s="25">
        <f t="shared" ref="CC70:CC78" si="190">SUMIFS($P70:$AF70,$P$3:$AF$3,$CC$2)</f>
        <v>0</v>
      </c>
      <c r="CD70" s="84">
        <f>-SUMIFS('Go-Forward Payroll'!$G$3:$G$10,'Go-Forward Payroll'!$I$3:$I$10,$C70)/1000</f>
        <v>-154.964</v>
      </c>
      <c r="CE70" s="25">
        <f t="shared" ref="CE70:CF70" si="191">CD70*(1+CI70)</f>
        <v>-170.46040000000002</v>
      </c>
      <c r="CF70" s="25">
        <f t="shared" si="191"/>
        <v>-187.50644000000003</v>
      </c>
      <c r="CH70" s="126"/>
      <c r="CI70" s="120">
        <v>0.1</v>
      </c>
      <c r="CJ70" s="120">
        <v>0.1</v>
      </c>
      <c r="CL70" s="69">
        <f t="shared" ref="CL70:CL72" si="192">IFERROR(CC70/CC$55,0)</f>
        <v>0</v>
      </c>
      <c r="CN70" s="84">
        <f>-SUMIFS('FY25 By Venue Financials'!$J:$J,'FY25 By Venue Financials'!$A:$A,$C70)</f>
        <v>-1532.0437200000001</v>
      </c>
      <c r="CO70" s="25"/>
      <c r="CQ70" s="71" t="s">
        <v>147</v>
      </c>
      <c r="CR70" s="71" t="s">
        <v>148</v>
      </c>
      <c r="CU70" s="25">
        <f t="shared" ref="CU70:CX70" si="193">SUMIFS($D70:$BZ70,$D$1:$BZ$1,CU$9)</f>
        <v>-90.395666666666671</v>
      </c>
      <c r="CV70" s="25">
        <f t="shared" si="193"/>
        <v>-164.0035666666667</v>
      </c>
      <c r="CW70" s="25">
        <f t="shared" si="193"/>
        <v>-180.40392333333341</v>
      </c>
      <c r="CX70" s="25">
        <f t="shared" si="193"/>
        <v>-187.50644000000008</v>
      </c>
    </row>
    <row r="71" spans="3:102" ht="15.75" customHeight="1">
      <c r="C71" s="8" t="s">
        <v>149</v>
      </c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>
        <f>-SUMIFS('Monthly P&amp;L'!H:H,'Monthly P&amp;L'!$A:$A,$C71)/1000</f>
        <v>0</v>
      </c>
      <c r="Q71" s="84">
        <f>-SUMIFS('Monthly P&amp;L'!I:I,'Monthly P&amp;L'!$A:$A,$C71)/1000</f>
        <v>0</v>
      </c>
      <c r="R71" s="84">
        <f>-SUMIFS('Monthly P&amp;L'!J:J,'Monthly P&amp;L'!$A:$A,$C71)/1000</f>
        <v>0</v>
      </c>
      <c r="S71" s="84">
        <f>-SUMIFS('Monthly P&amp;L'!K:K,'Monthly P&amp;L'!$A:$A,$C71)/1000</f>
        <v>0</v>
      </c>
      <c r="T71" s="84">
        <f>-SUMIFS('Monthly P&amp;L'!L:L,'Monthly P&amp;L'!$A:$A,$C71)/1000</f>
        <v>0</v>
      </c>
      <c r="U71" s="84">
        <f>-SUMIFS('Monthly P&amp;L'!M:M,'Monthly P&amp;L'!$A:$A,$C71)/1000</f>
        <v>0</v>
      </c>
      <c r="V71" s="84">
        <f>-SUMIFS('Monthly P&amp;L'!N:N,'Monthly P&amp;L'!$A:$A,$C71)/1000</f>
        <v>0</v>
      </c>
      <c r="W71" s="84">
        <f>-SUMIFS('Monthly P&amp;L'!O:O,'Monthly P&amp;L'!$A:$A,$C71)/1000</f>
        <v>0</v>
      </c>
      <c r="X71" s="84">
        <f>-SUMIFS('Monthly P&amp;L'!P:P,'Monthly P&amp;L'!$A:$A,$C71)/1000</f>
        <v>0</v>
      </c>
      <c r="Y71" s="84">
        <f>-SUMIFS('Monthly P&amp;L'!Q:Q,'Monthly P&amp;L'!$A:$A,$C71)/1000</f>
        <v>0</v>
      </c>
      <c r="Z71" s="84">
        <f>-SUMIFS('Monthly P&amp;L'!R:R,'Monthly P&amp;L'!$A:$A,$C71)/1000</f>
        <v>0</v>
      </c>
      <c r="AA71" s="84">
        <f>-SUMIFS('Monthly P&amp;L'!S:S,'Monthly P&amp;L'!$A:$A,$C71)/1000</f>
        <v>0</v>
      </c>
      <c r="AB71" s="84">
        <f>-SUMIFS('Monthly P&amp;L'!T:T,'Monthly P&amp;L'!$A:$A,$C71)/1000</f>
        <v>0</v>
      </c>
      <c r="AC71" s="84">
        <f>-SUMIFS('Monthly P&amp;L'!U:U,'Monthly P&amp;L'!$A:$A,$C71)/1000</f>
        <v>0</v>
      </c>
      <c r="AD71" s="84">
        <f>-SUMIFS('Monthly P&amp;L'!V:V,'Monthly P&amp;L'!$A:$A,$C71)/1000</f>
        <v>0</v>
      </c>
      <c r="AE71" s="84">
        <f>-SUMIFS('Monthly P&amp;L'!W:W,'Monthly P&amp;L'!$A:$A,$C71)/1000</f>
        <v>0</v>
      </c>
      <c r="AF71" s="117">
        <f>-SUMIFS('Monthly P&amp;L'!X:X,'Monthly P&amp;L'!$A:$A,$C71)/1000*2</f>
        <v>0</v>
      </c>
      <c r="AG71" s="26"/>
      <c r="AH71" s="25">
        <f t="shared" ref="AH71:BQ71" si="194">SUMIFS($CD71:$CF71,$CD$2:$CF$2,AH$3)/12</f>
        <v>-6.9810000000000008</v>
      </c>
      <c r="AI71" s="25">
        <f t="shared" si="194"/>
        <v>-6.9810000000000008</v>
      </c>
      <c r="AJ71" s="25">
        <f t="shared" si="194"/>
        <v>-6.9810000000000008</v>
      </c>
      <c r="AK71" s="25">
        <f t="shared" si="194"/>
        <v>-6.9810000000000008</v>
      </c>
      <c r="AL71" s="25">
        <f t="shared" si="194"/>
        <v>-6.9810000000000008</v>
      </c>
      <c r="AM71" s="25">
        <f t="shared" si="194"/>
        <v>-6.9810000000000008</v>
      </c>
      <c r="AN71" s="25">
        <f t="shared" si="194"/>
        <v>-6.9810000000000008</v>
      </c>
      <c r="AO71" s="25">
        <f t="shared" si="194"/>
        <v>-6.9810000000000008</v>
      </c>
      <c r="AP71" s="25">
        <f t="shared" si="194"/>
        <v>-6.9810000000000008</v>
      </c>
      <c r="AQ71" s="25">
        <f t="shared" si="194"/>
        <v>-6.9810000000000008</v>
      </c>
      <c r="AR71" s="25">
        <f t="shared" si="194"/>
        <v>-6.9810000000000008</v>
      </c>
      <c r="AS71" s="25">
        <f t="shared" si="194"/>
        <v>-6.9810000000000008</v>
      </c>
      <c r="AT71" s="25">
        <f t="shared" si="194"/>
        <v>-7.6791000000000009</v>
      </c>
      <c r="AU71" s="25">
        <f t="shared" si="194"/>
        <v>-7.6791000000000009</v>
      </c>
      <c r="AV71" s="25">
        <f t="shared" si="194"/>
        <v>-7.6791000000000009</v>
      </c>
      <c r="AW71" s="25">
        <f t="shared" si="194"/>
        <v>-7.6791000000000009</v>
      </c>
      <c r="AX71" s="25">
        <f t="shared" si="194"/>
        <v>-7.6791000000000009</v>
      </c>
      <c r="AY71" s="25">
        <f t="shared" si="194"/>
        <v>-7.6791000000000009</v>
      </c>
      <c r="AZ71" s="25">
        <f t="shared" si="194"/>
        <v>-7.6791000000000009</v>
      </c>
      <c r="BA71" s="25">
        <f t="shared" si="194"/>
        <v>-7.6791000000000009</v>
      </c>
      <c r="BB71" s="25">
        <f t="shared" si="194"/>
        <v>-7.6791000000000009</v>
      </c>
      <c r="BC71" s="25">
        <f t="shared" si="194"/>
        <v>-7.6791000000000009</v>
      </c>
      <c r="BD71" s="25">
        <f t="shared" si="194"/>
        <v>-7.6791000000000009</v>
      </c>
      <c r="BE71" s="25">
        <f t="shared" si="194"/>
        <v>-7.6791000000000009</v>
      </c>
      <c r="BF71" s="25">
        <f t="shared" si="194"/>
        <v>-8.4470100000000006</v>
      </c>
      <c r="BG71" s="25">
        <f t="shared" si="194"/>
        <v>-8.4470100000000006</v>
      </c>
      <c r="BH71" s="25">
        <f t="shared" si="194"/>
        <v>-8.4470100000000006</v>
      </c>
      <c r="BI71" s="25">
        <f t="shared" si="194"/>
        <v>-8.4470100000000006</v>
      </c>
      <c r="BJ71" s="25">
        <f t="shared" si="194"/>
        <v>-8.4470100000000006</v>
      </c>
      <c r="BK71" s="25">
        <f t="shared" si="194"/>
        <v>-8.4470100000000006</v>
      </c>
      <c r="BL71" s="25">
        <f t="shared" si="194"/>
        <v>-8.4470100000000006</v>
      </c>
      <c r="BM71" s="25">
        <f t="shared" si="194"/>
        <v>-8.4470100000000006</v>
      </c>
      <c r="BN71" s="25">
        <f t="shared" si="194"/>
        <v>-8.4470100000000006</v>
      </c>
      <c r="BO71" s="25">
        <f t="shared" si="194"/>
        <v>-8.4470100000000006</v>
      </c>
      <c r="BP71" s="25">
        <f t="shared" si="194"/>
        <v>-8.4470100000000006</v>
      </c>
      <c r="BQ71" s="96">
        <f t="shared" si="194"/>
        <v>-8.4470100000000006</v>
      </c>
      <c r="BR71" s="25"/>
      <c r="BS71" s="25">
        <f t="shared" ref="BS71:BY71" si="195">BF71</f>
        <v>-8.4470100000000006</v>
      </c>
      <c r="BT71" s="25">
        <f t="shared" si="195"/>
        <v>-8.4470100000000006</v>
      </c>
      <c r="BU71" s="25">
        <f t="shared" si="195"/>
        <v>-8.4470100000000006</v>
      </c>
      <c r="BV71" s="25">
        <f t="shared" si="195"/>
        <v>-8.4470100000000006</v>
      </c>
      <c r="BW71" s="25">
        <f t="shared" si="195"/>
        <v>-8.4470100000000006</v>
      </c>
      <c r="BX71" s="25">
        <f t="shared" si="195"/>
        <v>-8.4470100000000006</v>
      </c>
      <c r="BY71" s="25">
        <f t="shared" si="195"/>
        <v>-8.4470100000000006</v>
      </c>
      <c r="BZ71" s="26"/>
      <c r="CA71" s="84">
        <f>-SUMIFS('Monthly P&amp;L'!$E:$E,'Monthly P&amp;L'!$A:$A,$C71)/1000</f>
        <v>0</v>
      </c>
      <c r="CB71" s="25">
        <f t="shared" si="189"/>
        <v>0</v>
      </c>
      <c r="CC71" s="25">
        <f t="shared" si="190"/>
        <v>0</v>
      </c>
      <c r="CD71" s="84">
        <f>-SUMIFS('Go-Forward Payroll'!$G$3:$G$10,'Go-Forward Payroll'!$I$3:$I$10,$C71)/1000</f>
        <v>-83.772000000000006</v>
      </c>
      <c r="CE71" s="25">
        <f t="shared" ref="CE71:CF71" si="196">CD71*(1+CI71)</f>
        <v>-92.149200000000008</v>
      </c>
      <c r="CF71" s="25">
        <f t="shared" si="196"/>
        <v>-101.36412000000001</v>
      </c>
      <c r="CH71" s="126"/>
      <c r="CI71" s="120">
        <v>0.1</v>
      </c>
      <c r="CJ71" s="120">
        <v>0.1</v>
      </c>
      <c r="CL71" s="69">
        <f t="shared" si="192"/>
        <v>0</v>
      </c>
      <c r="CN71" s="84">
        <f>-SUMIFS('FY25 By Venue Financials'!$J:$J,'FY25 By Venue Financials'!$A:$A,$C71)</f>
        <v>-1777.4212199999997</v>
      </c>
      <c r="CO71" s="25"/>
      <c r="CQ71" s="71" t="s">
        <v>147</v>
      </c>
      <c r="CR71" s="71" t="s">
        <v>148</v>
      </c>
      <c r="CU71" s="25">
        <f t="shared" ref="CU71:CX71" si="197">SUMIFS($D71:$BZ71,$D$1:$BZ$1,CU$9)</f>
        <v>-48.867000000000004</v>
      </c>
      <c r="CV71" s="25">
        <f t="shared" si="197"/>
        <v>-88.65870000000001</v>
      </c>
      <c r="CW71" s="25">
        <f t="shared" si="197"/>
        <v>-97.524570000000026</v>
      </c>
      <c r="CX71" s="25">
        <f t="shared" si="197"/>
        <v>-101.36412000000003</v>
      </c>
    </row>
    <row r="72" spans="3:102" ht="15.75" customHeight="1">
      <c r="C72" s="8" t="s">
        <v>150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>
        <f>-SUMIFS('Monthly P&amp;L'!H:H,'Monthly P&amp;L'!$A:$A,$C72)/1000</f>
        <v>-5.0889600000000002</v>
      </c>
      <c r="Q72" s="84">
        <f>-SUMIFS('Monthly P&amp;L'!I:I,'Monthly P&amp;L'!$A:$A,$C72)/1000</f>
        <v>-2.202</v>
      </c>
      <c r="R72" s="84">
        <f>-SUMIFS('Monthly P&amp;L'!J:J,'Monthly P&amp;L'!$A:$A,$C72)/1000</f>
        <v>-1.3825999999999998</v>
      </c>
      <c r="S72" s="84">
        <f>-SUMIFS('Monthly P&amp;L'!K:K,'Monthly P&amp;L'!$A:$A,$C72)/1000</f>
        <v>-7.0238000000000005</v>
      </c>
      <c r="T72" s="84">
        <f>-SUMIFS('Monthly P&amp;L'!L:L,'Monthly P&amp;L'!$A:$A,$C72)/1000</f>
        <v>-12.111840000000001</v>
      </c>
      <c r="U72" s="84">
        <f>-SUMIFS('Monthly P&amp;L'!M:M,'Monthly P&amp;L'!$A:$A,$C72)/1000</f>
        <v>-12.975260000000002</v>
      </c>
      <c r="V72" s="84">
        <f>-SUMIFS('Monthly P&amp;L'!N:N,'Monthly P&amp;L'!$A:$A,$C72)/1000</f>
        <v>-10.426910000000001</v>
      </c>
      <c r="W72" s="84">
        <f>-SUMIFS('Monthly P&amp;L'!O:O,'Monthly P&amp;L'!$A:$A,$C72)/1000</f>
        <v>-5.3593199999999994</v>
      </c>
      <c r="X72" s="84">
        <f>-SUMIFS('Monthly P&amp;L'!P:P,'Monthly P&amp;L'!$A:$A,$C72)/1000</f>
        <v>-8.4674800000000001</v>
      </c>
      <c r="Y72" s="84">
        <f>-SUMIFS('Monthly P&amp;L'!Q:Q,'Monthly P&amp;L'!$A:$A,$C72)/1000</f>
        <v>-12.558949999999999</v>
      </c>
      <c r="Z72" s="84">
        <f>-SUMIFS('Monthly P&amp;L'!R:R,'Monthly P&amp;L'!$A:$A,$C72)/1000</f>
        <v>-13.5855</v>
      </c>
      <c r="AA72" s="84">
        <f>-SUMIFS('Monthly P&amp;L'!S:S,'Monthly P&amp;L'!$A:$A,$C72)/1000</f>
        <v>-6.9984000000000002</v>
      </c>
      <c r="AB72" s="84">
        <f>-SUMIFS('Monthly P&amp;L'!T:T,'Monthly P&amp;L'!$A:$A,$C72)/1000</f>
        <v>-2.3382400000000003</v>
      </c>
      <c r="AC72" s="84">
        <f>-SUMIFS('Monthly P&amp;L'!U:U,'Monthly P&amp;L'!$A:$A,$C72)/1000</f>
        <v>0</v>
      </c>
      <c r="AD72" s="84">
        <f>-SUMIFS('Monthly P&amp;L'!V:V,'Monthly P&amp;L'!$A:$A,$C72)/1000</f>
        <v>-0.96499999999999997</v>
      </c>
      <c r="AE72" s="84">
        <f>-SUMIFS('Monthly P&amp;L'!W:W,'Monthly P&amp;L'!$A:$A,$C72)/1000</f>
        <v>-9.3204399999999978</v>
      </c>
      <c r="AF72" s="117">
        <f>-SUMIFS('Monthly P&amp;L'!X:X,'Monthly P&amp;L'!$A:$A,$C72)/1000*2</f>
        <v>-19.046319999999994</v>
      </c>
      <c r="AG72" s="26"/>
      <c r="AH72" s="25">
        <f t="shared" ref="AH72:BQ72" si="198">SUMIFS($CD72:$CF72,$CD$2:$CF$2,AH$3)*AH$36</f>
        <v>-10.726400000000002</v>
      </c>
      <c r="AI72" s="25">
        <f t="shared" si="198"/>
        <v>-8.9386666666666681</v>
      </c>
      <c r="AJ72" s="25">
        <f t="shared" si="198"/>
        <v>-13.408000000000001</v>
      </c>
      <c r="AK72" s="25">
        <f t="shared" si="198"/>
        <v>-16.983466666666668</v>
      </c>
      <c r="AL72" s="25">
        <f t="shared" si="198"/>
        <v>-21.452800000000003</v>
      </c>
      <c r="AM72" s="25">
        <f t="shared" si="198"/>
        <v>-10.726400000000002</v>
      </c>
      <c r="AN72" s="25">
        <f t="shared" si="198"/>
        <v>-4.469333333333334</v>
      </c>
      <c r="AO72" s="25">
        <f t="shared" si="198"/>
        <v>0</v>
      </c>
      <c r="AP72" s="25">
        <f t="shared" si="198"/>
        <v>0</v>
      </c>
      <c r="AQ72" s="25">
        <f t="shared" si="198"/>
        <v>-5.3632000000000009</v>
      </c>
      <c r="AR72" s="25">
        <f t="shared" si="198"/>
        <v>-17.877333333333336</v>
      </c>
      <c r="AS72" s="25">
        <f t="shared" si="198"/>
        <v>-24.134400000000003</v>
      </c>
      <c r="AT72" s="25">
        <f t="shared" si="198"/>
        <v>-16.089600000000001</v>
      </c>
      <c r="AU72" s="25">
        <f t="shared" si="198"/>
        <v>-8.9386666666666663</v>
      </c>
      <c r="AV72" s="25">
        <f t="shared" si="198"/>
        <v>-14.301866666666667</v>
      </c>
      <c r="AW72" s="25">
        <f t="shared" si="198"/>
        <v>-18.7712</v>
      </c>
      <c r="AX72" s="25">
        <f t="shared" si="198"/>
        <v>-21.4528</v>
      </c>
      <c r="AY72" s="25">
        <f t="shared" si="198"/>
        <v>-12.514133333333332</v>
      </c>
      <c r="AZ72" s="25">
        <f t="shared" si="198"/>
        <v>-5.3632</v>
      </c>
      <c r="BA72" s="25">
        <f t="shared" si="198"/>
        <v>0</v>
      </c>
      <c r="BB72" s="25">
        <f t="shared" si="198"/>
        <v>0</v>
      </c>
      <c r="BC72" s="25">
        <f t="shared" si="198"/>
        <v>-7.1509333333333336</v>
      </c>
      <c r="BD72" s="25">
        <f t="shared" si="198"/>
        <v>-16.983466666666665</v>
      </c>
      <c r="BE72" s="25">
        <f t="shared" si="198"/>
        <v>-21.4528</v>
      </c>
      <c r="BF72" s="25">
        <f t="shared" si="198"/>
        <v>-16.983466666666668</v>
      </c>
      <c r="BG72" s="25">
        <f t="shared" si="198"/>
        <v>-8.9386666666666663</v>
      </c>
      <c r="BH72" s="25">
        <f t="shared" si="198"/>
        <v>-15.195733333333335</v>
      </c>
      <c r="BI72" s="25">
        <f t="shared" si="198"/>
        <v>-19.665066666666668</v>
      </c>
      <c r="BJ72" s="25">
        <f t="shared" si="198"/>
        <v>-23.240533333333335</v>
      </c>
      <c r="BK72" s="25">
        <f t="shared" si="198"/>
        <v>-13.408000000000001</v>
      </c>
      <c r="BL72" s="25">
        <f t="shared" si="198"/>
        <v>-5.3632</v>
      </c>
      <c r="BM72" s="25">
        <f t="shared" si="198"/>
        <v>0</v>
      </c>
      <c r="BN72" s="25">
        <f t="shared" si="198"/>
        <v>0</v>
      </c>
      <c r="BO72" s="25">
        <f t="shared" si="198"/>
        <v>-8.0448000000000004</v>
      </c>
      <c r="BP72" s="25">
        <f t="shared" si="198"/>
        <v>-17.877333333333333</v>
      </c>
      <c r="BQ72" s="96">
        <f t="shared" si="198"/>
        <v>-23.240533333333335</v>
      </c>
      <c r="BR72" s="25"/>
      <c r="BS72" s="25">
        <f t="shared" ref="BS72:BY72" si="199">BF72</f>
        <v>-16.983466666666668</v>
      </c>
      <c r="BT72" s="25">
        <f t="shared" si="199"/>
        <v>-8.9386666666666663</v>
      </c>
      <c r="BU72" s="25">
        <f t="shared" si="199"/>
        <v>-15.195733333333335</v>
      </c>
      <c r="BV72" s="25">
        <f t="shared" si="199"/>
        <v>-19.665066666666668</v>
      </c>
      <c r="BW72" s="25">
        <f t="shared" si="199"/>
        <v>-23.240533333333335</v>
      </c>
      <c r="BX72" s="25">
        <f t="shared" si="199"/>
        <v>-13.408000000000001</v>
      </c>
      <c r="BY72" s="25">
        <f t="shared" si="199"/>
        <v>-5.3632</v>
      </c>
      <c r="BZ72" s="26"/>
      <c r="CA72" s="84">
        <f>-SUMIFS('Monthly P&amp;L'!$E:$E,'Monthly P&amp;L'!$A:$A,$C72)/1000</f>
        <v>-125.88753</v>
      </c>
      <c r="CB72" s="25">
        <f t="shared" si="189"/>
        <v>-98.18101999999999</v>
      </c>
      <c r="CC72" s="25">
        <f t="shared" si="190"/>
        <v>-95.107339999999994</v>
      </c>
      <c r="CD72" s="84">
        <f>-SUMIFS('Go-Forward Payroll'!$G$3:$G$10,'Go-Forward Payroll'!$I$3:$I$10,$C72)/1000</f>
        <v>-134.08000000000001</v>
      </c>
      <c r="CE72" s="25">
        <f t="shared" ref="CE72:CF72" si="200">CE35*CI72</f>
        <v>-143.01866666666666</v>
      </c>
      <c r="CF72" s="25">
        <f t="shared" si="200"/>
        <v>-151.95733333333334</v>
      </c>
      <c r="CH72" s="133">
        <f>CD72/$CD$35</f>
        <v>-0.8938666666666667</v>
      </c>
      <c r="CI72" s="10">
        <f t="shared" ref="CI72:CJ72" si="201">CH72</f>
        <v>-0.8938666666666667</v>
      </c>
      <c r="CJ72" s="10">
        <f t="shared" si="201"/>
        <v>-0.8938666666666667</v>
      </c>
      <c r="CL72" s="69">
        <f t="shared" si="192"/>
        <v>-7.1688243313341005E-2</v>
      </c>
      <c r="CN72" s="84">
        <f>-SUMIFS('FY25 By Venue Financials'!$J:$J,'FY25 By Venue Financials'!$A:$A,$C72)</f>
        <v>-1231.96389</v>
      </c>
      <c r="CO72" s="69">
        <f>IFERROR(CN72/CN$55,0)</f>
        <v>-3.3983995772178734E-2</v>
      </c>
      <c r="CQ72" s="71" t="s">
        <v>151</v>
      </c>
      <c r="CR72" s="71" t="s">
        <v>152</v>
      </c>
      <c r="CU72" s="25">
        <f t="shared" ref="CU72:CX72" si="202">SUMIFS($D72:$BZ72,$D$1:$BZ$1,CU$9)</f>
        <v>-118.37506666666668</v>
      </c>
      <c r="CV72" s="25">
        <f t="shared" si="202"/>
        <v>-144.8064</v>
      </c>
      <c r="CW72" s="25">
        <f t="shared" si="202"/>
        <v>-148.38186666666667</v>
      </c>
      <c r="CX72" s="25">
        <f t="shared" si="202"/>
        <v>-151.95733333333334</v>
      </c>
    </row>
    <row r="73" spans="3:102" ht="15.75" customHeight="1">
      <c r="C73" s="8" t="s">
        <v>153</v>
      </c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>
        <f>-SUMIFS('Monthly P&amp;L'!H:H,'Monthly P&amp;L'!$A:$A,$C73)/1000</f>
        <v>0</v>
      </c>
      <c r="Q73" s="84">
        <f>-SUMIFS('Monthly P&amp;L'!I:I,'Monthly P&amp;L'!$A:$A,$C73)/1000</f>
        <v>0</v>
      </c>
      <c r="R73" s="84">
        <f>-SUMIFS('Monthly P&amp;L'!J:J,'Monthly P&amp;L'!$A:$A,$C73)/1000</f>
        <v>0</v>
      </c>
      <c r="S73" s="84">
        <f>-SUMIFS('Monthly P&amp;L'!K:K,'Monthly P&amp;L'!$A:$A,$C73)/1000</f>
        <v>0</v>
      </c>
      <c r="T73" s="84">
        <f>-SUMIFS('Monthly P&amp;L'!L:L,'Monthly P&amp;L'!$A:$A,$C73)/1000</f>
        <v>0</v>
      </c>
      <c r="U73" s="84">
        <f>-SUMIFS('Monthly P&amp;L'!M:M,'Monthly P&amp;L'!$A:$A,$C73)/1000</f>
        <v>0</v>
      </c>
      <c r="V73" s="84">
        <f>-SUMIFS('Monthly P&amp;L'!N:N,'Monthly P&amp;L'!$A:$A,$C73)/1000</f>
        <v>0</v>
      </c>
      <c r="W73" s="84">
        <f>-SUMIFS('Monthly P&amp;L'!O:O,'Monthly P&amp;L'!$A:$A,$C73)/1000</f>
        <v>0</v>
      </c>
      <c r="X73" s="84">
        <f>-SUMIFS('Monthly P&amp;L'!P:P,'Monthly P&amp;L'!$A:$A,$C73)/1000</f>
        <v>0</v>
      </c>
      <c r="Y73" s="84">
        <f>-SUMIFS('Monthly P&amp;L'!Q:Q,'Monthly P&amp;L'!$A:$A,$C73)/1000</f>
        <v>0</v>
      </c>
      <c r="Z73" s="84">
        <f>-SUMIFS('Monthly P&amp;L'!R:R,'Monthly P&amp;L'!$A:$A,$C73)/1000</f>
        <v>0</v>
      </c>
      <c r="AA73" s="84">
        <f>-SUMIFS('Monthly P&amp;L'!S:S,'Monthly P&amp;L'!$A:$A,$C73)/1000</f>
        <v>0</v>
      </c>
      <c r="AB73" s="84">
        <f>-SUMIFS('Monthly P&amp;L'!T:T,'Monthly P&amp;L'!$A:$A,$C73)/1000</f>
        <v>0</v>
      </c>
      <c r="AC73" s="84">
        <f>-SUMIFS('Monthly P&amp;L'!U:U,'Monthly P&amp;L'!$A:$A,$C73)/1000</f>
        <v>0</v>
      </c>
      <c r="AD73" s="84">
        <f>-SUMIFS('Monthly P&amp;L'!V:V,'Monthly P&amp;L'!$A:$A,$C73)/1000</f>
        <v>0</v>
      </c>
      <c r="AE73" s="84">
        <f>-SUMIFS('Monthly P&amp;L'!W:W,'Monthly P&amp;L'!$A:$A,$C73)/1000</f>
        <v>0</v>
      </c>
      <c r="AF73" s="117">
        <f>-SUMIFS('Monthly P&amp;L'!X:X,'Monthly P&amp;L'!$A:$A,$C73)/1000*2</f>
        <v>0</v>
      </c>
      <c r="AG73" s="26"/>
      <c r="AH73" s="25">
        <f t="shared" ref="AH73:BQ73" si="203">SUMIFS($CD73:$CF73,$CD$2:$CF$2,AH$3)*AH$36</f>
        <v>0</v>
      </c>
      <c r="AI73" s="25">
        <f t="shared" si="203"/>
        <v>0</v>
      </c>
      <c r="AJ73" s="25">
        <f t="shared" si="203"/>
        <v>0</v>
      </c>
      <c r="AK73" s="25">
        <f t="shared" si="203"/>
        <v>0</v>
      </c>
      <c r="AL73" s="25">
        <f t="shared" si="203"/>
        <v>0</v>
      </c>
      <c r="AM73" s="25">
        <f t="shared" si="203"/>
        <v>0</v>
      </c>
      <c r="AN73" s="25">
        <f t="shared" si="203"/>
        <v>0</v>
      </c>
      <c r="AO73" s="25">
        <f t="shared" si="203"/>
        <v>0</v>
      </c>
      <c r="AP73" s="25">
        <f t="shared" si="203"/>
        <v>0</v>
      </c>
      <c r="AQ73" s="25">
        <f t="shared" si="203"/>
        <v>0</v>
      </c>
      <c r="AR73" s="25">
        <f t="shared" si="203"/>
        <v>0</v>
      </c>
      <c r="AS73" s="25">
        <f t="shared" si="203"/>
        <v>0</v>
      </c>
      <c r="AT73" s="25">
        <f t="shared" si="203"/>
        <v>0</v>
      </c>
      <c r="AU73" s="25">
        <f t="shared" si="203"/>
        <v>0</v>
      </c>
      <c r="AV73" s="25">
        <f t="shared" si="203"/>
        <v>0</v>
      </c>
      <c r="AW73" s="25">
        <f t="shared" si="203"/>
        <v>0</v>
      </c>
      <c r="AX73" s="25">
        <f t="shared" si="203"/>
        <v>0</v>
      </c>
      <c r="AY73" s="25">
        <f t="shared" si="203"/>
        <v>0</v>
      </c>
      <c r="AZ73" s="25">
        <f t="shared" si="203"/>
        <v>0</v>
      </c>
      <c r="BA73" s="25">
        <f t="shared" si="203"/>
        <v>0</v>
      </c>
      <c r="BB73" s="25">
        <f t="shared" si="203"/>
        <v>0</v>
      </c>
      <c r="BC73" s="25">
        <f t="shared" si="203"/>
        <v>0</v>
      </c>
      <c r="BD73" s="25">
        <f t="shared" si="203"/>
        <v>0</v>
      </c>
      <c r="BE73" s="25">
        <f t="shared" si="203"/>
        <v>0</v>
      </c>
      <c r="BF73" s="25">
        <f t="shared" si="203"/>
        <v>0</v>
      </c>
      <c r="BG73" s="25">
        <f t="shared" si="203"/>
        <v>0</v>
      </c>
      <c r="BH73" s="25">
        <f t="shared" si="203"/>
        <v>0</v>
      </c>
      <c r="BI73" s="25">
        <f t="shared" si="203"/>
        <v>0</v>
      </c>
      <c r="BJ73" s="25">
        <f t="shared" si="203"/>
        <v>0</v>
      </c>
      <c r="BK73" s="25">
        <f t="shared" si="203"/>
        <v>0</v>
      </c>
      <c r="BL73" s="25">
        <f t="shared" si="203"/>
        <v>0</v>
      </c>
      <c r="BM73" s="25">
        <f t="shared" si="203"/>
        <v>0</v>
      </c>
      <c r="BN73" s="25">
        <f t="shared" si="203"/>
        <v>0</v>
      </c>
      <c r="BO73" s="25">
        <f t="shared" si="203"/>
        <v>0</v>
      </c>
      <c r="BP73" s="25">
        <f t="shared" si="203"/>
        <v>0</v>
      </c>
      <c r="BQ73" s="96">
        <f t="shared" si="203"/>
        <v>0</v>
      </c>
      <c r="BR73" s="25"/>
      <c r="BS73" s="25">
        <f t="shared" ref="BS73:BY73" si="204">BF73</f>
        <v>0</v>
      </c>
      <c r="BT73" s="25">
        <f t="shared" si="204"/>
        <v>0</v>
      </c>
      <c r="BU73" s="25">
        <f t="shared" si="204"/>
        <v>0</v>
      </c>
      <c r="BV73" s="25">
        <f t="shared" si="204"/>
        <v>0</v>
      </c>
      <c r="BW73" s="25">
        <f t="shared" si="204"/>
        <v>0</v>
      </c>
      <c r="BX73" s="25">
        <f t="shared" si="204"/>
        <v>0</v>
      </c>
      <c r="BY73" s="25">
        <f t="shared" si="204"/>
        <v>0</v>
      </c>
      <c r="BZ73" s="26"/>
      <c r="CA73" s="84">
        <f>-SUMIFS('Monthly P&amp;L'!$E:$E,'Monthly P&amp;L'!$A:$A,$C73)/1000</f>
        <v>0</v>
      </c>
      <c r="CB73" s="25">
        <f t="shared" si="189"/>
        <v>0</v>
      </c>
      <c r="CC73" s="25">
        <f t="shared" si="190"/>
        <v>0</v>
      </c>
      <c r="CD73" s="25">
        <f t="shared" ref="CD73:CF73" si="205">CD$49*CH73</f>
        <v>0</v>
      </c>
      <c r="CE73" s="25">
        <f t="shared" si="205"/>
        <v>0</v>
      </c>
      <c r="CF73" s="25">
        <f t="shared" si="205"/>
        <v>0</v>
      </c>
      <c r="CH73" s="126"/>
      <c r="CI73" s="126"/>
      <c r="CJ73" s="126"/>
      <c r="CL73" s="69">
        <f>IFERROR(CC73/CC62,0)</f>
        <v>0</v>
      </c>
      <c r="CN73" s="84">
        <f>-SUMIFS('FY25 By Venue Financials'!$J:$J,'FY25 By Venue Financials'!$A:$A,$C73)</f>
        <v>-2853.3539599999999</v>
      </c>
      <c r="CO73" s="69">
        <f>IFERROR(CN73/CN$49,0)</f>
        <v>-0.29272746979274145</v>
      </c>
      <c r="CQ73" s="71" t="s">
        <v>133</v>
      </c>
      <c r="CR73" s="71" t="s">
        <v>154</v>
      </c>
      <c r="CU73" s="25">
        <f t="shared" ref="CU73:CX73" si="206">SUMIFS($D73:$BZ73,$D$1:$BZ$1,CU$9)</f>
        <v>0</v>
      </c>
      <c r="CV73" s="25">
        <f t="shared" si="206"/>
        <v>0</v>
      </c>
      <c r="CW73" s="25">
        <f t="shared" si="206"/>
        <v>0</v>
      </c>
      <c r="CX73" s="25">
        <f t="shared" si="206"/>
        <v>0</v>
      </c>
    </row>
    <row r="74" spans="3:102" ht="15.75" customHeight="1">
      <c r="C74" s="8" t="s">
        <v>155</v>
      </c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>
        <f>-SUMIFS('Monthly P&amp;L'!H:H,'Monthly P&amp;L'!$A:$A,$C74)/1000</f>
        <v>0</v>
      </c>
      <c r="Q74" s="84">
        <f>-SUMIFS('Monthly P&amp;L'!I:I,'Monthly P&amp;L'!$A:$A,$C74)/1000</f>
        <v>0</v>
      </c>
      <c r="R74" s="84">
        <f>-SUMIFS('Monthly P&amp;L'!J:J,'Monthly P&amp;L'!$A:$A,$C74)/1000</f>
        <v>0</v>
      </c>
      <c r="S74" s="84">
        <f>-SUMIFS('Monthly P&amp;L'!K:K,'Monthly P&amp;L'!$A:$A,$C74)/1000</f>
        <v>0</v>
      </c>
      <c r="T74" s="84">
        <f>-SUMIFS('Monthly P&amp;L'!L:L,'Monthly P&amp;L'!$A:$A,$C74)/1000</f>
        <v>0</v>
      </c>
      <c r="U74" s="84">
        <f>-SUMIFS('Monthly P&amp;L'!M:M,'Monthly P&amp;L'!$A:$A,$C74)/1000</f>
        <v>0</v>
      </c>
      <c r="V74" s="84">
        <f>-SUMIFS('Monthly P&amp;L'!N:N,'Monthly P&amp;L'!$A:$A,$C74)/1000</f>
        <v>0</v>
      </c>
      <c r="W74" s="84">
        <f>-SUMIFS('Monthly P&amp;L'!O:O,'Monthly P&amp;L'!$A:$A,$C74)/1000</f>
        <v>0</v>
      </c>
      <c r="X74" s="84">
        <f>-SUMIFS('Monthly P&amp;L'!P:P,'Monthly P&amp;L'!$A:$A,$C74)/1000</f>
        <v>0</v>
      </c>
      <c r="Y74" s="84">
        <f>-SUMIFS('Monthly P&amp;L'!Q:Q,'Monthly P&amp;L'!$A:$A,$C74)/1000</f>
        <v>0</v>
      </c>
      <c r="Z74" s="84">
        <f>-SUMIFS('Monthly P&amp;L'!R:R,'Monthly P&amp;L'!$A:$A,$C74)/1000</f>
        <v>0</v>
      </c>
      <c r="AA74" s="84">
        <f>-SUMIFS('Monthly P&amp;L'!S:S,'Monthly P&amp;L'!$A:$A,$C74)/1000</f>
        <v>0</v>
      </c>
      <c r="AB74" s="84">
        <f>-SUMIFS('Monthly P&amp;L'!T:T,'Monthly P&amp;L'!$A:$A,$C74)/1000</f>
        <v>0</v>
      </c>
      <c r="AC74" s="84">
        <f>-SUMIFS('Monthly P&amp;L'!U:U,'Monthly P&amp;L'!$A:$A,$C74)/1000</f>
        <v>0</v>
      </c>
      <c r="AD74" s="84">
        <f>-SUMIFS('Monthly P&amp;L'!V:V,'Monthly P&amp;L'!$A:$A,$C74)/1000</f>
        <v>0</v>
      </c>
      <c r="AE74" s="84">
        <f>-SUMIFS('Monthly P&amp;L'!W:W,'Monthly P&amp;L'!$A:$A,$C74)/1000</f>
        <v>0</v>
      </c>
      <c r="AF74" s="117">
        <f>-SUMIFS('Monthly P&amp;L'!X:X,'Monthly P&amp;L'!$A:$A,$C74)/1000*2</f>
        <v>0</v>
      </c>
      <c r="AG74" s="26"/>
      <c r="AH74" s="25">
        <f t="shared" ref="AH74:BQ74" si="207">SUMIFS($CD74:$CF74,$CD$2:$CF$2,AH$3)*AH$36</f>
        <v>-9.872075315630547E-3</v>
      </c>
      <c r="AI74" s="25">
        <f t="shared" si="207"/>
        <v>-8.2267294296921225E-3</v>
      </c>
      <c r="AJ74" s="25">
        <f t="shared" si="207"/>
        <v>-1.2340094144538183E-2</v>
      </c>
      <c r="AK74" s="25">
        <f t="shared" si="207"/>
        <v>-1.5630785916415032E-2</v>
      </c>
      <c r="AL74" s="25">
        <f t="shared" si="207"/>
        <v>-1.9744150631261094E-2</v>
      </c>
      <c r="AM74" s="25">
        <f t="shared" si="207"/>
        <v>-9.872075315630547E-3</v>
      </c>
      <c r="AN74" s="25">
        <f t="shared" si="207"/>
        <v>-4.1133647148460612E-3</v>
      </c>
      <c r="AO74" s="25">
        <f t="shared" si="207"/>
        <v>0</v>
      </c>
      <c r="AP74" s="25">
        <f t="shared" si="207"/>
        <v>0</v>
      </c>
      <c r="AQ74" s="25">
        <f t="shared" si="207"/>
        <v>-4.9360376578152735E-3</v>
      </c>
      <c r="AR74" s="25">
        <f t="shared" si="207"/>
        <v>-1.6453458859384245E-2</v>
      </c>
      <c r="AS74" s="25">
        <f t="shared" si="207"/>
        <v>-2.221216946016873E-2</v>
      </c>
      <c r="AT74" s="25">
        <f t="shared" si="207"/>
        <v>-1.8886205789499667E-2</v>
      </c>
      <c r="AU74" s="25">
        <f t="shared" si="207"/>
        <v>-1.0492336549722037E-2</v>
      </c>
      <c r="AV74" s="25">
        <f t="shared" si="207"/>
        <v>-1.678773847955526E-2</v>
      </c>
      <c r="AW74" s="25">
        <f t="shared" si="207"/>
        <v>-2.2033906754416278E-2</v>
      </c>
      <c r="AX74" s="25">
        <f t="shared" si="207"/>
        <v>-2.5181607719332887E-2</v>
      </c>
      <c r="AY74" s="25">
        <f t="shared" si="207"/>
        <v>-1.468927116961085E-2</v>
      </c>
      <c r="AZ74" s="25">
        <f t="shared" si="207"/>
        <v>-6.2954019298332217E-3</v>
      </c>
      <c r="BA74" s="25">
        <f t="shared" si="207"/>
        <v>0</v>
      </c>
      <c r="BB74" s="25">
        <f t="shared" si="207"/>
        <v>0</v>
      </c>
      <c r="BC74" s="25">
        <f t="shared" si="207"/>
        <v>-8.39386923977763E-3</v>
      </c>
      <c r="BD74" s="25">
        <f t="shared" si="207"/>
        <v>-1.9935439444471868E-2</v>
      </c>
      <c r="BE74" s="25">
        <f t="shared" si="207"/>
        <v>-2.5181607719332887E-2</v>
      </c>
      <c r="BF74" s="25">
        <f t="shared" si="207"/>
        <v>-2.6688188994936121E-2</v>
      </c>
      <c r="BG74" s="25">
        <f t="shared" si="207"/>
        <v>-1.4046415260492695E-2</v>
      </c>
      <c r="BH74" s="25">
        <f t="shared" si="207"/>
        <v>-2.3878905942837581E-2</v>
      </c>
      <c r="BI74" s="25">
        <f t="shared" si="207"/>
        <v>-3.0902113573083929E-2</v>
      </c>
      <c r="BJ74" s="25">
        <f t="shared" si="207"/>
        <v>-3.6520679677281009E-2</v>
      </c>
      <c r="BK74" s="25">
        <f t="shared" si="207"/>
        <v>-2.1069622890739045E-2</v>
      </c>
      <c r="BL74" s="25">
        <f t="shared" si="207"/>
        <v>-8.4278491562956165E-3</v>
      </c>
      <c r="BM74" s="25">
        <f t="shared" si="207"/>
        <v>0</v>
      </c>
      <c r="BN74" s="25">
        <f t="shared" si="207"/>
        <v>0</v>
      </c>
      <c r="BO74" s="25">
        <f t="shared" si="207"/>
        <v>-1.2641773734443425E-2</v>
      </c>
      <c r="BP74" s="25">
        <f t="shared" si="207"/>
        <v>-2.8092830520985389E-2</v>
      </c>
      <c r="BQ74" s="96">
        <f t="shared" si="207"/>
        <v>-3.6520679677281009E-2</v>
      </c>
      <c r="BR74" s="25"/>
      <c r="BS74" s="25">
        <f t="shared" ref="BS74:BY74" si="208">BF74</f>
        <v>-2.6688188994936121E-2</v>
      </c>
      <c r="BT74" s="25">
        <f t="shared" si="208"/>
        <v>-1.4046415260492695E-2</v>
      </c>
      <c r="BU74" s="25">
        <f t="shared" si="208"/>
        <v>-2.3878905942837581E-2</v>
      </c>
      <c r="BV74" s="25">
        <f t="shared" si="208"/>
        <v>-3.0902113573083929E-2</v>
      </c>
      <c r="BW74" s="25">
        <f t="shared" si="208"/>
        <v>-3.6520679677281009E-2</v>
      </c>
      <c r="BX74" s="25">
        <f t="shared" si="208"/>
        <v>-2.1069622890739045E-2</v>
      </c>
      <c r="BY74" s="25">
        <f t="shared" si="208"/>
        <v>-8.4278491562956165E-3</v>
      </c>
      <c r="BZ74" s="26"/>
      <c r="CA74" s="84">
        <f>-SUMIFS('Monthly P&amp;L'!$E:$E,'Monthly P&amp;L'!$A:$A,$C74)/1000</f>
        <v>0</v>
      </c>
      <c r="CB74" s="25">
        <f t="shared" si="189"/>
        <v>0</v>
      </c>
      <c r="CC74" s="25">
        <f t="shared" si="190"/>
        <v>0</v>
      </c>
      <c r="CD74" s="25">
        <f t="shared" ref="CD74:CF74" si="209">CD$55*CH74</f>
        <v>-0.12340094144538183</v>
      </c>
      <c r="CE74" s="25">
        <f t="shared" si="209"/>
        <v>-0.16787738479555259</v>
      </c>
      <c r="CF74" s="25">
        <f t="shared" si="209"/>
        <v>-0.23878905942837581</v>
      </c>
      <c r="CH74" s="120">
        <f t="shared" ref="CH74:CJ74" si="210">$CO74</f>
        <v>-6.2850166791278281E-5</v>
      </c>
      <c r="CI74" s="120">
        <f t="shared" si="210"/>
        <v>-6.2850166791278281E-5</v>
      </c>
      <c r="CJ74" s="120">
        <f t="shared" si="210"/>
        <v>-6.2850166791278281E-5</v>
      </c>
      <c r="CL74" s="69">
        <f t="shared" ref="CL74:CL76" si="211">IFERROR(CC74/CC$55,0)</f>
        <v>0</v>
      </c>
      <c r="CN74" s="84">
        <f>-SUMIFS('FY25 By Venue Financials'!$J:$J,'FY25 By Venue Financials'!$A:$A,$C74)</f>
        <v>-2.2783999999999995</v>
      </c>
      <c r="CO74" s="69">
        <f>IFERROR(CN74/CN$55,0)</f>
        <v>-6.2850166791278281E-5</v>
      </c>
      <c r="CQ74" s="71" t="s">
        <v>138</v>
      </c>
      <c r="CR74" s="71" t="s">
        <v>156</v>
      </c>
      <c r="CU74" s="25">
        <f t="shared" ref="CU74:CX74" si="212">SUMIFS($D74:$BZ74,$D$1:$BZ$1,CU$9)</f>
        <v>-7.9799275468013575E-2</v>
      </c>
      <c r="CV74" s="25">
        <f t="shared" si="212"/>
        <v>-0.15796813436933846</v>
      </c>
      <c r="CW74" s="25">
        <f t="shared" si="212"/>
        <v>-0.21504469189924835</v>
      </c>
      <c r="CX74" s="25">
        <f t="shared" si="212"/>
        <v>-0.23878905942837581</v>
      </c>
    </row>
    <row r="75" spans="3:102" ht="15.75" customHeight="1">
      <c r="C75" s="8" t="s">
        <v>157</v>
      </c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>
        <f>-SUMIFS('Monthly P&amp;L'!H:H,'Monthly P&amp;L'!$A:$A,$C75)/1000</f>
        <v>0</v>
      </c>
      <c r="Q75" s="84">
        <f>-SUMIFS('Monthly P&amp;L'!I:I,'Monthly P&amp;L'!$A:$A,$C75)/1000</f>
        <v>0</v>
      </c>
      <c r="R75" s="84">
        <f>-SUMIFS('Monthly P&amp;L'!J:J,'Monthly P&amp;L'!$A:$A,$C75)/1000</f>
        <v>0</v>
      </c>
      <c r="S75" s="84">
        <f>-SUMIFS('Monthly P&amp;L'!K:K,'Monthly P&amp;L'!$A:$A,$C75)/1000</f>
        <v>0</v>
      </c>
      <c r="T75" s="84">
        <f>-SUMIFS('Monthly P&amp;L'!L:L,'Monthly P&amp;L'!$A:$A,$C75)/1000</f>
        <v>0</v>
      </c>
      <c r="U75" s="84">
        <f>-SUMIFS('Monthly P&amp;L'!M:M,'Monthly P&amp;L'!$A:$A,$C75)/1000</f>
        <v>0</v>
      </c>
      <c r="V75" s="84">
        <f>-SUMIFS('Monthly P&amp;L'!N:N,'Monthly P&amp;L'!$A:$A,$C75)/1000</f>
        <v>0</v>
      </c>
      <c r="W75" s="84">
        <f>-SUMIFS('Monthly P&amp;L'!O:O,'Monthly P&amp;L'!$A:$A,$C75)/1000</f>
        <v>0</v>
      </c>
      <c r="X75" s="84">
        <f>-SUMIFS('Monthly P&amp;L'!P:P,'Monthly P&amp;L'!$A:$A,$C75)/1000</f>
        <v>0</v>
      </c>
      <c r="Y75" s="84">
        <f>-SUMIFS('Monthly P&amp;L'!Q:Q,'Monthly P&amp;L'!$A:$A,$C75)/1000</f>
        <v>0</v>
      </c>
      <c r="Z75" s="84">
        <f>-SUMIFS('Monthly P&amp;L'!R:R,'Monthly P&amp;L'!$A:$A,$C75)/1000</f>
        <v>0</v>
      </c>
      <c r="AA75" s="84">
        <f>-SUMIFS('Monthly P&amp;L'!S:S,'Monthly P&amp;L'!$A:$A,$C75)/1000</f>
        <v>0</v>
      </c>
      <c r="AB75" s="84">
        <f>-SUMIFS('Monthly P&amp;L'!T:T,'Monthly P&amp;L'!$A:$A,$C75)/1000</f>
        <v>0</v>
      </c>
      <c r="AC75" s="84">
        <f>-SUMIFS('Monthly P&amp;L'!U:U,'Monthly P&amp;L'!$A:$A,$C75)/1000</f>
        <v>0</v>
      </c>
      <c r="AD75" s="84">
        <f>-SUMIFS('Monthly P&amp;L'!V:V,'Monthly P&amp;L'!$A:$A,$C75)/1000</f>
        <v>0</v>
      </c>
      <c r="AE75" s="84">
        <f>-SUMIFS('Monthly P&amp;L'!W:W,'Monthly P&amp;L'!$A:$A,$C75)/1000</f>
        <v>0</v>
      </c>
      <c r="AF75" s="117">
        <f>-SUMIFS('Monthly P&amp;L'!X:X,'Monthly P&amp;L'!$A:$A,$C75)/1000*2</f>
        <v>0</v>
      </c>
      <c r="AG75" s="26"/>
      <c r="AH75" s="25">
        <f t="shared" ref="AH75:BQ75" si="213">SUMIFS($CD75:$CF75,$CD$2:$CF$2,AH$3)*AH$36</f>
        <v>0</v>
      </c>
      <c r="AI75" s="25">
        <f t="shared" si="213"/>
        <v>0</v>
      </c>
      <c r="AJ75" s="25">
        <f t="shared" si="213"/>
        <v>0</v>
      </c>
      <c r="AK75" s="25">
        <f t="shared" si="213"/>
        <v>0</v>
      </c>
      <c r="AL75" s="25">
        <f t="shared" si="213"/>
        <v>0</v>
      </c>
      <c r="AM75" s="25">
        <f t="shared" si="213"/>
        <v>0</v>
      </c>
      <c r="AN75" s="25">
        <f t="shared" si="213"/>
        <v>0</v>
      </c>
      <c r="AO75" s="25">
        <f t="shared" si="213"/>
        <v>0</v>
      </c>
      <c r="AP75" s="25">
        <f t="shared" si="213"/>
        <v>0</v>
      </c>
      <c r="AQ75" s="25">
        <f t="shared" si="213"/>
        <v>0</v>
      </c>
      <c r="AR75" s="25">
        <f t="shared" si="213"/>
        <v>0</v>
      </c>
      <c r="AS75" s="25">
        <f t="shared" si="213"/>
        <v>0</v>
      </c>
      <c r="AT75" s="25">
        <f t="shared" si="213"/>
        <v>0</v>
      </c>
      <c r="AU75" s="25">
        <f t="shared" si="213"/>
        <v>0</v>
      </c>
      <c r="AV75" s="25">
        <f t="shared" si="213"/>
        <v>0</v>
      </c>
      <c r="AW75" s="25">
        <f t="shared" si="213"/>
        <v>0</v>
      </c>
      <c r="AX75" s="25">
        <f t="shared" si="213"/>
        <v>0</v>
      </c>
      <c r="AY75" s="25">
        <f t="shared" si="213"/>
        <v>0</v>
      </c>
      <c r="AZ75" s="25">
        <f t="shared" si="213"/>
        <v>0</v>
      </c>
      <c r="BA75" s="25">
        <f t="shared" si="213"/>
        <v>0</v>
      </c>
      <c r="BB75" s="25">
        <f t="shared" si="213"/>
        <v>0</v>
      </c>
      <c r="BC75" s="25">
        <f t="shared" si="213"/>
        <v>0</v>
      </c>
      <c r="BD75" s="25">
        <f t="shared" si="213"/>
        <v>0</v>
      </c>
      <c r="BE75" s="25">
        <f t="shared" si="213"/>
        <v>0</v>
      </c>
      <c r="BF75" s="25">
        <f t="shared" si="213"/>
        <v>0</v>
      </c>
      <c r="BG75" s="25">
        <f t="shared" si="213"/>
        <v>0</v>
      </c>
      <c r="BH75" s="25">
        <f t="shared" si="213"/>
        <v>0</v>
      </c>
      <c r="BI75" s="25">
        <f t="shared" si="213"/>
        <v>0</v>
      </c>
      <c r="BJ75" s="25">
        <f t="shared" si="213"/>
        <v>0</v>
      </c>
      <c r="BK75" s="25">
        <f t="shared" si="213"/>
        <v>0</v>
      </c>
      <c r="BL75" s="25">
        <f t="shared" si="213"/>
        <v>0</v>
      </c>
      <c r="BM75" s="25">
        <f t="shared" si="213"/>
        <v>0</v>
      </c>
      <c r="BN75" s="25">
        <f t="shared" si="213"/>
        <v>0</v>
      </c>
      <c r="BO75" s="25">
        <f t="shared" si="213"/>
        <v>0</v>
      </c>
      <c r="BP75" s="25">
        <f t="shared" si="213"/>
        <v>0</v>
      </c>
      <c r="BQ75" s="96">
        <f t="shared" si="213"/>
        <v>0</v>
      </c>
      <c r="BR75" s="25"/>
      <c r="BS75" s="25">
        <f t="shared" ref="BS75:BY75" si="214">BF75</f>
        <v>0</v>
      </c>
      <c r="BT75" s="25">
        <f t="shared" si="214"/>
        <v>0</v>
      </c>
      <c r="BU75" s="25">
        <f t="shared" si="214"/>
        <v>0</v>
      </c>
      <c r="BV75" s="25">
        <f t="shared" si="214"/>
        <v>0</v>
      </c>
      <c r="BW75" s="25">
        <f t="shared" si="214"/>
        <v>0</v>
      </c>
      <c r="BX75" s="25">
        <f t="shared" si="214"/>
        <v>0</v>
      </c>
      <c r="BY75" s="25">
        <f t="shared" si="214"/>
        <v>0</v>
      </c>
      <c r="BZ75" s="26"/>
      <c r="CA75" s="84">
        <f>-SUMIFS('Monthly P&amp;L'!$E:$E,'Monthly P&amp;L'!$A:$A,$C75)/1000</f>
        <v>0</v>
      </c>
      <c r="CB75" s="25">
        <f t="shared" si="189"/>
        <v>0</v>
      </c>
      <c r="CC75" s="25">
        <f t="shared" si="190"/>
        <v>0</v>
      </c>
      <c r="CD75" s="25">
        <f t="shared" ref="CD75:CF75" si="215">SUM(CD46:CD47)*CH75</f>
        <v>0</v>
      </c>
      <c r="CE75" s="25">
        <f t="shared" si="215"/>
        <v>0</v>
      </c>
      <c r="CF75" s="25">
        <f t="shared" si="215"/>
        <v>0</v>
      </c>
      <c r="CH75" s="126"/>
      <c r="CI75" s="126"/>
      <c r="CJ75" s="126"/>
      <c r="CL75" s="69">
        <f t="shared" si="211"/>
        <v>0</v>
      </c>
      <c r="CN75" s="84">
        <f>-SUMIFS('FY25 By Venue Financials'!$J:$J,'FY25 By Venue Financials'!$A:$A,$C75)</f>
        <v>-2106.4351000000001</v>
      </c>
      <c r="CO75" s="69">
        <f>CN75/SUM(CN46:CN47)</f>
        <v>-0.16558801415062788</v>
      </c>
      <c r="CQ75" s="71" t="s">
        <v>158</v>
      </c>
      <c r="CR75" s="71" t="s">
        <v>154</v>
      </c>
      <c r="CU75" s="25">
        <f t="shared" ref="CU75:CX75" si="216">SUMIFS($D75:$BZ75,$D$1:$BZ$1,CU$9)</f>
        <v>0</v>
      </c>
      <c r="CV75" s="25">
        <f t="shared" si="216"/>
        <v>0</v>
      </c>
      <c r="CW75" s="25">
        <f t="shared" si="216"/>
        <v>0</v>
      </c>
      <c r="CX75" s="25">
        <f t="shared" si="216"/>
        <v>0</v>
      </c>
    </row>
    <row r="76" spans="3:102" ht="15.75" customHeight="1">
      <c r="C76" s="8" t="s">
        <v>159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>
        <f>-SUMIFS('Monthly P&amp;L'!H:H,'Monthly P&amp;L'!$A:$A,$C76)/1000</f>
        <v>0</v>
      </c>
      <c r="Q76" s="84">
        <f>-SUMIFS('Monthly P&amp;L'!I:I,'Monthly P&amp;L'!$A:$A,$C76)/1000</f>
        <v>0</v>
      </c>
      <c r="R76" s="84">
        <f>-SUMIFS('Monthly P&amp;L'!J:J,'Monthly P&amp;L'!$A:$A,$C76)/1000</f>
        <v>0</v>
      </c>
      <c r="S76" s="84">
        <f>-SUMIFS('Monthly P&amp;L'!K:K,'Monthly P&amp;L'!$A:$A,$C76)/1000</f>
        <v>0</v>
      </c>
      <c r="T76" s="84">
        <f>-SUMIFS('Monthly P&amp;L'!L:L,'Monthly P&amp;L'!$A:$A,$C76)/1000</f>
        <v>0</v>
      </c>
      <c r="U76" s="84">
        <f>-SUMIFS('Monthly P&amp;L'!M:M,'Monthly P&amp;L'!$A:$A,$C76)/1000</f>
        <v>0</v>
      </c>
      <c r="V76" s="84">
        <f>-SUMIFS('Monthly P&amp;L'!N:N,'Monthly P&amp;L'!$A:$A,$C76)/1000</f>
        <v>0</v>
      </c>
      <c r="W76" s="84">
        <f>-SUMIFS('Monthly P&amp;L'!O:O,'Monthly P&amp;L'!$A:$A,$C76)/1000</f>
        <v>0</v>
      </c>
      <c r="X76" s="84">
        <f>-SUMIFS('Monthly P&amp;L'!P:P,'Monthly P&amp;L'!$A:$A,$C76)/1000</f>
        <v>0</v>
      </c>
      <c r="Y76" s="84">
        <f>-SUMIFS('Monthly P&amp;L'!Q:Q,'Monthly P&amp;L'!$A:$A,$C76)/1000</f>
        <v>0</v>
      </c>
      <c r="Z76" s="84">
        <f>-SUMIFS('Monthly P&amp;L'!R:R,'Monthly P&amp;L'!$A:$A,$C76)/1000</f>
        <v>0</v>
      </c>
      <c r="AA76" s="84">
        <f>-SUMIFS('Monthly P&amp;L'!S:S,'Monthly P&amp;L'!$A:$A,$C76)/1000</f>
        <v>0</v>
      </c>
      <c r="AB76" s="84">
        <f>-SUMIFS('Monthly P&amp;L'!T:T,'Monthly P&amp;L'!$A:$A,$C76)/1000</f>
        <v>0</v>
      </c>
      <c r="AC76" s="84">
        <f>-SUMIFS('Monthly P&amp;L'!U:U,'Monthly P&amp;L'!$A:$A,$C76)/1000</f>
        <v>0</v>
      </c>
      <c r="AD76" s="84">
        <f>-SUMIFS('Monthly P&amp;L'!V:V,'Monthly P&amp;L'!$A:$A,$C76)/1000</f>
        <v>0</v>
      </c>
      <c r="AE76" s="84">
        <f>-SUMIFS('Monthly P&amp;L'!W:W,'Monthly P&amp;L'!$A:$A,$C76)/1000</f>
        <v>0</v>
      </c>
      <c r="AF76" s="117">
        <f>-SUMIFS('Monthly P&amp;L'!X:X,'Monthly P&amp;L'!$A:$A,$C76)/1000*2</f>
        <v>0</v>
      </c>
      <c r="AG76" s="26"/>
      <c r="AH76" s="25">
        <f t="shared" ref="AH76:BQ76" si="217">SUMIFS($CD76:$CF76,$CD$2:$CF$2,AH$3)*AH$36</f>
        <v>0</v>
      </c>
      <c r="AI76" s="25">
        <f t="shared" si="217"/>
        <v>0</v>
      </c>
      <c r="AJ76" s="25">
        <f t="shared" si="217"/>
        <v>0</v>
      </c>
      <c r="AK76" s="25">
        <f t="shared" si="217"/>
        <v>0</v>
      </c>
      <c r="AL76" s="25">
        <f t="shared" si="217"/>
        <v>0</v>
      </c>
      <c r="AM76" s="25">
        <f t="shared" si="217"/>
        <v>0</v>
      </c>
      <c r="AN76" s="25">
        <f t="shared" si="217"/>
        <v>0</v>
      </c>
      <c r="AO76" s="25">
        <f t="shared" si="217"/>
        <v>0</v>
      </c>
      <c r="AP76" s="25">
        <f t="shared" si="217"/>
        <v>0</v>
      </c>
      <c r="AQ76" s="25">
        <f t="shared" si="217"/>
        <v>0</v>
      </c>
      <c r="AR76" s="25">
        <f t="shared" si="217"/>
        <v>0</v>
      </c>
      <c r="AS76" s="25">
        <f t="shared" si="217"/>
        <v>0</v>
      </c>
      <c r="AT76" s="25">
        <f t="shared" si="217"/>
        <v>0</v>
      </c>
      <c r="AU76" s="25">
        <f t="shared" si="217"/>
        <v>0</v>
      </c>
      <c r="AV76" s="25">
        <f t="shared" si="217"/>
        <v>0</v>
      </c>
      <c r="AW76" s="25">
        <f t="shared" si="217"/>
        <v>0</v>
      </c>
      <c r="AX76" s="25">
        <f t="shared" si="217"/>
        <v>0</v>
      </c>
      <c r="AY76" s="25">
        <f t="shared" si="217"/>
        <v>0</v>
      </c>
      <c r="AZ76" s="25">
        <f t="shared" si="217"/>
        <v>0</v>
      </c>
      <c r="BA76" s="25">
        <f t="shared" si="217"/>
        <v>0</v>
      </c>
      <c r="BB76" s="25">
        <f t="shared" si="217"/>
        <v>0</v>
      </c>
      <c r="BC76" s="25">
        <f t="shared" si="217"/>
        <v>0</v>
      </c>
      <c r="BD76" s="25">
        <f t="shared" si="217"/>
        <v>0</v>
      </c>
      <c r="BE76" s="25">
        <f t="shared" si="217"/>
        <v>0</v>
      </c>
      <c r="BF76" s="25">
        <f t="shared" si="217"/>
        <v>0</v>
      </c>
      <c r="BG76" s="25">
        <f t="shared" si="217"/>
        <v>0</v>
      </c>
      <c r="BH76" s="25">
        <f t="shared" si="217"/>
        <v>0</v>
      </c>
      <c r="BI76" s="25">
        <f t="shared" si="217"/>
        <v>0</v>
      </c>
      <c r="BJ76" s="25">
        <f t="shared" si="217"/>
        <v>0</v>
      </c>
      <c r="BK76" s="25">
        <f t="shared" si="217"/>
        <v>0</v>
      </c>
      <c r="BL76" s="25">
        <f t="shared" si="217"/>
        <v>0</v>
      </c>
      <c r="BM76" s="25">
        <f t="shared" si="217"/>
        <v>0</v>
      </c>
      <c r="BN76" s="25">
        <f t="shared" si="217"/>
        <v>0</v>
      </c>
      <c r="BO76" s="25">
        <f t="shared" si="217"/>
        <v>0</v>
      </c>
      <c r="BP76" s="25">
        <f t="shared" si="217"/>
        <v>0</v>
      </c>
      <c r="BQ76" s="96">
        <f t="shared" si="217"/>
        <v>0</v>
      </c>
      <c r="BR76" s="25"/>
      <c r="BS76" s="25">
        <f t="shared" ref="BS76:BY76" si="218">BF76</f>
        <v>0</v>
      </c>
      <c r="BT76" s="25">
        <f t="shared" si="218"/>
        <v>0</v>
      </c>
      <c r="BU76" s="25">
        <f t="shared" si="218"/>
        <v>0</v>
      </c>
      <c r="BV76" s="25">
        <f t="shared" si="218"/>
        <v>0</v>
      </c>
      <c r="BW76" s="25">
        <f t="shared" si="218"/>
        <v>0</v>
      </c>
      <c r="BX76" s="25">
        <f t="shared" si="218"/>
        <v>0</v>
      </c>
      <c r="BY76" s="25">
        <f t="shared" si="218"/>
        <v>0</v>
      </c>
      <c r="BZ76" s="26"/>
      <c r="CA76" s="84">
        <f>-SUMIFS('Monthly P&amp;L'!$E:$E,'Monthly P&amp;L'!$A:$A,$C76)/1000</f>
        <v>0</v>
      </c>
      <c r="CB76" s="25">
        <f t="shared" si="189"/>
        <v>0</v>
      </c>
      <c r="CC76" s="25">
        <f t="shared" si="190"/>
        <v>0</v>
      </c>
      <c r="CD76" s="25">
        <f t="shared" ref="CD76:CF76" si="219">CD$55*CH76</f>
        <v>0</v>
      </c>
      <c r="CE76" s="25">
        <f t="shared" si="219"/>
        <v>0</v>
      </c>
      <c r="CF76" s="25">
        <f t="shared" si="219"/>
        <v>0</v>
      </c>
      <c r="CH76" s="120">
        <f t="shared" ref="CH76:CJ76" si="220">$CO76</f>
        <v>0</v>
      </c>
      <c r="CI76" s="120">
        <f t="shared" si="220"/>
        <v>0</v>
      </c>
      <c r="CJ76" s="120">
        <f t="shared" si="220"/>
        <v>0</v>
      </c>
      <c r="CL76" s="69">
        <f t="shared" si="211"/>
        <v>0</v>
      </c>
      <c r="CN76" s="84">
        <f>-SUMIFS('FY25 By Venue Financials'!$J:$J,'FY25 By Venue Financials'!$A:$A,$C76)</f>
        <v>0</v>
      </c>
      <c r="CO76" s="69">
        <f>IFERROR(CN76/CN$55,0)</f>
        <v>0</v>
      </c>
      <c r="CQ76" s="71" t="s">
        <v>138</v>
      </c>
      <c r="CR76" s="119" t="s">
        <v>121</v>
      </c>
      <c r="CU76" s="25">
        <f t="shared" ref="CU76:CX76" si="221">SUMIFS($D76:$BZ76,$D$1:$BZ$1,CU$9)</f>
        <v>0</v>
      </c>
      <c r="CV76" s="25">
        <f t="shared" si="221"/>
        <v>0</v>
      </c>
      <c r="CW76" s="25">
        <f t="shared" si="221"/>
        <v>0</v>
      </c>
      <c r="CX76" s="25">
        <f t="shared" si="221"/>
        <v>0</v>
      </c>
    </row>
    <row r="77" spans="3:102" ht="15.75" customHeight="1">
      <c r="C77" s="8" t="s">
        <v>160</v>
      </c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>
        <f>-SUMIFS('Monthly P&amp;L'!H:H,'Monthly P&amp;L'!$A:$A,$C77)/1000</f>
        <v>-1.1950000000000001</v>
      </c>
      <c r="Q77" s="84">
        <f>-SUMIFS('Monthly P&amp;L'!I:I,'Monthly P&amp;L'!$A:$A,$C77)/1000</f>
        <v>-2.1938499999999999</v>
      </c>
      <c r="R77" s="84">
        <f>-SUMIFS('Monthly P&amp;L'!J:J,'Monthly P&amp;L'!$A:$A,$C77)/1000</f>
        <v>-2.3688699999999998</v>
      </c>
      <c r="S77" s="84">
        <f>-SUMIFS('Monthly P&amp;L'!K:K,'Monthly P&amp;L'!$A:$A,$C77)/1000</f>
        <v>-1.3342499999999999</v>
      </c>
      <c r="T77" s="84">
        <f>-SUMIFS('Monthly P&amp;L'!L:L,'Monthly P&amp;L'!$A:$A,$C77)/1000</f>
        <v>0</v>
      </c>
      <c r="U77" s="84">
        <f>-SUMIFS('Monthly P&amp;L'!M:M,'Monthly P&amp;L'!$A:$A,$C77)/1000</f>
        <v>0</v>
      </c>
      <c r="V77" s="84">
        <f>-SUMIFS('Monthly P&amp;L'!N:N,'Monthly P&amp;L'!$A:$A,$C77)/1000</f>
        <v>0</v>
      </c>
      <c r="W77" s="84">
        <f>-SUMIFS('Monthly P&amp;L'!O:O,'Monthly P&amp;L'!$A:$A,$C77)/1000</f>
        <v>0</v>
      </c>
      <c r="X77" s="84">
        <f>-SUMIFS('Monthly P&amp;L'!P:P,'Monthly P&amp;L'!$A:$A,$C77)/1000</f>
        <v>0</v>
      </c>
      <c r="Y77" s="84">
        <f>-SUMIFS('Monthly P&amp;L'!Q:Q,'Monthly P&amp;L'!$A:$A,$C77)/1000</f>
        <v>0</v>
      </c>
      <c r="Z77" s="84">
        <f>-SUMIFS('Monthly P&amp;L'!R:R,'Monthly P&amp;L'!$A:$A,$C77)/1000</f>
        <v>0</v>
      </c>
      <c r="AA77" s="84">
        <f>-SUMIFS('Monthly P&amp;L'!S:S,'Monthly P&amp;L'!$A:$A,$C77)/1000</f>
        <v>0</v>
      </c>
      <c r="AB77" s="84">
        <f>-SUMIFS('Monthly P&amp;L'!T:T,'Monthly P&amp;L'!$A:$A,$C77)/1000</f>
        <v>0</v>
      </c>
      <c r="AC77" s="84">
        <f>-SUMIFS('Monthly P&amp;L'!U:U,'Monthly P&amp;L'!$A:$A,$C77)/1000</f>
        <v>0</v>
      </c>
      <c r="AD77" s="84">
        <f>-SUMIFS('Monthly P&amp;L'!V:V,'Monthly P&amp;L'!$A:$A,$C77)/1000</f>
        <v>0</v>
      </c>
      <c r="AE77" s="84">
        <f>-SUMIFS('Monthly P&amp;L'!W:W,'Monthly P&amp;L'!$A:$A,$C77)/1000</f>
        <v>0</v>
      </c>
      <c r="AF77" s="117">
        <f>-SUMIFS('Monthly P&amp;L'!X:X,'Monthly P&amp;L'!$A:$A,$C77)/1000*2</f>
        <v>0</v>
      </c>
      <c r="AG77" s="26"/>
      <c r="AH77" s="25">
        <f t="shared" ref="AH77:BQ77" si="222">SUM(AH70:AH76,AH78)*SUMIFS($CH$77:$CJ$77,$CD$2:$CF$2,AH$3)</f>
        <v>-3.5896131824140443</v>
      </c>
      <c r="AI77" s="25">
        <f t="shared" si="222"/>
        <v>-3.3774704721851703</v>
      </c>
      <c r="AJ77" s="25">
        <f t="shared" si="222"/>
        <v>-3.9078272477573552</v>
      </c>
      <c r="AK77" s="25">
        <f t="shared" si="222"/>
        <v>-4.3321126682151032</v>
      </c>
      <c r="AL77" s="25">
        <f t="shared" si="222"/>
        <v>-4.8624694437872877</v>
      </c>
      <c r="AM77" s="25">
        <f t="shared" si="222"/>
        <v>-3.5896131824140443</v>
      </c>
      <c r="AN77" s="25">
        <f t="shared" si="222"/>
        <v>-2.8471136966129862</v>
      </c>
      <c r="AO77" s="25">
        <f t="shared" si="222"/>
        <v>-2.3167569210408008</v>
      </c>
      <c r="AP77" s="25">
        <f t="shared" si="222"/>
        <v>-2.3167569210408008</v>
      </c>
      <c r="AQ77" s="25">
        <f t="shared" si="222"/>
        <v>-2.9531850517274223</v>
      </c>
      <c r="AR77" s="25">
        <f t="shared" si="222"/>
        <v>-4.4381840233295398</v>
      </c>
      <c r="AS77" s="25">
        <f t="shared" si="222"/>
        <v>-5.1806835091305983</v>
      </c>
      <c r="AT77" s="25">
        <f t="shared" si="222"/>
        <v>-4.4675298772548819</v>
      </c>
      <c r="AU77" s="25">
        <f t="shared" si="222"/>
        <v>-3.6145977598726593</v>
      </c>
      <c r="AV77" s="25">
        <f t="shared" si="222"/>
        <v>-4.2542968479093259</v>
      </c>
      <c r="AW77" s="25">
        <f t="shared" si="222"/>
        <v>-4.787379421273215</v>
      </c>
      <c r="AX77" s="25">
        <f t="shared" si="222"/>
        <v>-5.1072289652915481</v>
      </c>
      <c r="AY77" s="25">
        <f t="shared" si="222"/>
        <v>-4.0410638185637699</v>
      </c>
      <c r="AZ77" s="25">
        <f t="shared" si="222"/>
        <v>-3.1881317011815478</v>
      </c>
      <c r="BA77" s="25">
        <f t="shared" si="222"/>
        <v>-2.5484326131448811</v>
      </c>
      <c r="BB77" s="25">
        <f t="shared" si="222"/>
        <v>-2.5484326131448811</v>
      </c>
      <c r="BC77" s="25">
        <f t="shared" si="222"/>
        <v>-3.4013647305271038</v>
      </c>
      <c r="BD77" s="25">
        <f t="shared" si="222"/>
        <v>-4.574146391927659</v>
      </c>
      <c r="BE77" s="25">
        <f t="shared" si="222"/>
        <v>-5.1072289652915481</v>
      </c>
      <c r="BF77" s="25">
        <f t="shared" si="222"/>
        <v>-4.8452383926196489</v>
      </c>
      <c r="BG77" s="25">
        <f t="shared" si="222"/>
        <v>-3.8779929892805685</v>
      </c>
      <c r="BH77" s="25">
        <f t="shared" si="222"/>
        <v>-4.6302949696554085</v>
      </c>
      <c r="BI77" s="25">
        <f t="shared" si="222"/>
        <v>-5.1676535270660082</v>
      </c>
      <c r="BJ77" s="25">
        <f t="shared" si="222"/>
        <v>-5.5975403729944873</v>
      </c>
      <c r="BK77" s="25">
        <f t="shared" si="222"/>
        <v>-4.415351546691169</v>
      </c>
      <c r="BL77" s="25">
        <f t="shared" si="222"/>
        <v>-3.4481061433520885</v>
      </c>
      <c r="BM77" s="25">
        <f t="shared" si="222"/>
        <v>-2.8032758744593691</v>
      </c>
      <c r="BN77" s="25">
        <f t="shared" si="222"/>
        <v>-2.8032758744593691</v>
      </c>
      <c r="BO77" s="25">
        <f t="shared" si="222"/>
        <v>-3.7705212777984491</v>
      </c>
      <c r="BP77" s="25">
        <f t="shared" si="222"/>
        <v>-4.9527101041017669</v>
      </c>
      <c r="BQ77" s="96">
        <f t="shared" si="222"/>
        <v>-5.5975403729944873</v>
      </c>
      <c r="BR77" s="25"/>
      <c r="BS77" s="25">
        <f t="shared" ref="BS77:BY77" si="223">BF77</f>
        <v>-4.8452383926196489</v>
      </c>
      <c r="BT77" s="25">
        <f t="shared" si="223"/>
        <v>-3.8779929892805685</v>
      </c>
      <c r="BU77" s="25">
        <f t="shared" si="223"/>
        <v>-4.6302949696554085</v>
      </c>
      <c r="BV77" s="25">
        <f t="shared" si="223"/>
        <v>-5.1676535270660082</v>
      </c>
      <c r="BW77" s="25">
        <f t="shared" si="223"/>
        <v>-5.5975403729944873</v>
      </c>
      <c r="BX77" s="25">
        <f t="shared" si="223"/>
        <v>-4.415351546691169</v>
      </c>
      <c r="BY77" s="25">
        <f t="shared" si="223"/>
        <v>-3.4481061433520885</v>
      </c>
      <c r="BZ77" s="26"/>
      <c r="CA77" s="84">
        <f>-SUMIFS('Monthly P&amp;L'!$E:$E,'Monthly P&amp;L'!$A:$A,$C77)/1000</f>
        <v>-25.300699999999999</v>
      </c>
      <c r="CB77" s="25">
        <f t="shared" si="189"/>
        <v>-7.091969999999999</v>
      </c>
      <c r="CC77" s="25">
        <f t="shared" si="190"/>
        <v>0</v>
      </c>
      <c r="CD77" s="25">
        <f t="shared" ref="CD77:CF77" si="224">SUMIFS($D77:$BZ77,$D$3:$BZ$3,CD$2)</f>
        <v>-43.711786319655154</v>
      </c>
      <c r="CE77" s="25">
        <f t="shared" si="224"/>
        <v>-47.639833705383019</v>
      </c>
      <c r="CF77" s="25">
        <f t="shared" si="224"/>
        <v>-51.90950144547282</v>
      </c>
      <c r="CH77" s="120">
        <f t="shared" ref="CH77:CJ77" si="225">$CO77</f>
        <v>0.1164511554708532</v>
      </c>
      <c r="CI77" s="120">
        <f t="shared" si="225"/>
        <v>0.1164511554708532</v>
      </c>
      <c r="CJ77" s="120">
        <f t="shared" si="225"/>
        <v>0.1164511554708532</v>
      </c>
      <c r="CL77" s="69">
        <f>IFERROR(CC77/SUM(CC70:CC73,CC74:CC76,CC78),0)</f>
        <v>0</v>
      </c>
      <c r="CN77" s="84">
        <f>-SUMIFS('FY25 By Venue Financials'!$J:$J,'FY25 By Venue Financials'!$A:$A,$C77)</f>
        <v>-1111.9101799999999</v>
      </c>
      <c r="CO77" s="69">
        <f>CN77/SUM(CN70:CN73,CN74:CN76,CN78)</f>
        <v>0.1164511554708532</v>
      </c>
      <c r="CQ77" s="71" t="s">
        <v>161</v>
      </c>
      <c r="CR77" s="71" t="s">
        <v>141</v>
      </c>
      <c r="CU77" s="25">
        <f t="shared" ref="CU77:CX77" si="226">SUMIFS($D77:$BZ77,$D$1:$BZ$1,CU$9)</f>
        <v>-26.506219893385992</v>
      </c>
      <c r="CV77" s="25">
        <f t="shared" si="226"/>
        <v>-46.66579481761611</v>
      </c>
      <c r="CW77" s="25">
        <f t="shared" si="226"/>
        <v>-50.161783255695454</v>
      </c>
      <c r="CX77" s="25">
        <f t="shared" si="226"/>
        <v>-51.909501445472813</v>
      </c>
    </row>
    <row r="78" spans="3:102" ht="15.75" customHeight="1">
      <c r="C78" s="8" t="s">
        <v>162</v>
      </c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>
        <f>-SUMIFS('Monthly P&amp;L'!H:H,'Monthly P&amp;L'!$A:$A,$C78)/1000</f>
        <v>-24.18769</v>
      </c>
      <c r="Q78" s="84">
        <f>-SUMIFS('Monthly P&amp;L'!I:I,'Monthly P&amp;L'!$A:$A,$C78)/1000</f>
        <v>-11.93135</v>
      </c>
      <c r="R78" s="84">
        <f>-SUMIFS('Monthly P&amp;L'!J:J,'Monthly P&amp;L'!$A:$A,$C78)/1000</f>
        <v>-13.75441</v>
      </c>
      <c r="S78" s="84">
        <f>-SUMIFS('Monthly P&amp;L'!K:K,'Monthly P&amp;L'!$A:$A,$C78)/1000</f>
        <v>-20.904259999999997</v>
      </c>
      <c r="T78" s="84">
        <f>-SUMIFS('Monthly P&amp;L'!L:L,'Monthly P&amp;L'!$A:$A,$C78)/1000</f>
        <v>-22.70429</v>
      </c>
      <c r="U78" s="84">
        <f>-SUMIFS('Monthly P&amp;L'!M:M,'Monthly P&amp;L'!$A:$A,$C78)/1000</f>
        <v>-29.670849999999998</v>
      </c>
      <c r="V78" s="84">
        <f>-SUMIFS('Monthly P&amp;L'!N:N,'Monthly P&amp;L'!$A:$A,$C78)/1000</f>
        <v>-33.719780000000007</v>
      </c>
      <c r="W78" s="84">
        <f>-SUMIFS('Monthly P&amp;L'!O:O,'Monthly P&amp;L'!$A:$A,$C78)/1000</f>
        <v>-28.894449999999996</v>
      </c>
      <c r="X78" s="84">
        <f>-SUMIFS('Monthly P&amp;L'!P:P,'Monthly P&amp;L'!$A:$A,$C78)/1000</f>
        <v>-27.680610000000001</v>
      </c>
      <c r="Y78" s="84">
        <f>-SUMIFS('Monthly P&amp;L'!Q:Q,'Monthly P&amp;L'!$A:$A,$C78)/1000</f>
        <v>-45.938330000000001</v>
      </c>
      <c r="Z78" s="84">
        <f>-SUMIFS('Monthly P&amp;L'!R:R,'Monthly P&amp;L'!$A:$A,$C78)/1000</f>
        <v>-18.86054</v>
      </c>
      <c r="AA78" s="84">
        <f>-SUMIFS('Monthly P&amp;L'!S:S,'Monthly P&amp;L'!$A:$A,$C78)/1000</f>
        <v>-16.228360000000002</v>
      </c>
      <c r="AB78" s="84">
        <f>-SUMIFS('Monthly P&amp;L'!T:T,'Monthly P&amp;L'!$A:$A,$C78)/1000</f>
        <v>-19.681219999999996</v>
      </c>
      <c r="AC78" s="84">
        <f>-SUMIFS('Monthly P&amp;L'!U:U,'Monthly P&amp;L'!$A:$A,$C78)/1000</f>
        <v>-22.220980000000001</v>
      </c>
      <c r="AD78" s="84">
        <f>-SUMIFS('Monthly P&amp;L'!V:V,'Monthly P&amp;L'!$A:$A,$C78)/1000</f>
        <v>-25.70476</v>
      </c>
      <c r="AE78" s="84">
        <f>-SUMIFS('Monthly P&amp;L'!W:W,'Monthly P&amp;L'!$A:$A,$C78)/1000</f>
        <v>-29.384679999999999</v>
      </c>
      <c r="AF78" s="117">
        <f>-SUMIFS('Monthly P&amp;L'!X:X,'Monthly P&amp;L'!$A:$A,$C78)/1000*2</f>
        <v>-27.295240000000003</v>
      </c>
      <c r="AG78" s="26"/>
      <c r="AH78" s="25">
        <f t="shared" ref="AH78:BQ78" si="227">SUMIFS($CD78:$CF78,$CD$2:$CF$2,AH$3)*AH$36</f>
        <v>-0.19411548697720707</v>
      </c>
      <c r="AI78" s="25">
        <f t="shared" si="227"/>
        <v>-0.16176290581433922</v>
      </c>
      <c r="AJ78" s="25">
        <f t="shared" si="227"/>
        <v>-0.24264435872150886</v>
      </c>
      <c r="AK78" s="25">
        <f t="shared" si="227"/>
        <v>-0.30734952104724456</v>
      </c>
      <c r="AL78" s="25">
        <f t="shared" si="227"/>
        <v>-0.38823097395441414</v>
      </c>
      <c r="AM78" s="25">
        <f t="shared" si="227"/>
        <v>-0.19411548697720707</v>
      </c>
      <c r="AN78" s="25">
        <f t="shared" si="227"/>
        <v>-8.088145290716961E-2</v>
      </c>
      <c r="AO78" s="25">
        <f t="shared" si="227"/>
        <v>0</v>
      </c>
      <c r="AP78" s="25">
        <f t="shared" si="227"/>
        <v>0</v>
      </c>
      <c r="AQ78" s="25">
        <f t="shared" si="227"/>
        <v>-9.7057743488603535E-2</v>
      </c>
      <c r="AR78" s="25">
        <f t="shared" si="227"/>
        <v>-0.32352581162867844</v>
      </c>
      <c r="AS78" s="25">
        <f t="shared" si="227"/>
        <v>-0.4367598456987159</v>
      </c>
      <c r="AT78" s="25">
        <f t="shared" si="227"/>
        <v>-0.37136112891844514</v>
      </c>
      <c r="AU78" s="25">
        <f t="shared" si="227"/>
        <v>-0.20631173828802507</v>
      </c>
      <c r="AV78" s="25">
        <f t="shared" si="227"/>
        <v>-0.33009878126084014</v>
      </c>
      <c r="AW78" s="25">
        <f t="shared" si="227"/>
        <v>-0.43325465040485267</v>
      </c>
      <c r="AX78" s="25">
        <f t="shared" si="227"/>
        <v>-0.49514817189126015</v>
      </c>
      <c r="AY78" s="25">
        <f t="shared" si="227"/>
        <v>-0.28883643360323508</v>
      </c>
      <c r="AZ78" s="25">
        <f t="shared" si="227"/>
        <v>-0.12378704297281504</v>
      </c>
      <c r="BA78" s="25">
        <f t="shared" si="227"/>
        <v>0</v>
      </c>
      <c r="BB78" s="25">
        <f t="shared" si="227"/>
        <v>0</v>
      </c>
      <c r="BC78" s="25">
        <f t="shared" si="227"/>
        <v>-0.16504939063042007</v>
      </c>
      <c r="BD78" s="25">
        <f t="shared" si="227"/>
        <v>-0.39199230274724761</v>
      </c>
      <c r="BE78" s="25">
        <f t="shared" si="227"/>
        <v>-0.49514817189126015</v>
      </c>
      <c r="BF78" s="25">
        <f t="shared" si="227"/>
        <v>-0.52477221229150128</v>
      </c>
      <c r="BG78" s="25">
        <f t="shared" si="227"/>
        <v>-0.27619590120605331</v>
      </c>
      <c r="BH78" s="25">
        <f t="shared" si="227"/>
        <v>-0.46953303205029062</v>
      </c>
      <c r="BI78" s="25">
        <f t="shared" si="227"/>
        <v>-0.60763098265331739</v>
      </c>
      <c r="BJ78" s="25">
        <f t="shared" si="227"/>
        <v>-0.7181093431357386</v>
      </c>
      <c r="BK78" s="25">
        <f t="shared" si="227"/>
        <v>-0.41429385180907996</v>
      </c>
      <c r="BL78" s="25">
        <f t="shared" si="227"/>
        <v>-0.16571754072363198</v>
      </c>
      <c r="BM78" s="25">
        <f t="shared" si="227"/>
        <v>0</v>
      </c>
      <c r="BN78" s="25">
        <f t="shared" si="227"/>
        <v>0</v>
      </c>
      <c r="BO78" s="25">
        <f t="shared" si="227"/>
        <v>-0.24857631108544798</v>
      </c>
      <c r="BP78" s="25">
        <f t="shared" si="227"/>
        <v>-0.55239180241210661</v>
      </c>
      <c r="BQ78" s="96">
        <f t="shared" si="227"/>
        <v>-0.7181093431357386</v>
      </c>
      <c r="BR78" s="25"/>
      <c r="BS78" s="25">
        <f t="shared" ref="BS78:BY78" si="228">BF78</f>
        <v>-0.52477221229150128</v>
      </c>
      <c r="BT78" s="25">
        <f t="shared" si="228"/>
        <v>-0.27619590120605331</v>
      </c>
      <c r="BU78" s="25">
        <f t="shared" si="228"/>
        <v>-0.46953303205029062</v>
      </c>
      <c r="BV78" s="25">
        <f t="shared" si="228"/>
        <v>-0.60763098265331739</v>
      </c>
      <c r="BW78" s="25">
        <f t="shared" si="228"/>
        <v>-0.7181093431357386</v>
      </c>
      <c r="BX78" s="25">
        <f t="shared" si="228"/>
        <v>-0.41429385180907996</v>
      </c>
      <c r="BY78" s="25">
        <f t="shared" si="228"/>
        <v>-0.16571754072363198</v>
      </c>
      <c r="BZ78" s="26"/>
      <c r="CA78" s="84">
        <f>-SUMIFS('Monthly P&amp;L'!$E:$E,'Monthly P&amp;L'!$A:$A,$C78)/1000</f>
        <v>-301.01383000000004</v>
      </c>
      <c r="CB78" s="25">
        <f t="shared" si="189"/>
        <v>-294.47492000000005</v>
      </c>
      <c r="CC78" s="25">
        <f t="shared" si="190"/>
        <v>-320.68885000000006</v>
      </c>
      <c r="CD78" s="25">
        <f t="shared" ref="CD78:CF78" si="229">CD$55*CH78</f>
        <v>-2.4264435872150885</v>
      </c>
      <c r="CE78" s="25">
        <f t="shared" si="229"/>
        <v>-3.3009878126084011</v>
      </c>
      <c r="CF78" s="25">
        <f t="shared" si="229"/>
        <v>-4.6953303205029062</v>
      </c>
      <c r="CH78" s="120">
        <f t="shared" ref="CH78:CJ78" si="230">$CO78</f>
        <v>-1.2358283687292173E-3</v>
      </c>
      <c r="CI78" s="120">
        <f t="shared" si="230"/>
        <v>-1.2358283687292173E-3</v>
      </c>
      <c r="CJ78" s="120">
        <f t="shared" si="230"/>
        <v>-1.2358283687292173E-3</v>
      </c>
      <c r="CL78" s="69">
        <f>IFERROR(CC78/CC$55,0)</f>
        <v>-0.24172288181622495</v>
      </c>
      <c r="CN78" s="84">
        <f>-SUMIFS('FY25 By Venue Financials'!$J:$J,'FY25 By Venue Financials'!$A:$A,$C78)</f>
        <v>-44.800380000000004</v>
      </c>
      <c r="CO78" s="69">
        <f>IFERROR(CN78/CN$55,0)</f>
        <v>-1.2358283687292173E-3</v>
      </c>
      <c r="CQ78" s="71" t="s">
        <v>138</v>
      </c>
      <c r="CR78" s="71" t="s">
        <v>113</v>
      </c>
      <c r="CU78" s="25">
        <f t="shared" ref="CU78:CX78" si="231">SUMIFS($D78:$BZ78,$D$1:$BZ$1,CU$9)</f>
        <v>-125.85598018639909</v>
      </c>
      <c r="CV78" s="25">
        <f t="shared" si="231"/>
        <v>-3.1061413481554716</v>
      </c>
      <c r="CW78" s="25">
        <f t="shared" si="231"/>
        <v>-4.2284427291385409</v>
      </c>
      <c r="CX78" s="25">
        <f t="shared" si="231"/>
        <v>-4.6953303205029062</v>
      </c>
    </row>
    <row r="79" spans="3:102" ht="4.5" customHeight="1">
      <c r="C79" s="8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26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5"/>
      <c r="BR79" s="84"/>
      <c r="BS79" s="84"/>
      <c r="BT79" s="84"/>
      <c r="BU79" s="84"/>
      <c r="BV79" s="84"/>
      <c r="BW79" s="84"/>
      <c r="BX79" s="84"/>
      <c r="BY79" s="84"/>
      <c r="BZ79" s="26"/>
      <c r="CA79" s="84"/>
      <c r="CB79" s="25"/>
      <c r="CC79" s="25"/>
      <c r="CD79" s="25"/>
      <c r="CE79" s="25"/>
      <c r="CF79" s="25"/>
      <c r="CH79" s="69"/>
      <c r="CI79" s="69"/>
      <c r="CJ79" s="69"/>
      <c r="CL79" s="69"/>
      <c r="CN79" s="25"/>
      <c r="CO79" s="69"/>
      <c r="CQ79" s="71"/>
      <c r="CR79" s="71"/>
      <c r="CU79" s="25"/>
      <c r="CV79" s="25"/>
      <c r="CW79" s="25"/>
      <c r="CX79" s="25"/>
    </row>
    <row r="80" spans="3:102" ht="15.75" customHeight="1">
      <c r="C80" s="127" t="s">
        <v>163</v>
      </c>
      <c r="D80" s="134">
        <f t="shared" ref="D80:AF80" si="232">SUM(D70:D79)</f>
        <v>0</v>
      </c>
      <c r="E80" s="134">
        <f t="shared" si="232"/>
        <v>0</v>
      </c>
      <c r="F80" s="134">
        <f t="shared" si="232"/>
        <v>0</v>
      </c>
      <c r="G80" s="134">
        <f t="shared" si="232"/>
        <v>0</v>
      </c>
      <c r="H80" s="134">
        <f t="shared" si="232"/>
        <v>0</v>
      </c>
      <c r="I80" s="134">
        <f t="shared" si="232"/>
        <v>0</v>
      </c>
      <c r="J80" s="134">
        <f t="shared" si="232"/>
        <v>0</v>
      </c>
      <c r="K80" s="134">
        <f t="shared" si="232"/>
        <v>0</v>
      </c>
      <c r="L80" s="134">
        <f t="shared" si="232"/>
        <v>0</v>
      </c>
      <c r="M80" s="134">
        <f t="shared" si="232"/>
        <v>0</v>
      </c>
      <c r="N80" s="134">
        <f t="shared" si="232"/>
        <v>0</v>
      </c>
      <c r="O80" s="134">
        <f t="shared" si="232"/>
        <v>0</v>
      </c>
      <c r="P80" s="134">
        <f t="shared" si="232"/>
        <v>-30.47165</v>
      </c>
      <c r="Q80" s="134">
        <f t="shared" si="232"/>
        <v>-16.327199999999998</v>
      </c>
      <c r="R80" s="134">
        <f t="shared" si="232"/>
        <v>-17.505879999999998</v>
      </c>
      <c r="S80" s="134">
        <f t="shared" si="232"/>
        <v>-29.262309999999999</v>
      </c>
      <c r="T80" s="134">
        <f t="shared" si="232"/>
        <v>-34.816130000000001</v>
      </c>
      <c r="U80" s="134">
        <f t="shared" si="232"/>
        <v>-42.64611</v>
      </c>
      <c r="V80" s="134">
        <f t="shared" si="232"/>
        <v>-44.146690000000007</v>
      </c>
      <c r="W80" s="134">
        <f t="shared" si="232"/>
        <v>-34.253769999999996</v>
      </c>
      <c r="X80" s="134">
        <f t="shared" si="232"/>
        <v>-36.148090000000003</v>
      </c>
      <c r="Y80" s="134">
        <f t="shared" si="232"/>
        <v>-58.497280000000003</v>
      </c>
      <c r="Z80" s="134">
        <f t="shared" si="232"/>
        <v>-32.446039999999996</v>
      </c>
      <c r="AA80" s="134">
        <f t="shared" si="232"/>
        <v>-23.226760000000002</v>
      </c>
      <c r="AB80" s="134">
        <f t="shared" si="232"/>
        <v>-22.019459999999995</v>
      </c>
      <c r="AC80" s="134">
        <f t="shared" si="232"/>
        <v>-22.220980000000001</v>
      </c>
      <c r="AD80" s="134">
        <f t="shared" si="232"/>
        <v>-26.66976</v>
      </c>
      <c r="AE80" s="134">
        <f t="shared" si="232"/>
        <v>-38.705119999999994</v>
      </c>
      <c r="AF80" s="134">
        <f t="shared" si="232"/>
        <v>-46.341560000000001</v>
      </c>
      <c r="AG80" s="123"/>
      <c r="AH80" s="134">
        <f t="shared" ref="AH80:BQ80" si="233">SUM(AH70:AH79)</f>
        <v>-34.41466741137355</v>
      </c>
      <c r="AI80" s="134">
        <f t="shared" si="233"/>
        <v>-32.380793440762538</v>
      </c>
      <c r="AJ80" s="134">
        <f t="shared" si="233"/>
        <v>-37.465478367290068</v>
      </c>
      <c r="AK80" s="134">
        <f t="shared" si="233"/>
        <v>-41.533226308512099</v>
      </c>
      <c r="AL80" s="134">
        <f t="shared" si="233"/>
        <v>-46.617911235039635</v>
      </c>
      <c r="AM80" s="134">
        <f t="shared" si="233"/>
        <v>-34.41466741137355</v>
      </c>
      <c r="AN80" s="134">
        <f t="shared" si="233"/>
        <v>-27.296108514235005</v>
      </c>
      <c r="AO80" s="134">
        <f t="shared" si="233"/>
        <v>-22.211423587707465</v>
      </c>
      <c r="AP80" s="134">
        <f t="shared" si="233"/>
        <v>-22.211423587707465</v>
      </c>
      <c r="AQ80" s="134">
        <f t="shared" si="233"/>
        <v>-28.313045499540507</v>
      </c>
      <c r="AR80" s="134">
        <f t="shared" si="233"/>
        <v>-42.550163293817604</v>
      </c>
      <c r="AS80" s="134">
        <f t="shared" si="233"/>
        <v>-49.668722190956146</v>
      </c>
      <c r="AT80" s="134">
        <f t="shared" si="233"/>
        <v>-42.831510545296162</v>
      </c>
      <c r="AU80" s="134">
        <f t="shared" si="233"/>
        <v>-34.654201834710406</v>
      </c>
      <c r="AV80" s="134">
        <f t="shared" si="233"/>
        <v>-40.787183367649718</v>
      </c>
      <c r="AW80" s="134">
        <f t="shared" si="233"/>
        <v>-45.898001311765817</v>
      </c>
      <c r="AX80" s="134">
        <f t="shared" si="233"/>
        <v>-48.964492078235473</v>
      </c>
      <c r="AY80" s="134">
        <f t="shared" si="233"/>
        <v>-38.74285619000328</v>
      </c>
      <c r="AZ80" s="134">
        <f t="shared" si="233"/>
        <v>-30.565547479417528</v>
      </c>
      <c r="BA80" s="134">
        <f t="shared" si="233"/>
        <v>-24.432565946478217</v>
      </c>
      <c r="BB80" s="134">
        <f t="shared" si="233"/>
        <v>-24.432565946478217</v>
      </c>
      <c r="BC80" s="134">
        <f t="shared" si="233"/>
        <v>-32.609874657063976</v>
      </c>
      <c r="BD80" s="134">
        <f t="shared" si="233"/>
        <v>-43.85367413411938</v>
      </c>
      <c r="BE80" s="134">
        <f t="shared" si="233"/>
        <v>-48.964492078235473</v>
      </c>
      <c r="BF80" s="134">
        <f t="shared" si="233"/>
        <v>-46.45271212723943</v>
      </c>
      <c r="BG80" s="134">
        <f t="shared" si="233"/>
        <v>-37.179448639080448</v>
      </c>
      <c r="BH80" s="134">
        <f t="shared" si="233"/>
        <v>-44.391986907648544</v>
      </c>
      <c r="BI80" s="134">
        <f t="shared" si="233"/>
        <v>-49.543799956625747</v>
      </c>
      <c r="BJ80" s="134">
        <f t="shared" si="233"/>
        <v>-53.665250395807504</v>
      </c>
      <c r="BK80" s="134">
        <f t="shared" si="233"/>
        <v>-42.331261688057658</v>
      </c>
      <c r="BL80" s="134">
        <f t="shared" si="233"/>
        <v>-33.057998199898684</v>
      </c>
      <c r="BM80" s="134">
        <f t="shared" si="233"/>
        <v>-26.875822541126038</v>
      </c>
      <c r="BN80" s="134">
        <f t="shared" si="233"/>
        <v>-26.875822541126038</v>
      </c>
      <c r="BO80" s="134">
        <f t="shared" si="233"/>
        <v>-36.149086029285016</v>
      </c>
      <c r="BP80" s="134">
        <f t="shared" si="233"/>
        <v>-47.483074737034855</v>
      </c>
      <c r="BQ80" s="135">
        <f t="shared" si="233"/>
        <v>-53.665250395807504</v>
      </c>
      <c r="BR80" s="134"/>
      <c r="BS80" s="134">
        <f t="shared" ref="BS80:BY80" si="234">SUM(BS70:BS79)</f>
        <v>-46.45271212723943</v>
      </c>
      <c r="BT80" s="134">
        <f t="shared" si="234"/>
        <v>-37.179448639080448</v>
      </c>
      <c r="BU80" s="134">
        <f t="shared" si="234"/>
        <v>-44.391986907648544</v>
      </c>
      <c r="BV80" s="134">
        <f t="shared" si="234"/>
        <v>-49.543799956625747</v>
      </c>
      <c r="BW80" s="134">
        <f t="shared" si="234"/>
        <v>-53.665250395807504</v>
      </c>
      <c r="BX80" s="134">
        <f t="shared" si="234"/>
        <v>-42.331261688057658</v>
      </c>
      <c r="BY80" s="134">
        <f t="shared" si="234"/>
        <v>-33.057998199898684</v>
      </c>
      <c r="BZ80" s="123"/>
      <c r="CA80" s="134">
        <f t="shared" ref="CA80:CF80" si="235">SUM(CA70:CA79)</f>
        <v>-452.20206000000007</v>
      </c>
      <c r="CB80" s="134">
        <f t="shared" si="235"/>
        <v>-399.74791000000005</v>
      </c>
      <c r="CC80" s="134">
        <f t="shared" si="235"/>
        <v>-415.79619000000002</v>
      </c>
      <c r="CD80" s="134">
        <f t="shared" si="235"/>
        <v>-419.07763084831566</v>
      </c>
      <c r="CE80" s="134">
        <f t="shared" si="235"/>
        <v>-456.73696556945362</v>
      </c>
      <c r="CF80" s="134">
        <f t="shared" si="235"/>
        <v>-497.67151415873752</v>
      </c>
      <c r="CG80" s="7"/>
      <c r="CH80" s="131">
        <f t="shared" ref="CH80:CJ80" si="236">IFERROR(CD80/CD$55,0)</f>
        <v>-0.21344325812107576</v>
      </c>
      <c r="CI80" s="131">
        <f t="shared" si="236"/>
        <v>-0.17099381492475432</v>
      </c>
      <c r="CJ80" s="131">
        <f t="shared" si="236"/>
        <v>-0.13098898980975571</v>
      </c>
      <c r="CL80" s="131">
        <f>IFERROR(CC80/CC$55,0)</f>
        <v>-0.31341112512956593</v>
      </c>
      <c r="CN80" s="134">
        <f>SUM(CN70:CN79)</f>
        <v>-10660.206849999999</v>
      </c>
      <c r="CO80" s="131">
        <f>IFERROR(CN80/CN$55,0)</f>
        <v>-0.29406415842346706</v>
      </c>
      <c r="CP80" s="7"/>
      <c r="CQ80" s="136" t="s">
        <v>138</v>
      </c>
      <c r="CR80" s="136"/>
      <c r="CU80" s="134">
        <f t="shared" ref="CU80:CX80" si="237">SUM(CU70:CU79)</f>
        <v>-410.07973268858649</v>
      </c>
      <c r="CV80" s="134">
        <f t="shared" si="237"/>
        <v>-447.39857096680765</v>
      </c>
      <c r="CW80" s="134">
        <f t="shared" si="237"/>
        <v>-480.91563067673337</v>
      </c>
      <c r="CX80" s="134">
        <f t="shared" si="237"/>
        <v>-497.67151415873758</v>
      </c>
    </row>
    <row r="81" spans="3:102" ht="15.75" customHeight="1"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11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96"/>
      <c r="BR81" s="25"/>
      <c r="BS81" s="25"/>
      <c r="BT81" s="25"/>
      <c r="BU81" s="25"/>
      <c r="BV81" s="25"/>
      <c r="BW81" s="25"/>
      <c r="BX81" s="25"/>
      <c r="BY81" s="25"/>
      <c r="BZ81" s="114"/>
      <c r="CA81" s="25"/>
      <c r="CB81" s="25"/>
      <c r="CC81" s="25"/>
      <c r="CD81" s="25"/>
      <c r="CE81" s="25"/>
      <c r="CF81" s="25"/>
      <c r="CH81" s="69"/>
      <c r="CI81" s="69"/>
      <c r="CJ81" s="69"/>
      <c r="CL81" s="69"/>
      <c r="CN81" s="25"/>
      <c r="CO81" s="69"/>
      <c r="CQ81" s="71"/>
      <c r="CR81" s="71"/>
      <c r="CU81" s="25"/>
      <c r="CV81" s="25"/>
      <c r="CW81" s="25"/>
      <c r="CX81" s="25"/>
    </row>
    <row r="82" spans="3:102" ht="15.75" customHeight="1">
      <c r="C82" s="50" t="s">
        <v>164</v>
      </c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11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96"/>
      <c r="BR82" s="25"/>
      <c r="BS82" s="25"/>
      <c r="BT82" s="25"/>
      <c r="BU82" s="25"/>
      <c r="BV82" s="25"/>
      <c r="BW82" s="25"/>
      <c r="BX82" s="25"/>
      <c r="BY82" s="25"/>
      <c r="BZ82" s="114"/>
      <c r="CA82" s="25"/>
      <c r="CB82" s="25"/>
      <c r="CC82" s="25"/>
      <c r="CD82" s="25"/>
      <c r="CE82" s="25"/>
      <c r="CF82" s="25"/>
      <c r="CH82" s="69"/>
      <c r="CI82" s="69"/>
      <c r="CJ82" s="69"/>
      <c r="CL82" s="69"/>
      <c r="CN82" s="25"/>
      <c r="CO82" s="69"/>
      <c r="CQ82" s="71"/>
      <c r="CR82" s="71"/>
      <c r="CU82" s="25"/>
      <c r="CV82" s="25"/>
      <c r="CW82" s="25"/>
      <c r="CX82" s="25"/>
    </row>
    <row r="83" spans="3:102" ht="15.75" customHeight="1">
      <c r="C83" s="8" t="s">
        <v>165</v>
      </c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>
        <f>-SUMIFS('Monthly P&amp;L'!H:H,'Monthly P&amp;L'!$A:$A,$C83)/1000</f>
        <v>-2.8241499999999999</v>
      </c>
      <c r="Q83" s="84">
        <f>-SUMIFS('Monthly P&amp;L'!I:I,'Monthly P&amp;L'!$A:$A,$C83)/1000</f>
        <v>-3.8129299999999997</v>
      </c>
      <c r="R83" s="84">
        <f>-SUMIFS('Monthly P&amp;L'!J:J,'Monthly P&amp;L'!$A:$A,$C83)/1000</f>
        <v>-3.4369999999999998</v>
      </c>
      <c r="S83" s="84">
        <f>-SUMIFS('Monthly P&amp;L'!K:K,'Monthly P&amp;L'!$A:$A,$C83)/1000</f>
        <v>-2.93655</v>
      </c>
      <c r="T83" s="84">
        <f>-SUMIFS('Monthly P&amp;L'!L:L,'Monthly P&amp;L'!$A:$A,$C83)/1000</f>
        <v>-10.257239999999999</v>
      </c>
      <c r="U83" s="84">
        <f>-SUMIFS('Monthly P&amp;L'!M:M,'Monthly P&amp;L'!$A:$A,$C83)/1000</f>
        <v>-9.7340999999999998</v>
      </c>
      <c r="V83" s="84">
        <f>-SUMIFS('Monthly P&amp;L'!N:N,'Monthly P&amp;L'!$A:$A,$C83)/1000</f>
        <v>-3</v>
      </c>
      <c r="W83" s="84">
        <f>-SUMIFS('Monthly P&amp;L'!O:O,'Monthly P&amp;L'!$A:$A,$C83)/1000</f>
        <v>-4.8997399999999995</v>
      </c>
      <c r="X83" s="84">
        <f>-SUMIFS('Monthly P&amp;L'!P:P,'Monthly P&amp;L'!$A:$A,$C83)/1000</f>
        <v>-7.8745000000000003</v>
      </c>
      <c r="Y83" s="84">
        <f>-SUMIFS('Monthly P&amp;L'!Q:Q,'Monthly P&amp;L'!$A:$A,$C83)/1000</f>
        <v>-1.3502799999999999</v>
      </c>
      <c r="Z83" s="84">
        <f>-SUMIFS('Monthly P&amp;L'!R:R,'Monthly P&amp;L'!$A:$A,$C83)/1000</f>
        <v>-7.9197199999999999</v>
      </c>
      <c r="AA83" s="84">
        <f>-SUMIFS('Monthly P&amp;L'!S:S,'Monthly P&amp;L'!$A:$A,$C83)/1000</f>
        <v>-3.7992500000000002</v>
      </c>
      <c r="AB83" s="84">
        <f>-SUMIFS('Monthly P&amp;L'!T:T,'Monthly P&amp;L'!$A:$A,$C83)/1000</f>
        <v>-1.96299</v>
      </c>
      <c r="AC83" s="84">
        <f>-SUMIFS('Monthly P&amp;L'!U:U,'Monthly P&amp;L'!$A:$A,$C83)/1000</f>
        <v>-0.1</v>
      </c>
      <c r="AD83" s="84">
        <f>-SUMIFS('Monthly P&amp;L'!V:V,'Monthly P&amp;L'!$A:$A,$C83)/1000</f>
        <v>-2.6566199999999998</v>
      </c>
      <c r="AE83" s="84">
        <f>-SUMIFS('Monthly P&amp;L'!W:W,'Monthly P&amp;L'!$A:$A,$C83)/1000</f>
        <v>0</v>
      </c>
      <c r="AF83" s="117">
        <f>-SUMIFS('Monthly P&amp;L'!X:X,'Monthly P&amp;L'!$A:$A,$C83)/1000*2</f>
        <v>0</v>
      </c>
      <c r="AG83" s="26"/>
      <c r="AH83" s="25">
        <f t="shared" ref="AH83:BQ83" si="238">SUMIFS($CD83:$CF83,$CD$2:$CF$2,AH$3)/12</f>
        <v>-7.5861433752197192</v>
      </c>
      <c r="AI83" s="25">
        <f t="shared" si="238"/>
        <v>-7.5861433752197192</v>
      </c>
      <c r="AJ83" s="25">
        <f t="shared" si="238"/>
        <v>-7.5861433752197192</v>
      </c>
      <c r="AK83" s="25">
        <f t="shared" si="238"/>
        <v>-7.5861433752197192</v>
      </c>
      <c r="AL83" s="25">
        <f t="shared" si="238"/>
        <v>-7.5861433752197192</v>
      </c>
      <c r="AM83" s="25">
        <f t="shared" si="238"/>
        <v>-7.5861433752197192</v>
      </c>
      <c r="AN83" s="25">
        <f t="shared" si="238"/>
        <v>-7.5861433752197192</v>
      </c>
      <c r="AO83" s="25">
        <f t="shared" si="238"/>
        <v>-7.5861433752197192</v>
      </c>
      <c r="AP83" s="25">
        <f t="shared" si="238"/>
        <v>-7.5861433752197192</v>
      </c>
      <c r="AQ83" s="25">
        <f t="shared" si="238"/>
        <v>-7.5861433752197192</v>
      </c>
      <c r="AR83" s="25">
        <f t="shared" si="238"/>
        <v>-7.5861433752197192</v>
      </c>
      <c r="AS83" s="25">
        <f t="shared" si="238"/>
        <v>-7.5861433752197192</v>
      </c>
      <c r="AT83" s="25">
        <f t="shared" si="238"/>
        <v>-10.320358139890462</v>
      </c>
      <c r="AU83" s="25">
        <f t="shared" si="238"/>
        <v>-10.320358139890462</v>
      </c>
      <c r="AV83" s="25">
        <f t="shared" si="238"/>
        <v>-10.320358139890462</v>
      </c>
      <c r="AW83" s="25">
        <f t="shared" si="238"/>
        <v>-10.320358139890462</v>
      </c>
      <c r="AX83" s="25">
        <f t="shared" si="238"/>
        <v>-10.320358139890462</v>
      </c>
      <c r="AY83" s="25">
        <f t="shared" si="238"/>
        <v>-10.320358139890462</v>
      </c>
      <c r="AZ83" s="25">
        <f t="shared" si="238"/>
        <v>-10.320358139890462</v>
      </c>
      <c r="BA83" s="25">
        <f t="shared" si="238"/>
        <v>-10.320358139890462</v>
      </c>
      <c r="BB83" s="25">
        <f t="shared" si="238"/>
        <v>-10.320358139890462</v>
      </c>
      <c r="BC83" s="25">
        <f t="shared" si="238"/>
        <v>-10.320358139890462</v>
      </c>
      <c r="BD83" s="25">
        <f t="shared" si="238"/>
        <v>-10.320358139890462</v>
      </c>
      <c r="BE83" s="25">
        <f t="shared" si="238"/>
        <v>-10.320358139890462</v>
      </c>
      <c r="BF83" s="25">
        <f t="shared" si="238"/>
        <v>-14.679693850304202</v>
      </c>
      <c r="BG83" s="25">
        <f t="shared" si="238"/>
        <v>-14.679693850304202</v>
      </c>
      <c r="BH83" s="25">
        <f t="shared" si="238"/>
        <v>-14.679693850304202</v>
      </c>
      <c r="BI83" s="25">
        <f t="shared" si="238"/>
        <v>-14.679693850304202</v>
      </c>
      <c r="BJ83" s="25">
        <f t="shared" si="238"/>
        <v>-14.679693850304202</v>
      </c>
      <c r="BK83" s="25">
        <f t="shared" si="238"/>
        <v>-14.679693850304202</v>
      </c>
      <c r="BL83" s="25">
        <f t="shared" si="238"/>
        <v>-14.679693850304202</v>
      </c>
      <c r="BM83" s="25">
        <f t="shared" si="238"/>
        <v>-14.679693850304202</v>
      </c>
      <c r="BN83" s="25">
        <f t="shared" si="238"/>
        <v>-14.679693850304202</v>
      </c>
      <c r="BO83" s="25">
        <f t="shared" si="238"/>
        <v>-14.679693850304202</v>
      </c>
      <c r="BP83" s="25">
        <f t="shared" si="238"/>
        <v>-14.679693850304202</v>
      </c>
      <c r="BQ83" s="96">
        <f t="shared" si="238"/>
        <v>-14.679693850304202</v>
      </c>
      <c r="BR83" s="25"/>
      <c r="BS83" s="25">
        <f t="shared" ref="BS83:BY83" si="239">BF83</f>
        <v>-14.679693850304202</v>
      </c>
      <c r="BT83" s="25">
        <f t="shared" si="239"/>
        <v>-14.679693850304202</v>
      </c>
      <c r="BU83" s="25">
        <f t="shared" si="239"/>
        <v>-14.679693850304202</v>
      </c>
      <c r="BV83" s="25">
        <f t="shared" si="239"/>
        <v>-14.679693850304202</v>
      </c>
      <c r="BW83" s="25">
        <f t="shared" si="239"/>
        <v>-14.679693850304202</v>
      </c>
      <c r="BX83" s="25">
        <f t="shared" si="239"/>
        <v>-14.679693850304202</v>
      </c>
      <c r="BY83" s="25">
        <f t="shared" si="239"/>
        <v>-14.679693850304202</v>
      </c>
      <c r="BZ83" s="26"/>
      <c r="CA83" s="84">
        <f>-SUMIFS('Monthly P&amp;L'!$E:$E,'Monthly P&amp;L'!$A:$A,$C83)/1000</f>
        <v>-47.546559999999999</v>
      </c>
      <c r="CB83" s="25">
        <f t="shared" ref="CB83:CB97" si="240">SUMIFS($D83:$AF83,$D$1:$AF$1,CB$2)</f>
        <v>-61.845459999999996</v>
      </c>
      <c r="CC83" s="25">
        <f t="shared" ref="CC83:CC97" si="241">SUMIFS($P83:$AF83,$P$3:$AF$3,$CC$2)</f>
        <v>-53.554439999999992</v>
      </c>
      <c r="CD83" s="25">
        <f t="shared" ref="CD83:CF83" si="242">CD$55*CH83</f>
        <v>-91.033720502636626</v>
      </c>
      <c r="CE83" s="25">
        <f t="shared" si="242"/>
        <v>-123.84429767868555</v>
      </c>
      <c r="CF83" s="25">
        <f t="shared" si="242"/>
        <v>-176.15632620365042</v>
      </c>
      <c r="CH83" s="120">
        <f t="shared" ref="CH83:CJ83" si="243">$CO83</f>
        <v>-4.6364998923072984E-2</v>
      </c>
      <c r="CI83" s="120">
        <f t="shared" si="243"/>
        <v>-4.6364998923072984E-2</v>
      </c>
      <c r="CJ83" s="120">
        <f t="shared" si="243"/>
        <v>-4.6364998923072984E-2</v>
      </c>
      <c r="CL83" s="69">
        <f>IFERROR(CC83/CC$55,0)</f>
        <v>-4.0367270551670588E-2</v>
      </c>
      <c r="CN83" s="84">
        <f>-SUMIFS('FY25 By Venue Financials'!$J:$J,'FY25 By Venue Financials'!$A:$A,$C83)</f>
        <v>-1680.7913000000001</v>
      </c>
      <c r="CO83" s="69">
        <f>IFERROR(CN83/CN$55,0)</f>
        <v>-4.6364998923072984E-2</v>
      </c>
      <c r="CQ83" s="71" t="s">
        <v>138</v>
      </c>
      <c r="CR83" s="71" t="s">
        <v>156</v>
      </c>
      <c r="CU83" s="25">
        <f t="shared" ref="CU83:CX83" si="244">SUMIFS($D83:$BZ83,$D$1:$BZ$1,CU$9)</f>
        <v>-57.822613626538036</v>
      </c>
      <c r="CV83" s="25">
        <f t="shared" si="244"/>
        <v>-110.17322385533181</v>
      </c>
      <c r="CW83" s="25">
        <f t="shared" si="244"/>
        <v>-154.35964765158172</v>
      </c>
      <c r="CX83" s="25">
        <f t="shared" si="244"/>
        <v>-176.15632620365042</v>
      </c>
    </row>
    <row r="84" spans="3:102" ht="15.75" customHeight="1">
      <c r="C84" s="8" t="s">
        <v>166</v>
      </c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>
        <f>-SUMIFS('Monthly P&amp;L'!H:H,'Monthly P&amp;L'!$A:$A,$C84)/1000</f>
        <v>-10.18896</v>
      </c>
      <c r="Q84" s="84">
        <f>-SUMIFS('Monthly P&amp;L'!I:I,'Monthly P&amp;L'!$A:$A,$C84)/1000</f>
        <v>-5.61409</v>
      </c>
      <c r="R84" s="84">
        <f>-SUMIFS('Monthly P&amp;L'!J:J,'Monthly P&amp;L'!$A:$A,$C84)/1000</f>
        <v>-9.5050000000000008</v>
      </c>
      <c r="S84" s="84">
        <f>-SUMIFS('Monthly P&amp;L'!K:K,'Monthly P&amp;L'!$A:$A,$C84)/1000</f>
        <v>-8.1</v>
      </c>
      <c r="T84" s="84">
        <f>-SUMIFS('Monthly P&amp;L'!L:L,'Monthly P&amp;L'!$A:$A,$C84)/1000</f>
        <v>-6.49282</v>
      </c>
      <c r="U84" s="84">
        <f>-SUMIFS('Monthly P&amp;L'!M:M,'Monthly P&amp;L'!$A:$A,$C84)/1000</f>
        <v>-3.8340199999999998</v>
      </c>
      <c r="V84" s="84">
        <f>-SUMIFS('Monthly P&amp;L'!N:N,'Monthly P&amp;L'!$A:$A,$C84)/1000</f>
        <v>-1.35168</v>
      </c>
      <c r="W84" s="84">
        <f>-SUMIFS('Monthly P&amp;L'!O:O,'Monthly P&amp;L'!$A:$A,$C84)/1000</f>
        <v>-6.9037100000000002</v>
      </c>
      <c r="X84" s="84">
        <f>-SUMIFS('Monthly P&amp;L'!P:P,'Monthly P&amp;L'!$A:$A,$C84)/1000</f>
        <v>-2.2040199999999999</v>
      </c>
      <c r="Y84" s="84">
        <f>-SUMIFS('Monthly P&amp;L'!Q:Q,'Monthly P&amp;L'!$A:$A,$C84)/1000</f>
        <v>-4.70167</v>
      </c>
      <c r="Z84" s="84">
        <f>-SUMIFS('Monthly P&amp;L'!R:R,'Monthly P&amp;L'!$A:$A,$C84)/1000</f>
        <v>-15.077549999999999</v>
      </c>
      <c r="AA84" s="84">
        <f>-SUMIFS('Monthly P&amp;L'!S:S,'Monthly P&amp;L'!$A:$A,$C84)/1000</f>
        <v>-7.6568600000000009</v>
      </c>
      <c r="AB84" s="84">
        <f>-SUMIFS('Monthly P&amp;L'!T:T,'Monthly P&amp;L'!$A:$A,$C84)/1000</f>
        <v>-3.6780500000000003</v>
      </c>
      <c r="AC84" s="84">
        <f>-SUMIFS('Monthly P&amp;L'!U:U,'Monthly P&amp;L'!$A:$A,$C84)/1000</f>
        <v>-16.77975</v>
      </c>
      <c r="AD84" s="84">
        <f>-SUMIFS('Monthly P&amp;L'!V:V,'Monthly P&amp;L'!$A:$A,$C84)/1000</f>
        <v>-13.813610000000001</v>
      </c>
      <c r="AE84" s="84">
        <f>-SUMIFS('Monthly P&amp;L'!W:W,'Monthly P&amp;L'!$A:$A,$C84)/1000</f>
        <v>-1.389</v>
      </c>
      <c r="AF84" s="117">
        <f>-SUMIFS('Monthly P&amp;L'!X:X,'Monthly P&amp;L'!$A:$A,$C84)/1000*2</f>
        <v>-11.457840000000001</v>
      </c>
      <c r="AG84" s="26"/>
      <c r="AH84" s="25">
        <f t="shared" ref="AH84:BQ84" si="245">SUMIFS($CD84:$CF84,$CD$2:$CF$2,AH$3)/12</f>
        <v>-4.002039122137405</v>
      </c>
      <c r="AI84" s="25">
        <f t="shared" si="245"/>
        <v>-4.002039122137405</v>
      </c>
      <c r="AJ84" s="25">
        <f t="shared" si="245"/>
        <v>-4.002039122137405</v>
      </c>
      <c r="AK84" s="25">
        <f t="shared" si="245"/>
        <v>-4.002039122137405</v>
      </c>
      <c r="AL84" s="25">
        <f t="shared" si="245"/>
        <v>-4.002039122137405</v>
      </c>
      <c r="AM84" s="25">
        <f t="shared" si="245"/>
        <v>-4.002039122137405</v>
      </c>
      <c r="AN84" s="25">
        <f t="shared" si="245"/>
        <v>-4.002039122137405</v>
      </c>
      <c r="AO84" s="25">
        <f t="shared" si="245"/>
        <v>-4.002039122137405</v>
      </c>
      <c r="AP84" s="25">
        <f t="shared" si="245"/>
        <v>-4.002039122137405</v>
      </c>
      <c r="AQ84" s="25">
        <f t="shared" si="245"/>
        <v>-4.002039122137405</v>
      </c>
      <c r="AR84" s="25">
        <f t="shared" si="245"/>
        <v>-4.002039122137405</v>
      </c>
      <c r="AS84" s="25">
        <f t="shared" si="245"/>
        <v>-4.002039122137405</v>
      </c>
      <c r="AT84" s="25">
        <f t="shared" si="245"/>
        <v>-4.268841730279898</v>
      </c>
      <c r="AU84" s="25">
        <f t="shared" si="245"/>
        <v>-4.268841730279898</v>
      </c>
      <c r="AV84" s="25">
        <f t="shared" si="245"/>
        <v>-4.268841730279898</v>
      </c>
      <c r="AW84" s="25">
        <f t="shared" si="245"/>
        <v>-4.268841730279898</v>
      </c>
      <c r="AX84" s="25">
        <f t="shared" si="245"/>
        <v>-4.268841730279898</v>
      </c>
      <c r="AY84" s="25">
        <f t="shared" si="245"/>
        <v>-4.268841730279898</v>
      </c>
      <c r="AZ84" s="25">
        <f t="shared" si="245"/>
        <v>-4.268841730279898</v>
      </c>
      <c r="BA84" s="25">
        <f t="shared" si="245"/>
        <v>-4.268841730279898</v>
      </c>
      <c r="BB84" s="25">
        <f t="shared" si="245"/>
        <v>-4.268841730279898</v>
      </c>
      <c r="BC84" s="25">
        <f t="shared" si="245"/>
        <v>-4.268841730279898</v>
      </c>
      <c r="BD84" s="25">
        <f t="shared" si="245"/>
        <v>-4.268841730279898</v>
      </c>
      <c r="BE84" s="25">
        <f t="shared" si="245"/>
        <v>-4.268841730279898</v>
      </c>
      <c r="BF84" s="25">
        <f t="shared" si="245"/>
        <v>-4.5356443384223919</v>
      </c>
      <c r="BG84" s="25">
        <f t="shared" si="245"/>
        <v>-4.5356443384223919</v>
      </c>
      <c r="BH84" s="25">
        <f t="shared" si="245"/>
        <v>-4.5356443384223919</v>
      </c>
      <c r="BI84" s="25">
        <f t="shared" si="245"/>
        <v>-4.5356443384223919</v>
      </c>
      <c r="BJ84" s="25">
        <f t="shared" si="245"/>
        <v>-4.5356443384223919</v>
      </c>
      <c r="BK84" s="25">
        <f t="shared" si="245"/>
        <v>-4.5356443384223919</v>
      </c>
      <c r="BL84" s="25">
        <f t="shared" si="245"/>
        <v>-4.5356443384223919</v>
      </c>
      <c r="BM84" s="25">
        <f t="shared" si="245"/>
        <v>-4.5356443384223919</v>
      </c>
      <c r="BN84" s="25">
        <f t="shared" si="245"/>
        <v>-4.5356443384223919</v>
      </c>
      <c r="BO84" s="25">
        <f t="shared" si="245"/>
        <v>-4.5356443384223919</v>
      </c>
      <c r="BP84" s="25">
        <f t="shared" si="245"/>
        <v>-4.5356443384223919</v>
      </c>
      <c r="BQ84" s="96">
        <f t="shared" si="245"/>
        <v>-4.5356443384223919</v>
      </c>
      <c r="BR84" s="25"/>
      <c r="BS84" s="25">
        <f t="shared" ref="BS84:BY84" si="246">BF84</f>
        <v>-4.5356443384223919</v>
      </c>
      <c r="BT84" s="25">
        <f t="shared" si="246"/>
        <v>-4.5356443384223919</v>
      </c>
      <c r="BU84" s="25">
        <f t="shared" si="246"/>
        <v>-4.5356443384223919</v>
      </c>
      <c r="BV84" s="25">
        <f t="shared" si="246"/>
        <v>-4.5356443384223919</v>
      </c>
      <c r="BW84" s="25">
        <f t="shared" si="246"/>
        <v>-4.5356443384223919</v>
      </c>
      <c r="BX84" s="25">
        <f t="shared" si="246"/>
        <v>-4.5356443384223919</v>
      </c>
      <c r="BY84" s="25">
        <f t="shared" si="246"/>
        <v>-4.5356443384223919</v>
      </c>
      <c r="BZ84" s="26"/>
      <c r="CA84" s="84">
        <f>-SUMIFS('Monthly P&amp;L'!$E:$E,'Monthly P&amp;L'!$A:$A,$C84)/1000</f>
        <v>-65.596159999999998</v>
      </c>
      <c r="CB84" s="25">
        <f t="shared" si="240"/>
        <v>-81.630380000000002</v>
      </c>
      <c r="CC84" s="25">
        <f t="shared" si="241"/>
        <v>-83.882739999999998</v>
      </c>
      <c r="CD84" s="25">
        <f t="shared" ref="CD84:CF84" si="247">CH84*CD$35</f>
        <v>-48.024469465648856</v>
      </c>
      <c r="CE84" s="25">
        <f t="shared" si="247"/>
        <v>-51.226100763358779</v>
      </c>
      <c r="CF84" s="25">
        <f t="shared" si="247"/>
        <v>-54.427732061068703</v>
      </c>
      <c r="CH84" s="133">
        <f t="shared" ref="CH84:CJ84" si="248">$CL84/2</f>
        <v>-0.32016312977099237</v>
      </c>
      <c r="CI84" s="133">
        <f t="shared" si="248"/>
        <v>-0.32016312977099237</v>
      </c>
      <c r="CJ84" s="133">
        <f t="shared" si="248"/>
        <v>-0.32016312977099237</v>
      </c>
      <c r="CL84" s="10">
        <f t="shared" ref="CL84:CL85" si="249">IFERROR(CC84/CL$35,0)</f>
        <v>-0.64032625954198474</v>
      </c>
      <c r="CN84" s="84">
        <f>-SUMIFS('FY25 By Venue Financials'!$J:$J,'FY25 By Venue Financials'!$A:$A,$C84)</f>
        <v>-1322.0857499999997</v>
      </c>
      <c r="CO84" s="10">
        <f t="shared" ref="CO84:CO85" si="250">CN84/CN$35</f>
        <v>-0.81913615241635673</v>
      </c>
      <c r="CQ84" s="71" t="s">
        <v>167</v>
      </c>
      <c r="CR84" s="71" t="s">
        <v>168</v>
      </c>
      <c r="CU84" s="25">
        <f t="shared" ref="CU84:CX84" si="251">SUMIFS($D84:$BZ84,$D$1:$BZ$1,CU$9)</f>
        <v>-75.132523854961832</v>
      </c>
      <c r="CV84" s="25">
        <f t="shared" si="251"/>
        <v>-49.892087722646302</v>
      </c>
      <c r="CW84" s="25">
        <f t="shared" si="251"/>
        <v>-53.093719020356247</v>
      </c>
      <c r="CX84" s="25">
        <f t="shared" si="251"/>
        <v>-54.427732061068717</v>
      </c>
    </row>
    <row r="85" spans="3:102" ht="15.75" customHeight="1">
      <c r="C85" s="8" t="s">
        <v>169</v>
      </c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>
        <f>-SUMIFS('Monthly P&amp;L'!H:H,'Monthly P&amp;L'!$A:$A,$C85)/1000</f>
        <v>-2.4211799999999997</v>
      </c>
      <c r="Q85" s="84">
        <f>-SUMIFS('Monthly P&amp;L'!I:I,'Monthly P&amp;L'!$A:$A,$C85)/1000</f>
        <v>-0.54398000000000002</v>
      </c>
      <c r="R85" s="84">
        <f>-SUMIFS('Monthly P&amp;L'!J:J,'Monthly P&amp;L'!$A:$A,$C85)/1000</f>
        <v>-4.9040400000000002</v>
      </c>
      <c r="S85" s="84">
        <f>-SUMIFS('Monthly P&amp;L'!K:K,'Monthly P&amp;L'!$A:$A,$C85)/1000</f>
        <v>-2.81664</v>
      </c>
      <c r="T85" s="84">
        <f>-SUMIFS('Monthly P&amp;L'!L:L,'Monthly P&amp;L'!$A:$A,$C85)/1000</f>
        <v>-2.57965</v>
      </c>
      <c r="U85" s="84">
        <f>-SUMIFS('Monthly P&amp;L'!M:M,'Monthly P&amp;L'!$A:$A,$C85)/1000</f>
        <v>-1.9031300000000002</v>
      </c>
      <c r="V85" s="84">
        <f>-SUMIFS('Monthly P&amp;L'!N:N,'Monthly P&amp;L'!$A:$A,$C85)/1000</f>
        <v>-1.5696300000000001</v>
      </c>
      <c r="W85" s="84">
        <f>-SUMIFS('Monthly P&amp;L'!O:O,'Monthly P&amp;L'!$A:$A,$C85)/1000</f>
        <v>-2.6072100000000002</v>
      </c>
      <c r="X85" s="84">
        <f>-SUMIFS('Monthly P&amp;L'!P:P,'Monthly P&amp;L'!$A:$A,$C85)/1000</f>
        <v>-2.03918</v>
      </c>
      <c r="Y85" s="84">
        <f>-SUMIFS('Monthly P&amp;L'!Q:Q,'Monthly P&amp;L'!$A:$A,$C85)/1000</f>
        <v>-2.0403899999999999</v>
      </c>
      <c r="Z85" s="84">
        <f>-SUMIFS('Monthly P&amp;L'!R:R,'Monthly P&amp;L'!$A:$A,$C85)/1000</f>
        <v>-2.1275900000000001</v>
      </c>
      <c r="AA85" s="84">
        <f>-SUMIFS('Monthly P&amp;L'!S:S,'Monthly P&amp;L'!$A:$A,$C85)/1000</f>
        <v>-2.1998800000000003</v>
      </c>
      <c r="AB85" s="84">
        <f>-SUMIFS('Monthly P&amp;L'!T:T,'Monthly P&amp;L'!$A:$A,$C85)/1000</f>
        <v>-2.2998999999999996</v>
      </c>
      <c r="AC85" s="84">
        <f>-SUMIFS('Monthly P&amp;L'!U:U,'Monthly P&amp;L'!$A:$A,$C85)/1000</f>
        <v>-3.5893800000000002</v>
      </c>
      <c r="AD85" s="84">
        <f>-SUMIFS('Monthly P&amp;L'!V:V,'Monthly P&amp;L'!$A:$A,$C85)/1000</f>
        <v>-3.4866400000000004</v>
      </c>
      <c r="AE85" s="84">
        <f>-SUMIFS('Monthly P&amp;L'!W:W,'Monthly P&amp;L'!$A:$A,$C85)/1000</f>
        <v>-1.7844200000000001</v>
      </c>
      <c r="AF85" s="117">
        <f>-SUMIFS('Monthly P&amp;L'!X:X,'Monthly P&amp;L'!$A:$A,$C85)/1000*2</f>
        <v>-2.7191000000000005</v>
      </c>
      <c r="AG85" s="26"/>
      <c r="AH85" s="25">
        <f t="shared" ref="AH85:BQ85" si="252">SUMIFS($CD85:$CF85,$CD$2:$CF$2,AH$3)*AH$36</f>
        <v>-2.5856793893129772</v>
      </c>
      <c r="AI85" s="25">
        <f t="shared" si="252"/>
        <v>-2.154732824427481</v>
      </c>
      <c r="AJ85" s="25">
        <f t="shared" si="252"/>
        <v>-3.2320992366412216</v>
      </c>
      <c r="AK85" s="25">
        <f t="shared" si="252"/>
        <v>-4.0939923664122144</v>
      </c>
      <c r="AL85" s="25">
        <f t="shared" si="252"/>
        <v>-5.1713587786259545</v>
      </c>
      <c r="AM85" s="25">
        <f t="shared" si="252"/>
        <v>-2.5856793893129772</v>
      </c>
      <c r="AN85" s="25">
        <f t="shared" si="252"/>
        <v>-1.0773664122137405</v>
      </c>
      <c r="AO85" s="25">
        <f t="shared" si="252"/>
        <v>0</v>
      </c>
      <c r="AP85" s="25">
        <f t="shared" si="252"/>
        <v>0</v>
      </c>
      <c r="AQ85" s="25">
        <f t="shared" si="252"/>
        <v>-1.2928396946564886</v>
      </c>
      <c r="AR85" s="25">
        <f t="shared" si="252"/>
        <v>-4.3094656488549621</v>
      </c>
      <c r="AS85" s="25">
        <f t="shared" si="252"/>
        <v>-5.8177786259541984</v>
      </c>
      <c r="AT85" s="25">
        <f t="shared" si="252"/>
        <v>-3.8785190839694659</v>
      </c>
      <c r="AU85" s="25">
        <f t="shared" si="252"/>
        <v>-2.154732824427481</v>
      </c>
      <c r="AV85" s="25">
        <f t="shared" si="252"/>
        <v>-3.4475725190839697</v>
      </c>
      <c r="AW85" s="25">
        <f t="shared" si="252"/>
        <v>-4.5249389312977106</v>
      </c>
      <c r="AX85" s="25">
        <f t="shared" si="252"/>
        <v>-5.1713587786259545</v>
      </c>
      <c r="AY85" s="25">
        <f t="shared" si="252"/>
        <v>-3.0166259541984735</v>
      </c>
      <c r="AZ85" s="25">
        <f t="shared" si="252"/>
        <v>-1.2928396946564886</v>
      </c>
      <c r="BA85" s="25">
        <f t="shared" si="252"/>
        <v>0</v>
      </c>
      <c r="BB85" s="25">
        <f t="shared" si="252"/>
        <v>0</v>
      </c>
      <c r="BC85" s="25">
        <f t="shared" si="252"/>
        <v>-1.7237862595419848</v>
      </c>
      <c r="BD85" s="25">
        <f t="shared" si="252"/>
        <v>-4.0939923664122135</v>
      </c>
      <c r="BE85" s="25">
        <f t="shared" si="252"/>
        <v>-5.1713587786259545</v>
      </c>
      <c r="BF85" s="25">
        <f t="shared" si="252"/>
        <v>-4.0939923664122144</v>
      </c>
      <c r="BG85" s="25">
        <f t="shared" si="252"/>
        <v>-2.154732824427481</v>
      </c>
      <c r="BH85" s="25">
        <f t="shared" si="252"/>
        <v>-3.6630458015267182</v>
      </c>
      <c r="BI85" s="25">
        <f t="shared" si="252"/>
        <v>-4.7404122137404592</v>
      </c>
      <c r="BJ85" s="25">
        <f t="shared" si="252"/>
        <v>-5.6023053435114516</v>
      </c>
      <c r="BK85" s="25">
        <f t="shared" si="252"/>
        <v>-3.232099236641222</v>
      </c>
      <c r="BL85" s="25">
        <f t="shared" si="252"/>
        <v>-1.2928396946564886</v>
      </c>
      <c r="BM85" s="25">
        <f t="shared" si="252"/>
        <v>0</v>
      </c>
      <c r="BN85" s="25">
        <f t="shared" si="252"/>
        <v>0</v>
      </c>
      <c r="BO85" s="25">
        <f t="shared" si="252"/>
        <v>-1.9392595419847332</v>
      </c>
      <c r="BP85" s="25">
        <f t="shared" si="252"/>
        <v>-4.3094656488549621</v>
      </c>
      <c r="BQ85" s="96">
        <f t="shared" si="252"/>
        <v>-5.6023053435114516</v>
      </c>
      <c r="BR85" s="25"/>
      <c r="BS85" s="25">
        <f t="shared" ref="BS85:BY85" si="253">BF85</f>
        <v>-4.0939923664122144</v>
      </c>
      <c r="BT85" s="25">
        <f t="shared" si="253"/>
        <v>-2.154732824427481</v>
      </c>
      <c r="BU85" s="25">
        <f t="shared" si="253"/>
        <v>-3.6630458015267182</v>
      </c>
      <c r="BV85" s="25">
        <f t="shared" si="253"/>
        <v>-4.7404122137404592</v>
      </c>
      <c r="BW85" s="25">
        <f t="shared" si="253"/>
        <v>-5.6023053435114516</v>
      </c>
      <c r="BX85" s="25">
        <f t="shared" si="253"/>
        <v>-3.232099236641222</v>
      </c>
      <c r="BY85" s="25">
        <f t="shared" si="253"/>
        <v>-1.2928396946564886</v>
      </c>
      <c r="BZ85" s="26"/>
      <c r="CA85" s="84">
        <f>-SUMIFS('Monthly P&amp;L'!$E:$E,'Monthly P&amp;L'!$A:$A,$C85)/1000</f>
        <v>-32.045569999999998</v>
      </c>
      <c r="CB85" s="25">
        <f t="shared" si="240"/>
        <v>-27.752500000000005</v>
      </c>
      <c r="CC85" s="25">
        <f t="shared" si="241"/>
        <v>-28.227</v>
      </c>
      <c r="CD85" s="25">
        <f t="shared" ref="CD85:CF85" si="254">CH85*CD$35</f>
        <v>-32.320992366412213</v>
      </c>
      <c r="CE85" s="25">
        <f t="shared" si="254"/>
        <v>-34.475725190839697</v>
      </c>
      <c r="CF85" s="25">
        <f t="shared" si="254"/>
        <v>-36.63045801526718</v>
      </c>
      <c r="CH85" s="133">
        <f t="shared" ref="CH85:CJ85" si="255">$CL$85</f>
        <v>-0.2154732824427481</v>
      </c>
      <c r="CI85" s="133">
        <f t="shared" si="255"/>
        <v>-0.2154732824427481</v>
      </c>
      <c r="CJ85" s="133">
        <f t="shared" si="255"/>
        <v>-0.2154732824427481</v>
      </c>
      <c r="CL85" s="10">
        <f t="shared" si="249"/>
        <v>-0.2154732824427481</v>
      </c>
      <c r="CN85" s="84">
        <f>-SUMIFS('FY25 By Venue Financials'!$J:$J,'FY25 By Venue Financials'!$A:$A,$C85)</f>
        <v>-1170.8024</v>
      </c>
      <c r="CO85" s="10">
        <f t="shared" si="250"/>
        <v>-0.7254042131350682</v>
      </c>
      <c r="CQ85" s="71" t="s">
        <v>167</v>
      </c>
      <c r="CR85" s="71" t="s">
        <v>156</v>
      </c>
      <c r="CU85" s="25">
        <f t="shared" ref="CU85:CX85" si="256">SUMIFS($D85:$BZ85,$D$1:$BZ$1,CU$9)</f>
        <v>-34.780348396946572</v>
      </c>
      <c r="CV85" s="25">
        <f t="shared" si="256"/>
        <v>-34.906671755725192</v>
      </c>
      <c r="CW85" s="25">
        <f t="shared" si="256"/>
        <v>-35.768564885496183</v>
      </c>
      <c r="CX85" s="25">
        <f t="shared" si="256"/>
        <v>-36.630458015267173</v>
      </c>
    </row>
    <row r="86" spans="3:102" ht="15.75" customHeight="1">
      <c r="C86" s="8" t="s">
        <v>170</v>
      </c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>
        <f>-SUMIFS('Monthly P&amp;L'!H:H,'Monthly P&amp;L'!$A:$A,$C86)/1000</f>
        <v>-1.0360400000000001</v>
      </c>
      <c r="Q86" s="84">
        <f>-SUMIFS('Monthly P&amp;L'!I:I,'Monthly P&amp;L'!$A:$A,$C86)/1000</f>
        <v>-0.5749399999999999</v>
      </c>
      <c r="R86" s="84">
        <f>-SUMIFS('Monthly P&amp;L'!J:J,'Monthly P&amp;L'!$A:$A,$C86)/1000</f>
        <v>-2.2135499999999997</v>
      </c>
      <c r="S86" s="84">
        <f>-SUMIFS('Monthly P&amp;L'!K:K,'Monthly P&amp;L'!$A:$A,$C86)/1000</f>
        <v>-0.33368000000000003</v>
      </c>
      <c r="T86" s="84">
        <f>-SUMIFS('Monthly P&amp;L'!L:L,'Monthly P&amp;L'!$A:$A,$C86)/1000</f>
        <v>-1.3215299999999999</v>
      </c>
      <c r="U86" s="84">
        <f>-SUMIFS('Monthly P&amp;L'!M:M,'Monthly P&amp;L'!$A:$A,$C86)/1000</f>
        <v>-1.3569599999999997</v>
      </c>
      <c r="V86" s="84">
        <f>-SUMIFS('Monthly P&amp;L'!N:N,'Monthly P&amp;L'!$A:$A,$C86)/1000</f>
        <v>-0.71567999999999998</v>
      </c>
      <c r="W86" s="84">
        <f>-SUMIFS('Monthly P&amp;L'!O:O,'Monthly P&amp;L'!$A:$A,$C86)/1000</f>
        <v>-0.53267999999999993</v>
      </c>
      <c r="X86" s="84">
        <f>-SUMIFS('Monthly P&amp;L'!P:P,'Monthly P&amp;L'!$A:$A,$C86)/1000</f>
        <v>-0.54174</v>
      </c>
      <c r="Y86" s="84">
        <f>-SUMIFS('Monthly P&amp;L'!Q:Q,'Monthly P&amp;L'!$A:$A,$C86)/1000</f>
        <v>-1.7825900000000001</v>
      </c>
      <c r="Z86" s="84">
        <f>-SUMIFS('Monthly P&amp;L'!R:R,'Monthly P&amp;L'!$A:$A,$C86)/1000</f>
        <v>-0.23000999999999999</v>
      </c>
      <c r="AA86" s="84">
        <f>-SUMIFS('Monthly P&amp;L'!S:S,'Monthly P&amp;L'!$A:$A,$C86)/1000</f>
        <v>-0.32500999999999997</v>
      </c>
      <c r="AB86" s="84">
        <f>-SUMIFS('Monthly P&amp;L'!T:T,'Monthly P&amp;L'!$A:$A,$C86)/1000</f>
        <v>-0.15644999999999998</v>
      </c>
      <c r="AC86" s="84">
        <f>-SUMIFS('Monthly P&amp;L'!U:U,'Monthly P&amp;L'!$A:$A,$C86)/1000</f>
        <v>-0.37672000000000005</v>
      </c>
      <c r="AD86" s="84">
        <f>-SUMIFS('Monthly P&amp;L'!V:V,'Monthly P&amp;L'!$A:$A,$C86)/1000</f>
        <v>-0.47279999999999994</v>
      </c>
      <c r="AE86" s="84">
        <f>-SUMIFS('Monthly P&amp;L'!W:W,'Monthly P&amp;L'!$A:$A,$C86)/1000</f>
        <v>-0.21817</v>
      </c>
      <c r="AF86" s="117">
        <f>-SUMIFS('Monthly P&amp;L'!X:X,'Monthly P&amp;L'!$A:$A,$C86)/1000*2</f>
        <v>-0.38218000000000002</v>
      </c>
      <c r="AG86" s="26"/>
      <c r="AH86" s="25">
        <f t="shared" ref="AH86:BQ86" si="257">SUMIFS($CD86:$CF86,$CD$2:$CF$2,AH$3)/12</f>
        <v>-1.1333785301956762</v>
      </c>
      <c r="AI86" s="25">
        <f t="shared" si="257"/>
        <v>-1.1333785301956762</v>
      </c>
      <c r="AJ86" s="25">
        <f t="shared" si="257"/>
        <v>-1.1333785301956762</v>
      </c>
      <c r="AK86" s="25">
        <f t="shared" si="257"/>
        <v>-1.1333785301956762</v>
      </c>
      <c r="AL86" s="25">
        <f t="shared" si="257"/>
        <v>-1.1333785301956762</v>
      </c>
      <c r="AM86" s="25">
        <f t="shared" si="257"/>
        <v>-1.1333785301956762</v>
      </c>
      <c r="AN86" s="25">
        <f t="shared" si="257"/>
        <v>-1.1333785301956762</v>
      </c>
      <c r="AO86" s="25">
        <f t="shared" si="257"/>
        <v>-1.1333785301956762</v>
      </c>
      <c r="AP86" s="25">
        <f t="shared" si="257"/>
        <v>-1.1333785301956762</v>
      </c>
      <c r="AQ86" s="25">
        <f t="shared" si="257"/>
        <v>-1.1333785301956762</v>
      </c>
      <c r="AR86" s="25">
        <f t="shared" si="257"/>
        <v>-1.1333785301956762</v>
      </c>
      <c r="AS86" s="25">
        <f t="shared" si="257"/>
        <v>-1.1333785301956762</v>
      </c>
      <c r="AT86" s="25">
        <f t="shared" si="257"/>
        <v>-1.5418733552927686</v>
      </c>
      <c r="AU86" s="25">
        <f t="shared" si="257"/>
        <v>-1.5418733552927686</v>
      </c>
      <c r="AV86" s="25">
        <f t="shared" si="257"/>
        <v>-1.5418733552927686</v>
      </c>
      <c r="AW86" s="25">
        <f t="shared" si="257"/>
        <v>-1.5418733552927686</v>
      </c>
      <c r="AX86" s="25">
        <f t="shared" si="257"/>
        <v>-1.5418733552927686</v>
      </c>
      <c r="AY86" s="25">
        <f t="shared" si="257"/>
        <v>-1.5418733552927686</v>
      </c>
      <c r="AZ86" s="25">
        <f t="shared" si="257"/>
        <v>-1.5418733552927686</v>
      </c>
      <c r="BA86" s="25">
        <f t="shared" si="257"/>
        <v>-1.5418733552927686</v>
      </c>
      <c r="BB86" s="25">
        <f t="shared" si="257"/>
        <v>-1.5418733552927686</v>
      </c>
      <c r="BC86" s="25">
        <f t="shared" si="257"/>
        <v>-1.5418733552927686</v>
      </c>
      <c r="BD86" s="25">
        <f t="shared" si="257"/>
        <v>-1.5418733552927686</v>
      </c>
      <c r="BE86" s="25">
        <f t="shared" si="257"/>
        <v>-1.5418733552927686</v>
      </c>
      <c r="BF86" s="25">
        <f t="shared" si="257"/>
        <v>-2.1931631155466271</v>
      </c>
      <c r="BG86" s="25">
        <f t="shared" si="257"/>
        <v>-2.1931631155466271</v>
      </c>
      <c r="BH86" s="25">
        <f t="shared" si="257"/>
        <v>-2.1931631155466271</v>
      </c>
      <c r="BI86" s="25">
        <f t="shared" si="257"/>
        <v>-2.1931631155466271</v>
      </c>
      <c r="BJ86" s="25">
        <f t="shared" si="257"/>
        <v>-2.1931631155466271</v>
      </c>
      <c r="BK86" s="25">
        <f t="shared" si="257"/>
        <v>-2.1931631155466271</v>
      </c>
      <c r="BL86" s="25">
        <f t="shared" si="257"/>
        <v>-2.1931631155466271</v>
      </c>
      <c r="BM86" s="25">
        <f t="shared" si="257"/>
        <v>-2.1931631155466271</v>
      </c>
      <c r="BN86" s="25">
        <f t="shared" si="257"/>
        <v>-2.1931631155466271</v>
      </c>
      <c r="BO86" s="25">
        <f t="shared" si="257"/>
        <v>-2.1931631155466271</v>
      </c>
      <c r="BP86" s="25">
        <f t="shared" si="257"/>
        <v>-2.1931631155466271</v>
      </c>
      <c r="BQ86" s="96">
        <f t="shared" si="257"/>
        <v>-2.1931631155466271</v>
      </c>
      <c r="BR86" s="25"/>
      <c r="BS86" s="25">
        <f t="shared" ref="BS86:BY86" si="258">BF86</f>
        <v>-2.1931631155466271</v>
      </c>
      <c r="BT86" s="25">
        <f t="shared" si="258"/>
        <v>-2.1931631155466271</v>
      </c>
      <c r="BU86" s="25">
        <f t="shared" si="258"/>
        <v>-2.1931631155466271</v>
      </c>
      <c r="BV86" s="25">
        <f t="shared" si="258"/>
        <v>-2.1931631155466271</v>
      </c>
      <c r="BW86" s="25">
        <f t="shared" si="258"/>
        <v>-2.1931631155466271</v>
      </c>
      <c r="BX86" s="25">
        <f t="shared" si="258"/>
        <v>-2.1931631155466271</v>
      </c>
      <c r="BY86" s="25">
        <f t="shared" si="258"/>
        <v>-2.1931631155466271</v>
      </c>
      <c r="BZ86" s="26"/>
      <c r="CA86" s="84">
        <f>-SUMIFS('Monthly P&amp;L'!$E:$E,'Monthly P&amp;L'!$A:$A,$C86)/1000</f>
        <v>-8.3377499999999998</v>
      </c>
      <c r="CB86" s="25">
        <f t="shared" si="240"/>
        <v>-10.964410000000001</v>
      </c>
      <c r="CC86" s="25">
        <f t="shared" si="241"/>
        <v>-8.0303400000000007</v>
      </c>
      <c r="CD86" s="25">
        <f t="shared" ref="CD86:CF86" si="259">CD$55*CH86</f>
        <v>-13.600542362348115</v>
      </c>
      <c r="CE86" s="25">
        <f t="shared" si="259"/>
        <v>-18.502480263513224</v>
      </c>
      <c r="CF86" s="25">
        <f t="shared" si="259"/>
        <v>-26.317957386559527</v>
      </c>
      <c r="CH86" s="120">
        <f t="shared" ref="CH86:CJ86" si="260">$CO86</f>
        <v>-6.9269840725142617E-3</v>
      </c>
      <c r="CI86" s="120">
        <f t="shared" si="260"/>
        <v>-6.9269840725142617E-3</v>
      </c>
      <c r="CJ86" s="120">
        <f t="shared" si="260"/>
        <v>-6.9269840725142617E-3</v>
      </c>
      <c r="CL86" s="69">
        <f t="shared" ref="CL86:CL89" si="261">IFERROR(CC86/CC$55,0)</f>
        <v>-6.0529604529876973E-3</v>
      </c>
      <c r="CN86" s="84">
        <f>-SUMIFS('FY25 By Venue Financials'!$J:$J,'FY25 By Venue Financials'!$A:$A,$C86)</f>
        <v>-251.11214999999999</v>
      </c>
      <c r="CO86" s="69">
        <f t="shared" ref="CO86:CO97" si="262">IFERROR(CN86/CN$55,0)</f>
        <v>-6.9269840725142617E-3</v>
      </c>
      <c r="CQ86" s="71" t="s">
        <v>138</v>
      </c>
      <c r="CR86" s="71" t="s">
        <v>156</v>
      </c>
      <c r="CU86" s="25">
        <f t="shared" ref="CU86:CX86" si="263">SUMIFS($D86:$BZ86,$D$1:$BZ$1,CU$9)</f>
        <v>-9.5399697113697339</v>
      </c>
      <c r="CV86" s="25">
        <f t="shared" si="263"/>
        <v>-16.460006138027762</v>
      </c>
      <c r="CW86" s="25">
        <f t="shared" si="263"/>
        <v>-23.061508585290238</v>
      </c>
      <c r="CX86" s="25">
        <f t="shared" si="263"/>
        <v>-26.317957386559531</v>
      </c>
    </row>
    <row r="87" spans="3:102" ht="15.75" customHeight="1">
      <c r="C87" s="8" t="s">
        <v>171</v>
      </c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>
        <f>-SUMIFS('Monthly P&amp;L'!H:H,'Monthly P&amp;L'!$A:$A,$C87)/1000</f>
        <v>-1.0681400000000001</v>
      </c>
      <c r="Q87" s="84">
        <f>-SUMIFS('Monthly P&amp;L'!I:I,'Monthly P&amp;L'!$A:$A,$C87)/1000</f>
        <v>-0.77200999999999997</v>
      </c>
      <c r="R87" s="84">
        <f>-SUMIFS('Monthly P&amp;L'!J:J,'Monthly P&amp;L'!$A:$A,$C87)/1000</f>
        <v>-1.6351999999999998</v>
      </c>
      <c r="S87" s="84">
        <f>-SUMIFS('Monthly P&amp;L'!K:K,'Monthly P&amp;L'!$A:$A,$C87)/1000</f>
        <v>-0.72453000000000001</v>
      </c>
      <c r="T87" s="84">
        <f>-SUMIFS('Monthly P&amp;L'!L:L,'Monthly P&amp;L'!$A:$A,$C87)/1000</f>
        <v>-0.98008999999999991</v>
      </c>
      <c r="U87" s="84">
        <f>-SUMIFS('Monthly P&amp;L'!M:M,'Monthly P&amp;L'!$A:$A,$C87)/1000</f>
        <v>-1.4254399999999998</v>
      </c>
      <c r="V87" s="84">
        <f>-SUMIFS('Monthly P&amp;L'!N:N,'Monthly P&amp;L'!$A:$A,$C87)/1000</f>
        <v>-1.0249699999999999</v>
      </c>
      <c r="W87" s="84">
        <f>-SUMIFS('Monthly P&amp;L'!O:O,'Monthly P&amp;L'!$A:$A,$C87)/1000</f>
        <v>-0.72986000000000006</v>
      </c>
      <c r="X87" s="84">
        <f>-SUMIFS('Monthly P&amp;L'!P:P,'Monthly P&amp;L'!$A:$A,$C87)/1000</f>
        <v>-0.55500000000000005</v>
      </c>
      <c r="Y87" s="84">
        <f>-SUMIFS('Monthly P&amp;L'!Q:Q,'Monthly P&amp;L'!$A:$A,$C87)/1000</f>
        <v>-1.52559</v>
      </c>
      <c r="Z87" s="84">
        <f>-SUMIFS('Monthly P&amp;L'!R:R,'Monthly P&amp;L'!$A:$A,$C87)/1000</f>
        <v>0</v>
      </c>
      <c r="AA87" s="84">
        <f>-SUMIFS('Monthly P&amp;L'!S:S,'Monthly P&amp;L'!$A:$A,$C87)/1000</f>
        <v>-2.2850700000000002</v>
      </c>
      <c r="AB87" s="84">
        <f>-SUMIFS('Monthly P&amp;L'!T:T,'Monthly P&amp;L'!$A:$A,$C87)/1000</f>
        <v>0</v>
      </c>
      <c r="AC87" s="84">
        <f>-SUMIFS('Monthly P&amp;L'!U:U,'Monthly P&amp;L'!$A:$A,$C87)/1000</f>
        <v>0</v>
      </c>
      <c r="AD87" s="84">
        <f>-SUMIFS('Monthly P&amp;L'!V:V,'Monthly P&amp;L'!$A:$A,$C87)/1000</f>
        <v>0</v>
      </c>
      <c r="AE87" s="84">
        <f>-SUMIFS('Monthly P&amp;L'!W:W,'Monthly P&amp;L'!$A:$A,$C87)/1000</f>
        <v>0</v>
      </c>
      <c r="AF87" s="117">
        <f>-SUMIFS('Monthly P&amp;L'!X:X,'Monthly P&amp;L'!$A:$A,$C87)/1000*2</f>
        <v>0</v>
      </c>
      <c r="AG87" s="26"/>
      <c r="AH87" s="25">
        <f t="shared" ref="AH87:BQ87" si="264">SUMIFS($CD87:$CF87,$CD$2:$CF$2,AH$3)/12</f>
        <v>-9.4786346165019422E-2</v>
      </c>
      <c r="AI87" s="25">
        <f t="shared" si="264"/>
        <v>-9.4786346165019422E-2</v>
      </c>
      <c r="AJ87" s="25">
        <f t="shared" si="264"/>
        <v>-9.4786346165019422E-2</v>
      </c>
      <c r="AK87" s="25">
        <f t="shared" si="264"/>
        <v>-9.4786346165019422E-2</v>
      </c>
      <c r="AL87" s="25">
        <f t="shared" si="264"/>
        <v>-9.4786346165019422E-2</v>
      </c>
      <c r="AM87" s="25">
        <f t="shared" si="264"/>
        <v>-9.4786346165019422E-2</v>
      </c>
      <c r="AN87" s="25">
        <f t="shared" si="264"/>
        <v>-9.4786346165019422E-2</v>
      </c>
      <c r="AO87" s="25">
        <f t="shared" si="264"/>
        <v>-9.4786346165019422E-2</v>
      </c>
      <c r="AP87" s="25">
        <f t="shared" si="264"/>
        <v>-9.4786346165019422E-2</v>
      </c>
      <c r="AQ87" s="25">
        <f t="shared" si="264"/>
        <v>-9.4786346165019422E-2</v>
      </c>
      <c r="AR87" s="25">
        <f t="shared" si="264"/>
        <v>-9.4786346165019422E-2</v>
      </c>
      <c r="AS87" s="25">
        <f t="shared" si="264"/>
        <v>-9.4786346165019422E-2</v>
      </c>
      <c r="AT87" s="25">
        <f t="shared" si="264"/>
        <v>-0.12894945307651806</v>
      </c>
      <c r="AU87" s="25">
        <f t="shared" si="264"/>
        <v>-0.12894945307651806</v>
      </c>
      <c r="AV87" s="25">
        <f t="shared" si="264"/>
        <v>-0.12894945307651806</v>
      </c>
      <c r="AW87" s="25">
        <f t="shared" si="264"/>
        <v>-0.12894945307651806</v>
      </c>
      <c r="AX87" s="25">
        <f t="shared" si="264"/>
        <v>-0.12894945307651806</v>
      </c>
      <c r="AY87" s="25">
        <f t="shared" si="264"/>
        <v>-0.12894945307651806</v>
      </c>
      <c r="AZ87" s="25">
        <f t="shared" si="264"/>
        <v>-0.12894945307651806</v>
      </c>
      <c r="BA87" s="25">
        <f t="shared" si="264"/>
        <v>-0.12894945307651806</v>
      </c>
      <c r="BB87" s="25">
        <f t="shared" si="264"/>
        <v>-0.12894945307651806</v>
      </c>
      <c r="BC87" s="25">
        <f t="shared" si="264"/>
        <v>-0.12894945307651806</v>
      </c>
      <c r="BD87" s="25">
        <f t="shared" si="264"/>
        <v>-0.12894945307651806</v>
      </c>
      <c r="BE87" s="25">
        <f t="shared" si="264"/>
        <v>-0.12894945307651806</v>
      </c>
      <c r="BF87" s="25">
        <f t="shared" si="264"/>
        <v>-0.18341790736998043</v>
      </c>
      <c r="BG87" s="25">
        <f t="shared" si="264"/>
        <v>-0.18341790736998043</v>
      </c>
      <c r="BH87" s="25">
        <f t="shared" si="264"/>
        <v>-0.18341790736998043</v>
      </c>
      <c r="BI87" s="25">
        <f t="shared" si="264"/>
        <v>-0.18341790736998043</v>
      </c>
      <c r="BJ87" s="25">
        <f t="shared" si="264"/>
        <v>-0.18341790736998043</v>
      </c>
      <c r="BK87" s="25">
        <f t="shared" si="264"/>
        <v>-0.18341790736998043</v>
      </c>
      <c r="BL87" s="25">
        <f t="shared" si="264"/>
        <v>-0.18341790736998043</v>
      </c>
      <c r="BM87" s="25">
        <f t="shared" si="264"/>
        <v>-0.18341790736998043</v>
      </c>
      <c r="BN87" s="25">
        <f t="shared" si="264"/>
        <v>-0.18341790736998043</v>
      </c>
      <c r="BO87" s="25">
        <f t="shared" si="264"/>
        <v>-0.18341790736998043</v>
      </c>
      <c r="BP87" s="25">
        <f t="shared" si="264"/>
        <v>-0.18341790736998043</v>
      </c>
      <c r="BQ87" s="96">
        <f t="shared" si="264"/>
        <v>-0.18341790736998043</v>
      </c>
      <c r="BR87" s="25"/>
      <c r="BS87" s="25">
        <f t="shared" ref="BS87:BY87" si="265">BF87</f>
        <v>-0.18341790736998043</v>
      </c>
      <c r="BT87" s="25">
        <f t="shared" si="265"/>
        <v>-0.18341790736998043</v>
      </c>
      <c r="BU87" s="25">
        <f t="shared" si="265"/>
        <v>-0.18341790736998043</v>
      </c>
      <c r="BV87" s="25">
        <f t="shared" si="265"/>
        <v>-0.18341790736998043</v>
      </c>
      <c r="BW87" s="25">
        <f t="shared" si="265"/>
        <v>-0.18341790736998043</v>
      </c>
      <c r="BX87" s="25">
        <f t="shared" si="265"/>
        <v>-0.18341790736998043</v>
      </c>
      <c r="BY87" s="25">
        <f t="shared" si="265"/>
        <v>-0.18341790736998043</v>
      </c>
      <c r="BZ87" s="26"/>
      <c r="CA87" s="84">
        <f>-SUMIFS('Monthly P&amp;L'!$E:$E,'Monthly P&amp;L'!$A:$A,$C87)/1000</f>
        <v>-3.5672200000000003</v>
      </c>
      <c r="CB87" s="25">
        <f t="shared" si="240"/>
        <v>-12.725899999999999</v>
      </c>
      <c r="CC87" s="25">
        <f t="shared" si="241"/>
        <v>-8.526019999999999</v>
      </c>
      <c r="CD87" s="25">
        <f t="shared" ref="CD87:CF87" si="266">CD$55*CH87</f>
        <v>-1.1374361539802331</v>
      </c>
      <c r="CE87" s="25">
        <f t="shared" si="266"/>
        <v>-1.5473934369182167</v>
      </c>
      <c r="CF87" s="25">
        <f t="shared" si="266"/>
        <v>-2.2010148884397651</v>
      </c>
      <c r="CH87" s="120">
        <f t="shared" ref="CH87:CJ87" si="267">$CO87</f>
        <v>-5.7931528847961732E-4</v>
      </c>
      <c r="CI87" s="120">
        <f t="shared" si="267"/>
        <v>-5.7931528847961732E-4</v>
      </c>
      <c r="CJ87" s="120">
        <f t="shared" si="267"/>
        <v>-5.7931528847961732E-4</v>
      </c>
      <c r="CL87" s="69">
        <f t="shared" si="261"/>
        <v>-6.4265849118944098E-3</v>
      </c>
      <c r="CN87" s="84">
        <f>-SUMIFS('FY25 By Venue Financials'!$J:$J,'FY25 By Venue Financials'!$A:$A,$C87)</f>
        <v>-21.00093</v>
      </c>
      <c r="CO87" s="69">
        <f t="shared" si="262"/>
        <v>-5.7931528847961732E-4</v>
      </c>
      <c r="CQ87" s="71" t="s">
        <v>138</v>
      </c>
      <c r="CR87" s="71" t="s">
        <v>156</v>
      </c>
      <c r="CU87" s="25">
        <f t="shared" ref="CU87:CX87" si="268">SUMIFS($D87:$BZ87,$D$1:$BZ$1,CU$9)</f>
        <v>-0.66350442315513602</v>
      </c>
      <c r="CV87" s="25">
        <f t="shared" si="268"/>
        <v>-1.3765779023607236</v>
      </c>
      <c r="CW87" s="25">
        <f t="shared" si="268"/>
        <v>-1.9286726169724533</v>
      </c>
      <c r="CX87" s="25">
        <f t="shared" si="268"/>
        <v>-2.2010148884397651</v>
      </c>
    </row>
    <row r="88" spans="3:102" ht="15.75" customHeight="1">
      <c r="C88" s="8" t="s">
        <v>172</v>
      </c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>
        <f>-SUMIFS('Monthly P&amp;L'!H:H,'Monthly P&amp;L'!$A:$A,$C88)/1000</f>
        <v>-0.56669000000000003</v>
      </c>
      <c r="Q88" s="84">
        <f>-SUMIFS('Monthly P&amp;L'!I:I,'Monthly P&amp;L'!$A:$A,$C88)/1000</f>
        <v>-0.60518000000000005</v>
      </c>
      <c r="R88" s="84">
        <f>-SUMIFS('Monthly P&amp;L'!J:J,'Monthly P&amp;L'!$A:$A,$C88)/1000</f>
        <v>-1.3536400000000002</v>
      </c>
      <c r="S88" s="84">
        <f>-SUMIFS('Monthly P&amp;L'!K:K,'Monthly P&amp;L'!$A:$A,$C88)/1000</f>
        <v>-0.56669000000000003</v>
      </c>
      <c r="T88" s="84">
        <f>-SUMIFS('Monthly P&amp;L'!L:L,'Monthly P&amp;L'!$A:$A,$C88)/1000</f>
        <v>-24.586689999999997</v>
      </c>
      <c r="U88" s="84">
        <f>-SUMIFS('Monthly P&amp;L'!M:M,'Monthly P&amp;L'!$A:$A,$C88)/1000</f>
        <v>-0.56669000000000003</v>
      </c>
      <c r="V88" s="84">
        <f>-SUMIFS('Monthly P&amp;L'!N:N,'Monthly P&amp;L'!$A:$A,$C88)/1000</f>
        <v>-0.68220000000000003</v>
      </c>
      <c r="W88" s="84">
        <f>-SUMIFS('Monthly P&amp;L'!O:O,'Monthly P&amp;L'!$A:$A,$C88)/1000</f>
        <v>-1.1515900000000001</v>
      </c>
      <c r="X88" s="84">
        <f>-SUMIFS('Monthly P&amp;L'!P:P,'Monthly P&amp;L'!$A:$A,$C88)/1000</f>
        <v>-0.73291000000000006</v>
      </c>
      <c r="Y88" s="84">
        <f>-SUMIFS('Monthly P&amp;L'!Q:Q,'Monthly P&amp;L'!$A:$A,$C88)/1000</f>
        <v>-0.74419000000000002</v>
      </c>
      <c r="Z88" s="84">
        <f>-SUMIFS('Monthly P&amp;L'!R:R,'Monthly P&amp;L'!$A:$A,$C88)/1000</f>
        <v>-1.0058600000000002</v>
      </c>
      <c r="AA88" s="84">
        <f>-SUMIFS('Monthly P&amp;L'!S:S,'Monthly P&amp;L'!$A:$A,$C88)/1000</f>
        <v>-1.24953</v>
      </c>
      <c r="AB88" s="84">
        <f>-SUMIFS('Monthly P&amp;L'!T:T,'Monthly P&amp;L'!$A:$A,$C88)/1000</f>
        <v>-0.56669000000000003</v>
      </c>
      <c r="AC88" s="84">
        <f>-SUMIFS('Monthly P&amp;L'!U:U,'Monthly P&amp;L'!$A:$A,$C88)/1000</f>
        <v>-0.83926999999999996</v>
      </c>
      <c r="AD88" s="84">
        <f>-SUMIFS('Monthly P&amp;L'!V:V,'Monthly P&amp;L'!$A:$A,$C88)/1000</f>
        <v>-0.83926999999999996</v>
      </c>
      <c r="AE88" s="84">
        <f>-SUMIFS('Monthly P&amp;L'!W:W,'Monthly P&amp;L'!$A:$A,$C88)/1000</f>
        <v>-0.56669000000000003</v>
      </c>
      <c r="AF88" s="117">
        <f>-SUMIFS('Monthly P&amp;L'!X:X,'Monthly P&amp;L'!$A:$A,$C88)/1000*2</f>
        <v>0</v>
      </c>
      <c r="AG88" s="26"/>
      <c r="AH88" s="25">
        <f t="shared" ref="AH88:BQ88" si="269">SUMIFS($CD88:$CF88,$CD$2:$CF$2,AH$3)/12</f>
        <v>-0.57485878673065449</v>
      </c>
      <c r="AI88" s="25">
        <f t="shared" si="269"/>
        <v>-0.57485878673065449</v>
      </c>
      <c r="AJ88" s="25">
        <f t="shared" si="269"/>
        <v>-0.57485878673065449</v>
      </c>
      <c r="AK88" s="25">
        <f t="shared" si="269"/>
        <v>-0.57485878673065449</v>
      </c>
      <c r="AL88" s="25">
        <f t="shared" si="269"/>
        <v>-0.57485878673065449</v>
      </c>
      <c r="AM88" s="25">
        <f t="shared" si="269"/>
        <v>-0.57485878673065449</v>
      </c>
      <c r="AN88" s="25">
        <f t="shared" si="269"/>
        <v>-0.57485878673065449</v>
      </c>
      <c r="AO88" s="25">
        <f t="shared" si="269"/>
        <v>-0.57485878673065449</v>
      </c>
      <c r="AP88" s="25">
        <f t="shared" si="269"/>
        <v>-0.57485878673065449</v>
      </c>
      <c r="AQ88" s="25">
        <f t="shared" si="269"/>
        <v>-0.57485878673065449</v>
      </c>
      <c r="AR88" s="25">
        <f t="shared" si="269"/>
        <v>-0.57485878673065449</v>
      </c>
      <c r="AS88" s="25">
        <f t="shared" si="269"/>
        <v>-0.57485878673065449</v>
      </c>
      <c r="AT88" s="25">
        <f t="shared" si="269"/>
        <v>-0.78205067654042792</v>
      </c>
      <c r="AU88" s="25">
        <f t="shared" si="269"/>
        <v>-0.78205067654042792</v>
      </c>
      <c r="AV88" s="25">
        <f t="shared" si="269"/>
        <v>-0.78205067654042792</v>
      </c>
      <c r="AW88" s="25">
        <f t="shared" si="269"/>
        <v>-0.78205067654042792</v>
      </c>
      <c r="AX88" s="25">
        <f t="shared" si="269"/>
        <v>-0.78205067654042792</v>
      </c>
      <c r="AY88" s="25">
        <f t="shared" si="269"/>
        <v>-0.78205067654042792</v>
      </c>
      <c r="AZ88" s="25">
        <f t="shared" si="269"/>
        <v>-0.78205067654042792</v>
      </c>
      <c r="BA88" s="25">
        <f t="shared" si="269"/>
        <v>-0.78205067654042792</v>
      </c>
      <c r="BB88" s="25">
        <f t="shared" si="269"/>
        <v>-0.78205067654042792</v>
      </c>
      <c r="BC88" s="25">
        <f t="shared" si="269"/>
        <v>-0.78205067654042792</v>
      </c>
      <c r="BD88" s="25">
        <f t="shared" si="269"/>
        <v>-0.78205067654042792</v>
      </c>
      <c r="BE88" s="25">
        <f t="shared" si="269"/>
        <v>-0.78205067654042792</v>
      </c>
      <c r="BF88" s="25">
        <f t="shared" si="269"/>
        <v>-1.1123901274959638</v>
      </c>
      <c r="BG88" s="25">
        <f t="shared" si="269"/>
        <v>-1.1123901274959638</v>
      </c>
      <c r="BH88" s="25">
        <f t="shared" si="269"/>
        <v>-1.1123901274959638</v>
      </c>
      <c r="BI88" s="25">
        <f t="shared" si="269"/>
        <v>-1.1123901274959638</v>
      </c>
      <c r="BJ88" s="25">
        <f t="shared" si="269"/>
        <v>-1.1123901274959638</v>
      </c>
      <c r="BK88" s="25">
        <f t="shared" si="269"/>
        <v>-1.1123901274959638</v>
      </c>
      <c r="BL88" s="25">
        <f t="shared" si="269"/>
        <v>-1.1123901274959638</v>
      </c>
      <c r="BM88" s="25">
        <f t="shared" si="269"/>
        <v>-1.1123901274959638</v>
      </c>
      <c r="BN88" s="25">
        <f t="shared" si="269"/>
        <v>-1.1123901274959638</v>
      </c>
      <c r="BO88" s="25">
        <f t="shared" si="269"/>
        <v>-1.1123901274959638</v>
      </c>
      <c r="BP88" s="25">
        <f t="shared" si="269"/>
        <v>-1.1123901274959638</v>
      </c>
      <c r="BQ88" s="96">
        <f t="shared" si="269"/>
        <v>-1.1123901274959638</v>
      </c>
      <c r="BR88" s="25"/>
      <c r="BS88" s="25">
        <f t="shared" ref="BS88:BY88" si="270">BF88</f>
        <v>-1.1123901274959638</v>
      </c>
      <c r="BT88" s="25">
        <f t="shared" si="270"/>
        <v>-1.1123901274959638</v>
      </c>
      <c r="BU88" s="25">
        <f t="shared" si="270"/>
        <v>-1.1123901274959638</v>
      </c>
      <c r="BV88" s="25">
        <f t="shared" si="270"/>
        <v>-1.1123901274959638</v>
      </c>
      <c r="BW88" s="25">
        <f t="shared" si="270"/>
        <v>-1.1123901274959638</v>
      </c>
      <c r="BX88" s="25">
        <f t="shared" si="270"/>
        <v>-1.1123901274959638</v>
      </c>
      <c r="BY88" s="25">
        <f t="shared" si="270"/>
        <v>-1.1123901274959638</v>
      </c>
      <c r="BZ88" s="26"/>
      <c r="CA88" s="84">
        <f>-SUMIFS('Monthly P&amp;L'!$E:$E,'Monthly P&amp;L'!$A:$A,$C88)/1000</f>
        <v>-12.591410000000002</v>
      </c>
      <c r="CB88" s="25">
        <f t="shared" si="240"/>
        <v>-33.811860000000003</v>
      </c>
      <c r="CC88" s="25">
        <f t="shared" si="241"/>
        <v>-33.531579999999998</v>
      </c>
      <c r="CD88" s="25">
        <f t="shared" ref="CD88:CF88" si="271">CD$55*CH88</f>
        <v>-6.8983054407678539</v>
      </c>
      <c r="CE88" s="25">
        <f t="shared" si="271"/>
        <v>-9.3846081184851347</v>
      </c>
      <c r="CF88" s="25">
        <f t="shared" si="271"/>
        <v>-13.348681529951566</v>
      </c>
      <c r="CH88" s="120">
        <f t="shared" ref="CH88:CJ88" si="272">$CO88</f>
        <v>-3.5134225270180681E-3</v>
      </c>
      <c r="CI88" s="120">
        <f t="shared" si="272"/>
        <v>-3.5134225270180681E-3</v>
      </c>
      <c r="CJ88" s="120">
        <f t="shared" si="272"/>
        <v>-3.5134225270180681E-3</v>
      </c>
      <c r="CL88" s="69">
        <f t="shared" si="261"/>
        <v>-2.5274811236659117E-2</v>
      </c>
      <c r="CN88" s="84">
        <f>-SUMIFS('FY25 By Venue Financials'!$J:$J,'FY25 By Venue Financials'!$A:$A,$C88)</f>
        <v>-127.36612</v>
      </c>
      <c r="CO88" s="69">
        <f t="shared" si="262"/>
        <v>-3.5134225270180681E-3</v>
      </c>
      <c r="CQ88" s="71" t="s">
        <v>138</v>
      </c>
      <c r="CR88" s="71" t="s">
        <v>156</v>
      </c>
      <c r="CU88" s="25">
        <f t="shared" ref="CU88:CX88" si="273">SUMIFS($D88:$BZ88,$D$1:$BZ$1,CU$9)</f>
        <v>-6.8359315071145828</v>
      </c>
      <c r="CV88" s="25">
        <f t="shared" si="273"/>
        <v>-8.3486486694362689</v>
      </c>
      <c r="CW88" s="25">
        <f t="shared" si="273"/>
        <v>-11.696984275173886</v>
      </c>
      <c r="CX88" s="25">
        <f t="shared" si="273"/>
        <v>-13.348681529951564</v>
      </c>
    </row>
    <row r="89" spans="3:102" ht="15.75" customHeight="1">
      <c r="C89" s="8" t="s">
        <v>173</v>
      </c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>
        <f>-SUMIFS('Monthly P&amp;L'!H:H,'Monthly P&amp;L'!$A:$A,$C89)/1000</f>
        <v>0</v>
      </c>
      <c r="Q89" s="84">
        <f>-SUMIFS('Monthly P&amp;L'!I:I,'Monthly P&amp;L'!$A:$A,$C89)/1000</f>
        <v>0</v>
      </c>
      <c r="R89" s="84">
        <f>-SUMIFS('Monthly P&amp;L'!J:J,'Monthly P&amp;L'!$A:$A,$C89)/1000</f>
        <v>0</v>
      </c>
      <c r="S89" s="84">
        <f>-SUMIFS('Monthly P&amp;L'!K:K,'Monthly P&amp;L'!$A:$A,$C89)/1000</f>
        <v>0</v>
      </c>
      <c r="T89" s="84">
        <f>-SUMIFS('Monthly P&amp;L'!L:L,'Monthly P&amp;L'!$A:$A,$C89)/1000</f>
        <v>0</v>
      </c>
      <c r="U89" s="84">
        <f>-SUMIFS('Monthly P&amp;L'!M:M,'Monthly P&amp;L'!$A:$A,$C89)/1000</f>
        <v>0</v>
      </c>
      <c r="V89" s="84">
        <f>-SUMIFS('Monthly P&amp;L'!N:N,'Monthly P&amp;L'!$A:$A,$C89)/1000</f>
        <v>0</v>
      </c>
      <c r="W89" s="84">
        <f>-SUMIFS('Monthly P&amp;L'!O:O,'Monthly P&amp;L'!$A:$A,$C89)/1000</f>
        <v>0</v>
      </c>
      <c r="X89" s="84">
        <f>-SUMIFS('Monthly P&amp;L'!P:P,'Monthly P&amp;L'!$A:$A,$C89)/1000</f>
        <v>0</v>
      </c>
      <c r="Y89" s="84">
        <f>-SUMIFS('Monthly P&amp;L'!Q:Q,'Monthly P&amp;L'!$A:$A,$C89)/1000</f>
        <v>0</v>
      </c>
      <c r="Z89" s="84">
        <f>-SUMIFS('Monthly P&amp;L'!R:R,'Monthly P&amp;L'!$A:$A,$C89)/1000</f>
        <v>0</v>
      </c>
      <c r="AA89" s="84">
        <f>-SUMIFS('Monthly P&amp;L'!S:S,'Monthly P&amp;L'!$A:$A,$C89)/1000</f>
        <v>0</v>
      </c>
      <c r="AB89" s="84">
        <f>-SUMIFS('Monthly P&amp;L'!T:T,'Monthly P&amp;L'!$A:$A,$C89)/1000</f>
        <v>0</v>
      </c>
      <c r="AC89" s="84">
        <f>-SUMIFS('Monthly P&amp;L'!U:U,'Monthly P&amp;L'!$A:$A,$C89)/1000</f>
        <v>0</v>
      </c>
      <c r="AD89" s="84">
        <f>-SUMIFS('Monthly P&amp;L'!V:V,'Monthly P&amp;L'!$A:$A,$C89)/1000</f>
        <v>0</v>
      </c>
      <c r="AE89" s="84">
        <f>-SUMIFS('Monthly P&amp;L'!W:W,'Monthly P&amp;L'!$A:$A,$C89)/1000</f>
        <v>0</v>
      </c>
      <c r="AF89" s="117">
        <f>-SUMIFS('Monthly P&amp;L'!X:X,'Monthly P&amp;L'!$A:$A,$C89)/1000*2</f>
        <v>0</v>
      </c>
      <c r="AG89" s="26"/>
      <c r="AH89" s="25">
        <f t="shared" ref="AH89:BQ89" si="274">SUMIFS($CD89:$CF89,$CD$2:$CF$2,AH$3)/12</f>
        <v>-2.8418847576180909E-3</v>
      </c>
      <c r="AI89" s="25">
        <f t="shared" si="274"/>
        <v>-2.8418847576180909E-3</v>
      </c>
      <c r="AJ89" s="25">
        <f t="shared" si="274"/>
        <v>-2.8418847576180909E-3</v>
      </c>
      <c r="AK89" s="25">
        <f t="shared" si="274"/>
        <v>-2.8418847576180909E-3</v>
      </c>
      <c r="AL89" s="25">
        <f t="shared" si="274"/>
        <v>-2.8418847576180909E-3</v>
      </c>
      <c r="AM89" s="25">
        <f t="shared" si="274"/>
        <v>-2.8418847576180909E-3</v>
      </c>
      <c r="AN89" s="25">
        <f t="shared" si="274"/>
        <v>-2.8418847576180909E-3</v>
      </c>
      <c r="AO89" s="25">
        <f t="shared" si="274"/>
        <v>-2.8418847576180909E-3</v>
      </c>
      <c r="AP89" s="25">
        <f t="shared" si="274"/>
        <v>-2.8418847576180909E-3</v>
      </c>
      <c r="AQ89" s="25">
        <f t="shared" si="274"/>
        <v>-2.8418847576180909E-3</v>
      </c>
      <c r="AR89" s="25">
        <f t="shared" si="274"/>
        <v>-2.8418847576180909E-3</v>
      </c>
      <c r="AS89" s="25">
        <f t="shared" si="274"/>
        <v>-2.8418847576180909E-3</v>
      </c>
      <c r="AT89" s="25">
        <f t="shared" si="274"/>
        <v>-3.866163218944571E-3</v>
      </c>
      <c r="AU89" s="25">
        <f t="shared" si="274"/>
        <v>-3.866163218944571E-3</v>
      </c>
      <c r="AV89" s="25">
        <f t="shared" si="274"/>
        <v>-3.866163218944571E-3</v>
      </c>
      <c r="AW89" s="25">
        <f t="shared" si="274"/>
        <v>-3.866163218944571E-3</v>
      </c>
      <c r="AX89" s="25">
        <f t="shared" si="274"/>
        <v>-3.866163218944571E-3</v>
      </c>
      <c r="AY89" s="25">
        <f t="shared" si="274"/>
        <v>-3.866163218944571E-3</v>
      </c>
      <c r="AZ89" s="25">
        <f t="shared" si="274"/>
        <v>-3.866163218944571E-3</v>
      </c>
      <c r="BA89" s="25">
        <f t="shared" si="274"/>
        <v>-3.866163218944571E-3</v>
      </c>
      <c r="BB89" s="25">
        <f t="shared" si="274"/>
        <v>-3.866163218944571E-3</v>
      </c>
      <c r="BC89" s="25">
        <f t="shared" si="274"/>
        <v>-3.866163218944571E-3</v>
      </c>
      <c r="BD89" s="25">
        <f t="shared" si="274"/>
        <v>-3.866163218944571E-3</v>
      </c>
      <c r="BE89" s="25">
        <f t="shared" si="274"/>
        <v>-3.866163218944571E-3</v>
      </c>
      <c r="BF89" s="25">
        <f t="shared" si="274"/>
        <v>-5.4992367183504818E-3</v>
      </c>
      <c r="BG89" s="25">
        <f t="shared" si="274"/>
        <v>-5.4992367183504818E-3</v>
      </c>
      <c r="BH89" s="25">
        <f t="shared" si="274"/>
        <v>-5.4992367183504818E-3</v>
      </c>
      <c r="BI89" s="25">
        <f t="shared" si="274"/>
        <v>-5.4992367183504818E-3</v>
      </c>
      <c r="BJ89" s="25">
        <f t="shared" si="274"/>
        <v>-5.4992367183504818E-3</v>
      </c>
      <c r="BK89" s="25">
        <f t="shared" si="274"/>
        <v>-5.4992367183504818E-3</v>
      </c>
      <c r="BL89" s="25">
        <f t="shared" si="274"/>
        <v>-5.4992367183504818E-3</v>
      </c>
      <c r="BM89" s="25">
        <f t="shared" si="274"/>
        <v>-5.4992367183504818E-3</v>
      </c>
      <c r="BN89" s="25">
        <f t="shared" si="274"/>
        <v>-5.4992367183504818E-3</v>
      </c>
      <c r="BO89" s="25">
        <f t="shared" si="274"/>
        <v>-5.4992367183504818E-3</v>
      </c>
      <c r="BP89" s="25">
        <f t="shared" si="274"/>
        <v>-5.4992367183504818E-3</v>
      </c>
      <c r="BQ89" s="96">
        <f t="shared" si="274"/>
        <v>-5.4992367183504818E-3</v>
      </c>
      <c r="BR89" s="25"/>
      <c r="BS89" s="25">
        <f t="shared" ref="BS89:BY89" si="275">BF89</f>
        <v>-5.4992367183504818E-3</v>
      </c>
      <c r="BT89" s="25">
        <f t="shared" si="275"/>
        <v>-5.4992367183504818E-3</v>
      </c>
      <c r="BU89" s="25">
        <f t="shared" si="275"/>
        <v>-5.4992367183504818E-3</v>
      </c>
      <c r="BV89" s="25">
        <f t="shared" si="275"/>
        <v>-5.4992367183504818E-3</v>
      </c>
      <c r="BW89" s="25">
        <f t="shared" si="275"/>
        <v>-5.4992367183504818E-3</v>
      </c>
      <c r="BX89" s="25">
        <f t="shared" si="275"/>
        <v>-5.4992367183504818E-3</v>
      </c>
      <c r="BY89" s="25">
        <f t="shared" si="275"/>
        <v>-5.4992367183504818E-3</v>
      </c>
      <c r="BZ89" s="26"/>
      <c r="CA89" s="84">
        <f>-SUMIFS('Monthly P&amp;L'!$E:$E,'Monthly P&amp;L'!$A:$A,$C89)/1000</f>
        <v>0</v>
      </c>
      <c r="CB89" s="25">
        <f t="shared" si="240"/>
        <v>0</v>
      </c>
      <c r="CC89" s="25">
        <f t="shared" si="241"/>
        <v>0</v>
      </c>
      <c r="CD89" s="25">
        <f t="shared" ref="CD89:CF89" si="276">CD$55*CH89</f>
        <v>-3.4102617091417091E-2</v>
      </c>
      <c r="CE89" s="25">
        <f t="shared" si="276"/>
        <v>-4.639395862733485E-2</v>
      </c>
      <c r="CF89" s="25">
        <f t="shared" si="276"/>
        <v>-6.5990840620205785E-2</v>
      </c>
      <c r="CH89" s="120">
        <f t="shared" ref="CH89:CJ89" si="277">$CO89</f>
        <v>-1.736903419949455E-5</v>
      </c>
      <c r="CI89" s="120">
        <f t="shared" si="277"/>
        <v>-1.736903419949455E-5</v>
      </c>
      <c r="CJ89" s="120">
        <f t="shared" si="277"/>
        <v>-1.736903419949455E-5</v>
      </c>
      <c r="CL89" s="69">
        <f t="shared" si="261"/>
        <v>0</v>
      </c>
      <c r="CN89" s="84">
        <f>-SUMIFS('FY25 By Venue Financials'!$J:$J,'FY25 By Venue Financials'!$A:$A,$C89)</f>
        <v>-0.62965000000000004</v>
      </c>
      <c r="CO89" s="69">
        <f t="shared" si="262"/>
        <v>-1.736903419949455E-5</v>
      </c>
      <c r="CQ89" s="71" t="s">
        <v>138</v>
      </c>
      <c r="CR89" s="71" t="s">
        <v>156</v>
      </c>
      <c r="CU89" s="25">
        <f t="shared" ref="CU89:CX89" si="278">SUMIFS($D89:$BZ89,$D$1:$BZ$1,CU$9)</f>
        <v>-1.9893193303326638E-2</v>
      </c>
      <c r="CV89" s="25">
        <f t="shared" si="278"/>
        <v>-4.1272566320702447E-2</v>
      </c>
      <c r="CW89" s="25">
        <f t="shared" si="278"/>
        <v>-5.7825473123176221E-2</v>
      </c>
      <c r="CX89" s="25">
        <f t="shared" si="278"/>
        <v>-6.5990840620205785E-2</v>
      </c>
    </row>
    <row r="90" spans="3:102" ht="15.75" customHeight="1">
      <c r="C90" s="8" t="s">
        <v>174</v>
      </c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>
        <f>-SUMIFS('Monthly P&amp;L'!H:H,'Monthly P&amp;L'!$A:$A,$C90)/1000</f>
        <v>0</v>
      </c>
      <c r="Q90" s="84">
        <f>-SUMIFS('Monthly P&amp;L'!I:I,'Monthly P&amp;L'!$A:$A,$C90)/1000</f>
        <v>0</v>
      </c>
      <c r="R90" s="84">
        <f>-SUMIFS('Monthly P&amp;L'!J:J,'Monthly P&amp;L'!$A:$A,$C90)/1000</f>
        <v>0</v>
      </c>
      <c r="S90" s="84">
        <f>-SUMIFS('Monthly P&amp;L'!K:K,'Monthly P&amp;L'!$A:$A,$C90)/1000</f>
        <v>-0.1</v>
      </c>
      <c r="T90" s="84">
        <f>-SUMIFS('Monthly P&amp;L'!L:L,'Monthly P&amp;L'!$A:$A,$C90)/1000</f>
        <v>-6.7450000000000001</v>
      </c>
      <c r="U90" s="84">
        <f>-SUMIFS('Monthly P&amp;L'!M:M,'Monthly P&amp;L'!$A:$A,$C90)/1000</f>
        <v>0</v>
      </c>
      <c r="V90" s="84">
        <f>-SUMIFS('Monthly P&amp;L'!N:N,'Monthly P&amp;L'!$A:$A,$C90)/1000</f>
        <v>0</v>
      </c>
      <c r="W90" s="84">
        <f>-SUMIFS('Monthly P&amp;L'!O:O,'Monthly P&amp;L'!$A:$A,$C90)/1000</f>
        <v>0</v>
      </c>
      <c r="X90" s="84">
        <f>-SUMIFS('Monthly P&amp;L'!P:P,'Monthly P&amp;L'!$A:$A,$C90)/1000</f>
        <v>-3.2719999999999998</v>
      </c>
      <c r="Y90" s="84">
        <f>-SUMIFS('Monthly P&amp;L'!Q:Q,'Monthly P&amp;L'!$A:$A,$C90)/1000</f>
        <v>0</v>
      </c>
      <c r="Z90" s="84">
        <f>-SUMIFS('Monthly P&amp;L'!R:R,'Monthly P&amp;L'!$A:$A,$C90)/1000</f>
        <v>-1.62</v>
      </c>
      <c r="AA90" s="84">
        <f>-SUMIFS('Monthly P&amp;L'!S:S,'Monthly P&amp;L'!$A:$A,$C90)/1000</f>
        <v>-0.53071000000000002</v>
      </c>
      <c r="AB90" s="84">
        <f>-SUMIFS('Monthly P&amp;L'!T:T,'Monthly P&amp;L'!$A:$A,$C90)/1000</f>
        <v>0</v>
      </c>
      <c r="AC90" s="84">
        <f>-SUMIFS('Monthly P&amp;L'!U:U,'Monthly P&amp;L'!$A:$A,$C90)/1000</f>
        <v>0</v>
      </c>
      <c r="AD90" s="84">
        <f>-SUMIFS('Monthly P&amp;L'!V:V,'Monthly P&amp;L'!$A:$A,$C90)/1000</f>
        <v>-6.6180000000000003</v>
      </c>
      <c r="AE90" s="84">
        <f>-SUMIFS('Monthly P&amp;L'!W:W,'Monthly P&amp;L'!$A:$A,$C90)/1000</f>
        <v>-4.91249</v>
      </c>
      <c r="AF90" s="117">
        <f>-SUMIFS('Monthly P&amp;L'!X:X,'Monthly P&amp;L'!$A:$A,$C90)/1000*2</f>
        <v>0</v>
      </c>
      <c r="AG90" s="26"/>
      <c r="AH90" s="25">
        <f t="shared" ref="AH90:BQ90" si="279">SUMIFS($CD90:$CF90,$CD$2:$CF$2,AH$3)/12</f>
        <v>-3.22485</v>
      </c>
      <c r="AI90" s="25">
        <f t="shared" si="279"/>
        <v>-3.22485</v>
      </c>
      <c r="AJ90" s="25">
        <f t="shared" si="279"/>
        <v>-3.22485</v>
      </c>
      <c r="AK90" s="25">
        <f t="shared" si="279"/>
        <v>-3.22485</v>
      </c>
      <c r="AL90" s="25">
        <f t="shared" si="279"/>
        <v>-3.22485</v>
      </c>
      <c r="AM90" s="25">
        <f t="shared" si="279"/>
        <v>-3.22485</v>
      </c>
      <c r="AN90" s="25">
        <f t="shared" si="279"/>
        <v>-3.22485</v>
      </c>
      <c r="AO90" s="25">
        <f t="shared" si="279"/>
        <v>-3.22485</v>
      </c>
      <c r="AP90" s="25">
        <f t="shared" si="279"/>
        <v>-3.22485</v>
      </c>
      <c r="AQ90" s="25">
        <f t="shared" si="279"/>
        <v>-3.22485</v>
      </c>
      <c r="AR90" s="25">
        <f t="shared" si="279"/>
        <v>-3.22485</v>
      </c>
      <c r="AS90" s="25">
        <f t="shared" si="279"/>
        <v>-3.22485</v>
      </c>
      <c r="AT90" s="25">
        <f t="shared" si="279"/>
        <v>-3.22485</v>
      </c>
      <c r="AU90" s="25">
        <f t="shared" si="279"/>
        <v>-3.22485</v>
      </c>
      <c r="AV90" s="25">
        <f t="shared" si="279"/>
        <v>-3.22485</v>
      </c>
      <c r="AW90" s="25">
        <f t="shared" si="279"/>
        <v>-3.22485</v>
      </c>
      <c r="AX90" s="25">
        <f t="shared" si="279"/>
        <v>-3.22485</v>
      </c>
      <c r="AY90" s="25">
        <f t="shared" si="279"/>
        <v>-3.22485</v>
      </c>
      <c r="AZ90" s="25">
        <f t="shared" si="279"/>
        <v>-3.22485</v>
      </c>
      <c r="BA90" s="25">
        <f t="shared" si="279"/>
        <v>-3.22485</v>
      </c>
      <c r="BB90" s="25">
        <f t="shared" si="279"/>
        <v>-3.22485</v>
      </c>
      <c r="BC90" s="25">
        <f t="shared" si="279"/>
        <v>-3.22485</v>
      </c>
      <c r="BD90" s="25">
        <f t="shared" si="279"/>
        <v>-3.22485</v>
      </c>
      <c r="BE90" s="25">
        <f t="shared" si="279"/>
        <v>-3.22485</v>
      </c>
      <c r="BF90" s="25">
        <f t="shared" si="279"/>
        <v>-3.22485</v>
      </c>
      <c r="BG90" s="25">
        <f t="shared" si="279"/>
        <v>-3.22485</v>
      </c>
      <c r="BH90" s="25">
        <f t="shared" si="279"/>
        <v>-3.22485</v>
      </c>
      <c r="BI90" s="25">
        <f t="shared" si="279"/>
        <v>-3.22485</v>
      </c>
      <c r="BJ90" s="25">
        <f t="shared" si="279"/>
        <v>-3.22485</v>
      </c>
      <c r="BK90" s="25">
        <f t="shared" si="279"/>
        <v>-3.22485</v>
      </c>
      <c r="BL90" s="25">
        <f t="shared" si="279"/>
        <v>-3.22485</v>
      </c>
      <c r="BM90" s="25">
        <f t="shared" si="279"/>
        <v>-3.22485</v>
      </c>
      <c r="BN90" s="25">
        <f t="shared" si="279"/>
        <v>-3.22485</v>
      </c>
      <c r="BO90" s="25">
        <f t="shared" si="279"/>
        <v>-3.22485</v>
      </c>
      <c r="BP90" s="25">
        <f t="shared" si="279"/>
        <v>-3.22485</v>
      </c>
      <c r="BQ90" s="96">
        <f t="shared" si="279"/>
        <v>-3.22485</v>
      </c>
      <c r="BR90" s="25"/>
      <c r="BS90" s="25">
        <f t="shared" ref="BS90:BY90" si="280">BF90</f>
        <v>-3.22485</v>
      </c>
      <c r="BT90" s="25">
        <f t="shared" si="280"/>
        <v>-3.22485</v>
      </c>
      <c r="BU90" s="25">
        <f t="shared" si="280"/>
        <v>-3.22485</v>
      </c>
      <c r="BV90" s="25">
        <f t="shared" si="280"/>
        <v>-3.22485</v>
      </c>
      <c r="BW90" s="25">
        <f t="shared" si="280"/>
        <v>-3.22485</v>
      </c>
      <c r="BX90" s="25">
        <f t="shared" si="280"/>
        <v>-3.22485</v>
      </c>
      <c r="BY90" s="25">
        <f t="shared" si="280"/>
        <v>-3.22485</v>
      </c>
      <c r="BZ90" s="26"/>
      <c r="CA90" s="84">
        <f>-SUMIFS('Monthly P&amp;L'!$E:$E,'Monthly P&amp;L'!$A:$A,$C90)/1000</f>
        <v>-5.1310000000000002</v>
      </c>
      <c r="CB90" s="25">
        <f t="shared" si="240"/>
        <v>-12.267709999999997</v>
      </c>
      <c r="CC90" s="25">
        <f t="shared" si="241"/>
        <v>-23.6982</v>
      </c>
      <c r="CD90" s="25">
        <f t="shared" ref="CD90:CF90" si="281">$CL90</f>
        <v>-38.6982</v>
      </c>
      <c r="CE90" s="25">
        <f t="shared" si="281"/>
        <v>-38.6982</v>
      </c>
      <c r="CF90" s="25">
        <f t="shared" si="281"/>
        <v>-38.6982</v>
      </c>
      <c r="CH90" s="120"/>
      <c r="CI90" s="120"/>
      <c r="CJ90" s="120"/>
      <c r="CL90" s="137">
        <f>CC90-15</f>
        <v>-38.6982</v>
      </c>
      <c r="CN90" s="84">
        <f>-SUMIFS('FY25 By Venue Financials'!$J:$J,'FY25 By Venue Financials'!$A:$A,$C90)</f>
        <v>-1349.9495900000004</v>
      </c>
      <c r="CO90" s="69">
        <f t="shared" si="262"/>
        <v>-3.7238657343450568E-2</v>
      </c>
      <c r="CQ90" s="71" t="s">
        <v>175</v>
      </c>
      <c r="CR90" s="71" t="s">
        <v>176</v>
      </c>
      <c r="CU90" s="25">
        <f t="shared" ref="CU90:CX90" si="282">SUMIFS($D90:$BZ90,$D$1:$BZ$1,CU$9)</f>
        <v>-34.104439999999997</v>
      </c>
      <c r="CV90" s="25">
        <f t="shared" si="282"/>
        <v>-38.6982</v>
      </c>
      <c r="CW90" s="25">
        <f t="shared" si="282"/>
        <v>-38.6982</v>
      </c>
      <c r="CX90" s="25">
        <f t="shared" si="282"/>
        <v>-38.6982</v>
      </c>
    </row>
    <row r="91" spans="3:102" ht="15.75" customHeight="1">
      <c r="C91" s="8" t="s">
        <v>177</v>
      </c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>
        <f>-SUMIFS('Monthly P&amp;L'!H:H,'Monthly P&amp;L'!$A:$A,$C91)/1000</f>
        <v>0</v>
      </c>
      <c r="Q91" s="84">
        <f>-SUMIFS('Monthly P&amp;L'!I:I,'Monthly P&amp;L'!$A:$A,$C91)/1000</f>
        <v>-4.3409999999999997E-2</v>
      </c>
      <c r="R91" s="84">
        <f>-SUMIFS('Monthly P&amp;L'!J:J,'Monthly P&amp;L'!$A:$A,$C91)/1000</f>
        <v>0</v>
      </c>
      <c r="S91" s="84">
        <f>-SUMIFS('Monthly P&amp;L'!K:K,'Monthly P&amp;L'!$A:$A,$C91)/1000</f>
        <v>0</v>
      </c>
      <c r="T91" s="84">
        <f>-SUMIFS('Monthly P&amp;L'!L:L,'Monthly P&amp;L'!$A:$A,$C91)/1000</f>
        <v>-1.10985</v>
      </c>
      <c r="U91" s="84">
        <f>-SUMIFS('Monthly P&amp;L'!M:M,'Monthly P&amp;L'!$A:$A,$C91)/1000</f>
        <v>0</v>
      </c>
      <c r="V91" s="84">
        <f>-SUMIFS('Monthly P&amp;L'!N:N,'Monthly P&amp;L'!$A:$A,$C91)/1000</f>
        <v>0</v>
      </c>
      <c r="W91" s="84">
        <f>-SUMIFS('Monthly P&amp;L'!O:O,'Monthly P&amp;L'!$A:$A,$C91)/1000</f>
        <v>0</v>
      </c>
      <c r="X91" s="84">
        <f>-SUMIFS('Monthly P&amp;L'!P:P,'Monthly P&amp;L'!$A:$A,$C91)/1000</f>
        <v>0</v>
      </c>
      <c r="Y91" s="84">
        <f>-SUMIFS('Monthly P&amp;L'!Q:Q,'Monthly P&amp;L'!$A:$A,$C91)/1000</f>
        <v>0</v>
      </c>
      <c r="Z91" s="84">
        <f>-SUMIFS('Monthly P&amp;L'!R:R,'Monthly P&amp;L'!$A:$A,$C91)/1000</f>
        <v>-5.4789999999999998E-2</v>
      </c>
      <c r="AA91" s="84">
        <f>-SUMIFS('Monthly P&amp;L'!S:S,'Monthly P&amp;L'!$A:$A,$C91)/1000</f>
        <v>-0.58499999999999996</v>
      </c>
      <c r="AB91" s="84">
        <f>-SUMIFS('Monthly P&amp;L'!T:T,'Monthly P&amp;L'!$A:$A,$C91)/1000</f>
        <v>0</v>
      </c>
      <c r="AC91" s="84">
        <f>-SUMIFS('Monthly P&amp;L'!U:U,'Monthly P&amp;L'!$A:$A,$C91)/1000</f>
        <v>0</v>
      </c>
      <c r="AD91" s="84">
        <f>-SUMIFS('Monthly P&amp;L'!V:V,'Monthly P&amp;L'!$A:$A,$C91)/1000</f>
        <v>0</v>
      </c>
      <c r="AE91" s="84">
        <f>-SUMIFS('Monthly P&amp;L'!W:W,'Monthly P&amp;L'!$A:$A,$C91)/1000</f>
        <v>0</v>
      </c>
      <c r="AF91" s="117">
        <f>-SUMIFS('Monthly P&amp;L'!X:X,'Monthly P&amp;L'!$A:$A,$C91)/1000*2</f>
        <v>0</v>
      </c>
      <c r="AG91" s="26"/>
      <c r="AH91" s="25">
        <f t="shared" ref="AH91:BQ91" si="283">SUMIFS($CD91:$CF91,$CD$2:$CF$2,AH$3)/12</f>
        <v>-1.3493638028206941E-2</v>
      </c>
      <c r="AI91" s="25">
        <f t="shared" si="283"/>
        <v>-1.3493638028206941E-2</v>
      </c>
      <c r="AJ91" s="25">
        <f t="shared" si="283"/>
        <v>-1.3493638028206941E-2</v>
      </c>
      <c r="AK91" s="25">
        <f t="shared" si="283"/>
        <v>-1.3493638028206941E-2</v>
      </c>
      <c r="AL91" s="25">
        <f t="shared" si="283"/>
        <v>-1.3493638028206941E-2</v>
      </c>
      <c r="AM91" s="25">
        <f t="shared" si="283"/>
        <v>-1.3493638028206941E-2</v>
      </c>
      <c r="AN91" s="25">
        <f t="shared" si="283"/>
        <v>-1.3493638028206941E-2</v>
      </c>
      <c r="AO91" s="25">
        <f t="shared" si="283"/>
        <v>-1.3493638028206941E-2</v>
      </c>
      <c r="AP91" s="25">
        <f t="shared" si="283"/>
        <v>-1.3493638028206941E-2</v>
      </c>
      <c r="AQ91" s="25">
        <f t="shared" si="283"/>
        <v>-1.3493638028206941E-2</v>
      </c>
      <c r="AR91" s="25">
        <f t="shared" si="283"/>
        <v>-1.3493638028206941E-2</v>
      </c>
      <c r="AS91" s="25">
        <f t="shared" si="283"/>
        <v>-1.3493638028206941E-2</v>
      </c>
      <c r="AT91" s="25">
        <f t="shared" si="283"/>
        <v>-1.8357045230127572E-2</v>
      </c>
      <c r="AU91" s="25">
        <f t="shared" si="283"/>
        <v>-1.8357045230127572E-2</v>
      </c>
      <c r="AV91" s="25">
        <f t="shared" si="283"/>
        <v>-1.8357045230127572E-2</v>
      </c>
      <c r="AW91" s="25">
        <f t="shared" si="283"/>
        <v>-1.8357045230127572E-2</v>
      </c>
      <c r="AX91" s="25">
        <f t="shared" si="283"/>
        <v>-1.8357045230127572E-2</v>
      </c>
      <c r="AY91" s="25">
        <f t="shared" si="283"/>
        <v>-1.8357045230127572E-2</v>
      </c>
      <c r="AZ91" s="25">
        <f t="shared" si="283"/>
        <v>-1.8357045230127572E-2</v>
      </c>
      <c r="BA91" s="25">
        <f t="shared" si="283"/>
        <v>-1.8357045230127572E-2</v>
      </c>
      <c r="BB91" s="25">
        <f t="shared" si="283"/>
        <v>-1.8357045230127572E-2</v>
      </c>
      <c r="BC91" s="25">
        <f t="shared" si="283"/>
        <v>-1.8357045230127572E-2</v>
      </c>
      <c r="BD91" s="25">
        <f t="shared" si="283"/>
        <v>-1.8357045230127572E-2</v>
      </c>
      <c r="BE91" s="25">
        <f t="shared" si="283"/>
        <v>-1.8357045230127572E-2</v>
      </c>
      <c r="BF91" s="25">
        <f t="shared" si="283"/>
        <v>-2.6111090363509417E-2</v>
      </c>
      <c r="BG91" s="25">
        <f t="shared" si="283"/>
        <v>-2.6111090363509417E-2</v>
      </c>
      <c r="BH91" s="25">
        <f t="shared" si="283"/>
        <v>-2.6111090363509417E-2</v>
      </c>
      <c r="BI91" s="25">
        <f t="shared" si="283"/>
        <v>-2.6111090363509417E-2</v>
      </c>
      <c r="BJ91" s="25">
        <f t="shared" si="283"/>
        <v>-2.6111090363509417E-2</v>
      </c>
      <c r="BK91" s="25">
        <f t="shared" si="283"/>
        <v>-2.6111090363509417E-2</v>
      </c>
      <c r="BL91" s="25">
        <f t="shared" si="283"/>
        <v>-2.6111090363509417E-2</v>
      </c>
      <c r="BM91" s="25">
        <f t="shared" si="283"/>
        <v>-2.6111090363509417E-2</v>
      </c>
      <c r="BN91" s="25">
        <f t="shared" si="283"/>
        <v>-2.6111090363509417E-2</v>
      </c>
      <c r="BO91" s="25">
        <f t="shared" si="283"/>
        <v>-2.6111090363509417E-2</v>
      </c>
      <c r="BP91" s="25">
        <f t="shared" si="283"/>
        <v>-2.6111090363509417E-2</v>
      </c>
      <c r="BQ91" s="96">
        <f t="shared" si="283"/>
        <v>-2.6111090363509417E-2</v>
      </c>
      <c r="BR91" s="25"/>
      <c r="BS91" s="25">
        <f t="shared" ref="BS91:BY91" si="284">BF91</f>
        <v>-2.6111090363509417E-2</v>
      </c>
      <c r="BT91" s="25">
        <f t="shared" si="284"/>
        <v>-2.6111090363509417E-2</v>
      </c>
      <c r="BU91" s="25">
        <f t="shared" si="284"/>
        <v>-2.6111090363509417E-2</v>
      </c>
      <c r="BV91" s="25">
        <f t="shared" si="284"/>
        <v>-2.6111090363509417E-2</v>
      </c>
      <c r="BW91" s="25">
        <f t="shared" si="284"/>
        <v>-2.6111090363509417E-2</v>
      </c>
      <c r="BX91" s="25">
        <f t="shared" si="284"/>
        <v>-2.6111090363509417E-2</v>
      </c>
      <c r="BY91" s="25">
        <f t="shared" si="284"/>
        <v>-2.6111090363509417E-2</v>
      </c>
      <c r="BZ91" s="26"/>
      <c r="CA91" s="84">
        <f>-SUMIFS('Monthly P&amp;L'!$E:$E,'Monthly P&amp;L'!$A:$A,$C91)/1000</f>
        <v>-1.72421</v>
      </c>
      <c r="CB91" s="25">
        <f t="shared" si="240"/>
        <v>-1.7930499999999998</v>
      </c>
      <c r="CC91" s="25">
        <f t="shared" si="241"/>
        <v>-1.7496399999999999</v>
      </c>
      <c r="CD91" s="25">
        <f t="shared" ref="CD91:CF91" si="285">CD$55*CH91</f>
        <v>-0.1619236563384833</v>
      </c>
      <c r="CE91" s="25">
        <f t="shared" si="285"/>
        <v>-0.22028454276153087</v>
      </c>
      <c r="CF91" s="25">
        <f t="shared" si="285"/>
        <v>-0.31333308436211299</v>
      </c>
      <c r="CH91" s="120">
        <f t="shared" ref="CH91:CJ91" si="286">$CO91</f>
        <v>-8.2470430850251528E-5</v>
      </c>
      <c r="CI91" s="120">
        <f t="shared" si="286"/>
        <v>-8.2470430850251528E-5</v>
      </c>
      <c r="CJ91" s="120">
        <f t="shared" si="286"/>
        <v>-8.2470430850251528E-5</v>
      </c>
      <c r="CL91" s="69">
        <f t="shared" ref="CL91:CL97" si="287">IFERROR(CC91/CC$55,0)</f>
        <v>-1.318811124680324E-3</v>
      </c>
      <c r="CN91" s="84">
        <f>-SUMIFS('FY25 By Venue Financials'!$J:$J,'FY25 By Venue Financials'!$A:$A,$C91)</f>
        <v>-2.9896600000000002</v>
      </c>
      <c r="CO91" s="69">
        <f t="shared" si="262"/>
        <v>-8.2470430850251528E-5</v>
      </c>
      <c r="CQ91" s="71" t="s">
        <v>138</v>
      </c>
      <c r="CR91" s="71" t="s">
        <v>156</v>
      </c>
      <c r="CU91" s="25">
        <f t="shared" ref="CU91:CX91" si="288">SUMIFS($D91:$BZ91,$D$1:$BZ$1,CU$9)</f>
        <v>-9.4455466197448587E-2</v>
      </c>
      <c r="CV91" s="25">
        <f t="shared" si="288"/>
        <v>-0.19596750675192773</v>
      </c>
      <c r="CW91" s="25">
        <f t="shared" si="288"/>
        <v>-0.2745628586952038</v>
      </c>
      <c r="CX91" s="25">
        <f t="shared" si="288"/>
        <v>-0.31333308436211293</v>
      </c>
    </row>
    <row r="92" spans="3:102" ht="15.75" customHeight="1">
      <c r="C92" s="8" t="s">
        <v>178</v>
      </c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>
        <f>-SUMIFS('Monthly P&amp;L'!H:H,'Monthly P&amp;L'!$A:$A,$C92)/1000</f>
        <v>0</v>
      </c>
      <c r="Q92" s="84">
        <f>-SUMIFS('Monthly P&amp;L'!I:I,'Monthly P&amp;L'!$A:$A,$C92)/1000</f>
        <v>-0.9</v>
      </c>
      <c r="R92" s="84">
        <f>-SUMIFS('Monthly P&amp;L'!J:J,'Monthly P&amp;L'!$A:$A,$C92)/1000</f>
        <v>-1</v>
      </c>
      <c r="S92" s="84">
        <f>-SUMIFS('Monthly P&amp;L'!K:K,'Monthly P&amp;L'!$A:$A,$C92)/1000</f>
        <v>0</v>
      </c>
      <c r="T92" s="84">
        <f>-SUMIFS('Monthly P&amp;L'!L:L,'Monthly P&amp;L'!$A:$A,$C92)/1000</f>
        <v>0</v>
      </c>
      <c r="U92" s="84">
        <f>-SUMIFS('Monthly P&amp;L'!M:M,'Monthly P&amp;L'!$A:$A,$C92)/1000</f>
        <v>-2.11625</v>
      </c>
      <c r="V92" s="84">
        <f>-SUMIFS('Monthly P&amp;L'!N:N,'Monthly P&amp;L'!$A:$A,$C92)/1000</f>
        <v>0</v>
      </c>
      <c r="W92" s="84">
        <f>-SUMIFS('Monthly P&amp;L'!O:O,'Monthly P&amp;L'!$A:$A,$C92)/1000</f>
        <v>0</v>
      </c>
      <c r="X92" s="84">
        <f>-SUMIFS('Monthly P&amp;L'!P:P,'Monthly P&amp;L'!$A:$A,$C92)/1000</f>
        <v>-5.3175799999999995</v>
      </c>
      <c r="Y92" s="84">
        <f>-SUMIFS('Monthly P&amp;L'!Q:Q,'Monthly P&amp;L'!$A:$A,$C92)/1000</f>
        <v>0</v>
      </c>
      <c r="Z92" s="84">
        <f>-SUMIFS('Monthly P&amp;L'!R:R,'Monthly P&amp;L'!$A:$A,$C92)/1000</f>
        <v>-4</v>
      </c>
      <c r="AA92" s="84">
        <f>-SUMIFS('Monthly P&amp;L'!S:S,'Monthly P&amp;L'!$A:$A,$C92)/1000</f>
        <v>-5.2499999999999998E-2</v>
      </c>
      <c r="AB92" s="84">
        <f>-SUMIFS('Monthly P&amp;L'!T:T,'Monthly P&amp;L'!$A:$A,$C92)/1000</f>
        <v>-0.29163</v>
      </c>
      <c r="AC92" s="84">
        <f>-SUMIFS('Monthly P&amp;L'!U:U,'Monthly P&amp;L'!$A:$A,$C92)/1000</f>
        <v>0</v>
      </c>
      <c r="AD92" s="84">
        <f>-SUMIFS('Monthly P&amp;L'!V:V,'Monthly P&amp;L'!$A:$A,$C92)/1000</f>
        <v>-0.95750000000000002</v>
      </c>
      <c r="AE92" s="84">
        <f>-SUMIFS('Monthly P&amp;L'!W:W,'Monthly P&amp;L'!$A:$A,$C92)/1000</f>
        <v>-0.22825000000000001</v>
      </c>
      <c r="AF92" s="117">
        <f>-SUMIFS('Monthly P&amp;L'!X:X,'Monthly P&amp;L'!$A:$A,$C92)/1000*2</f>
        <v>-0.9</v>
      </c>
      <c r="AG92" s="26"/>
      <c r="AH92" s="25">
        <f t="shared" ref="AH92:BQ92" si="289">SUMIFS($CD92:$CF92,$CD$2:$CF$2,AH$3)/12</f>
        <v>-3.5088983318574803E-2</v>
      </c>
      <c r="AI92" s="25">
        <f t="shared" si="289"/>
        <v>-3.5088983318574803E-2</v>
      </c>
      <c r="AJ92" s="25">
        <f t="shared" si="289"/>
        <v>-3.5088983318574803E-2</v>
      </c>
      <c r="AK92" s="25">
        <f t="shared" si="289"/>
        <v>-3.5088983318574803E-2</v>
      </c>
      <c r="AL92" s="25">
        <f t="shared" si="289"/>
        <v>-3.5088983318574803E-2</v>
      </c>
      <c r="AM92" s="25">
        <f t="shared" si="289"/>
        <v>-3.5088983318574803E-2</v>
      </c>
      <c r="AN92" s="25">
        <f t="shared" si="289"/>
        <v>-3.5088983318574803E-2</v>
      </c>
      <c r="AO92" s="25">
        <f t="shared" si="289"/>
        <v>-3.5088983318574803E-2</v>
      </c>
      <c r="AP92" s="25">
        <f t="shared" si="289"/>
        <v>-3.5088983318574803E-2</v>
      </c>
      <c r="AQ92" s="25">
        <f t="shared" si="289"/>
        <v>-3.5088983318574803E-2</v>
      </c>
      <c r="AR92" s="25">
        <f t="shared" si="289"/>
        <v>-3.5088983318574803E-2</v>
      </c>
      <c r="AS92" s="25">
        <f t="shared" si="289"/>
        <v>-3.5088983318574803E-2</v>
      </c>
      <c r="AT92" s="25">
        <f t="shared" si="289"/>
        <v>-4.7735833176478254E-2</v>
      </c>
      <c r="AU92" s="25">
        <f t="shared" si="289"/>
        <v>-4.7735833176478254E-2</v>
      </c>
      <c r="AV92" s="25">
        <f t="shared" si="289"/>
        <v>-4.7735833176478254E-2</v>
      </c>
      <c r="AW92" s="25">
        <f t="shared" si="289"/>
        <v>-4.7735833176478254E-2</v>
      </c>
      <c r="AX92" s="25">
        <f t="shared" si="289"/>
        <v>-4.7735833176478254E-2</v>
      </c>
      <c r="AY92" s="25">
        <f t="shared" si="289"/>
        <v>-4.7735833176478254E-2</v>
      </c>
      <c r="AZ92" s="25">
        <f t="shared" si="289"/>
        <v>-4.7735833176478254E-2</v>
      </c>
      <c r="BA92" s="25">
        <f t="shared" si="289"/>
        <v>-4.7735833176478254E-2</v>
      </c>
      <c r="BB92" s="25">
        <f t="shared" si="289"/>
        <v>-4.7735833176478254E-2</v>
      </c>
      <c r="BC92" s="25">
        <f t="shared" si="289"/>
        <v>-4.7735833176478254E-2</v>
      </c>
      <c r="BD92" s="25">
        <f t="shared" si="289"/>
        <v>-4.7735833176478254E-2</v>
      </c>
      <c r="BE92" s="25">
        <f t="shared" si="289"/>
        <v>-4.7735833176478254E-2</v>
      </c>
      <c r="BF92" s="25">
        <f t="shared" si="289"/>
        <v>-6.7899525115446502E-2</v>
      </c>
      <c r="BG92" s="25">
        <f t="shared" si="289"/>
        <v>-6.7899525115446502E-2</v>
      </c>
      <c r="BH92" s="25">
        <f t="shared" si="289"/>
        <v>-6.7899525115446502E-2</v>
      </c>
      <c r="BI92" s="25">
        <f t="shared" si="289"/>
        <v>-6.7899525115446502E-2</v>
      </c>
      <c r="BJ92" s="25">
        <f t="shared" si="289"/>
        <v>-6.7899525115446502E-2</v>
      </c>
      <c r="BK92" s="25">
        <f t="shared" si="289"/>
        <v>-6.7899525115446502E-2</v>
      </c>
      <c r="BL92" s="25">
        <f t="shared" si="289"/>
        <v>-6.7899525115446502E-2</v>
      </c>
      <c r="BM92" s="25">
        <f t="shared" si="289"/>
        <v>-6.7899525115446502E-2</v>
      </c>
      <c r="BN92" s="25">
        <f t="shared" si="289"/>
        <v>-6.7899525115446502E-2</v>
      </c>
      <c r="BO92" s="25">
        <f t="shared" si="289"/>
        <v>-6.7899525115446502E-2</v>
      </c>
      <c r="BP92" s="25">
        <f t="shared" si="289"/>
        <v>-6.7899525115446502E-2</v>
      </c>
      <c r="BQ92" s="96">
        <f t="shared" si="289"/>
        <v>-6.7899525115446502E-2</v>
      </c>
      <c r="BR92" s="25"/>
      <c r="BS92" s="25">
        <f t="shared" ref="BS92:BY92" si="290">BF92</f>
        <v>-6.7899525115446502E-2</v>
      </c>
      <c r="BT92" s="25">
        <f t="shared" si="290"/>
        <v>-6.7899525115446502E-2</v>
      </c>
      <c r="BU92" s="25">
        <f t="shared" si="290"/>
        <v>-6.7899525115446502E-2</v>
      </c>
      <c r="BV92" s="25">
        <f t="shared" si="290"/>
        <v>-6.7899525115446502E-2</v>
      </c>
      <c r="BW92" s="25">
        <f t="shared" si="290"/>
        <v>-6.7899525115446502E-2</v>
      </c>
      <c r="BX92" s="25">
        <f t="shared" si="290"/>
        <v>-6.7899525115446502E-2</v>
      </c>
      <c r="BY92" s="25">
        <f t="shared" si="290"/>
        <v>-6.7899525115446502E-2</v>
      </c>
      <c r="BZ92" s="26"/>
      <c r="CA92" s="84">
        <f>-SUMIFS('Monthly P&amp;L'!$E:$E,'Monthly P&amp;L'!$A:$A,$C92)/1000</f>
        <v>-3.49065</v>
      </c>
      <c r="CB92" s="25">
        <f t="shared" si="240"/>
        <v>-13.386329999999999</v>
      </c>
      <c r="CC92" s="25">
        <f t="shared" si="241"/>
        <v>-12.963709999999999</v>
      </c>
      <c r="CD92" s="25">
        <f t="shared" ref="CD92:CF92" si="291">CD$55*CH92</f>
        <v>-0.42106779982289766</v>
      </c>
      <c r="CE92" s="25">
        <f t="shared" si="291"/>
        <v>-0.57282999811773905</v>
      </c>
      <c r="CF92" s="25">
        <f t="shared" si="291"/>
        <v>-0.81479430138535802</v>
      </c>
      <c r="CH92" s="120">
        <f t="shared" ref="CH92:CJ92" si="292">$CO92</f>
        <v>-2.1445688452076305E-4</v>
      </c>
      <c r="CI92" s="120">
        <f t="shared" si="292"/>
        <v>-2.1445688452076305E-4</v>
      </c>
      <c r="CJ92" s="120">
        <f t="shared" si="292"/>
        <v>-2.1445688452076305E-4</v>
      </c>
      <c r="CL92" s="69">
        <f t="shared" si="287"/>
        <v>-9.7715444120673751E-3</v>
      </c>
      <c r="CN92" s="84">
        <f>-SUMIFS('FY25 By Venue Financials'!$J:$J,'FY25 By Venue Financials'!$A:$A,$C92)</f>
        <v>-7.7743399999999996</v>
      </c>
      <c r="CO92" s="69">
        <f t="shared" si="262"/>
        <v>-2.1445688452076305E-4</v>
      </c>
      <c r="CQ92" s="71" t="s">
        <v>138</v>
      </c>
      <c r="CR92" s="71" t="s">
        <v>156</v>
      </c>
      <c r="CU92" s="25">
        <f t="shared" ref="CU92:CX92" si="293">SUMIFS($D92:$BZ92,$D$1:$BZ$1,CU$9)</f>
        <v>-2.6230028832300252</v>
      </c>
      <c r="CV92" s="25">
        <f t="shared" si="293"/>
        <v>-0.50959574882822167</v>
      </c>
      <c r="CW92" s="25">
        <f t="shared" si="293"/>
        <v>-0.71397584169051675</v>
      </c>
      <c r="CX92" s="25">
        <f t="shared" si="293"/>
        <v>-0.81479430138535802</v>
      </c>
    </row>
    <row r="93" spans="3:102" ht="15.75" customHeight="1">
      <c r="C93" s="8" t="s">
        <v>179</v>
      </c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>
        <f>-SUMIFS('Monthly P&amp;L'!H:H,'Monthly P&amp;L'!$A:$A,$C93)/1000</f>
        <v>-15.5</v>
      </c>
      <c r="Q93" s="84">
        <f>-SUMIFS('Monthly P&amp;L'!I:I,'Monthly P&amp;L'!$A:$A,$C93)/1000</f>
        <v>-31</v>
      </c>
      <c r="R93" s="84">
        <f>-SUMIFS('Monthly P&amp;L'!J:J,'Monthly P&amp;L'!$A:$A,$C93)/1000</f>
        <v>-15.5</v>
      </c>
      <c r="S93" s="84">
        <f>-SUMIFS('Monthly P&amp;L'!K:K,'Monthly P&amp;L'!$A:$A,$C93)/1000</f>
        <v>0</v>
      </c>
      <c r="T93" s="84">
        <f>-SUMIFS('Monthly P&amp;L'!L:L,'Monthly P&amp;L'!$A:$A,$C93)/1000</f>
        <v>-38</v>
      </c>
      <c r="U93" s="84">
        <f>-SUMIFS('Monthly P&amp;L'!M:M,'Monthly P&amp;L'!$A:$A,$C93)/1000</f>
        <v>-15.5</v>
      </c>
      <c r="V93" s="84">
        <f>-SUMIFS('Monthly P&amp;L'!N:N,'Monthly P&amp;L'!$A:$A,$C93)/1000</f>
        <v>-15.5</v>
      </c>
      <c r="W93" s="84">
        <f>-SUMIFS('Monthly P&amp;L'!O:O,'Monthly P&amp;L'!$A:$A,$C93)/1000</f>
        <v>-15.5</v>
      </c>
      <c r="X93" s="84">
        <f>-SUMIFS('Monthly P&amp;L'!P:P,'Monthly P&amp;L'!$A:$A,$C93)/1000</f>
        <v>-15.5</v>
      </c>
      <c r="Y93" s="84">
        <f>-SUMIFS('Monthly P&amp;L'!Q:Q,'Monthly P&amp;L'!$A:$A,$C93)/1000</f>
        <v>-15.5</v>
      </c>
      <c r="Z93" s="84">
        <f>-SUMIFS('Monthly P&amp;L'!R:R,'Monthly P&amp;L'!$A:$A,$C93)/1000</f>
        <v>-15.5</v>
      </c>
      <c r="AA93" s="84">
        <f>-SUMIFS('Monthly P&amp;L'!S:S,'Monthly P&amp;L'!$A:$A,$C93)/1000</f>
        <v>-15.5</v>
      </c>
      <c r="AB93" s="84">
        <f>-SUMIFS('Monthly P&amp;L'!T:T,'Monthly P&amp;L'!$A:$A,$C93)/1000</f>
        <v>-15.5</v>
      </c>
      <c r="AC93" s="84">
        <f>-SUMIFS('Monthly P&amp;L'!U:U,'Monthly P&amp;L'!$A:$A,$C93)/1000</f>
        <v>-15.5</v>
      </c>
      <c r="AD93" s="84">
        <f>-SUMIFS('Monthly P&amp;L'!V:V,'Monthly P&amp;L'!$A:$A,$C93)/1000</f>
        <v>-13.77</v>
      </c>
      <c r="AE93" s="84">
        <f>-SUMIFS('Monthly P&amp;L'!W:W,'Monthly P&amp;L'!$A:$A,$C93)/1000</f>
        <v>-15.5</v>
      </c>
      <c r="AF93" s="117">
        <f>-SUMIFS('Monthly P&amp;L'!X:X,'Monthly P&amp;L'!$A:$A,$C93)/1000*2</f>
        <v>-62</v>
      </c>
      <c r="AG93" s="26"/>
      <c r="AH93" s="25">
        <f t="shared" ref="AH93:BQ93" si="294">SUMIFS($CD93:$CF93,$CD$2:$CF$2,AH$3)/12</f>
        <v>0</v>
      </c>
      <c r="AI93" s="25">
        <f t="shared" si="294"/>
        <v>0</v>
      </c>
      <c r="AJ93" s="25">
        <f t="shared" si="294"/>
        <v>0</v>
      </c>
      <c r="AK93" s="25">
        <f t="shared" si="294"/>
        <v>0</v>
      </c>
      <c r="AL93" s="25">
        <f t="shared" si="294"/>
        <v>0</v>
      </c>
      <c r="AM93" s="25">
        <f t="shared" si="294"/>
        <v>0</v>
      </c>
      <c r="AN93" s="25">
        <f t="shared" si="294"/>
        <v>0</v>
      </c>
      <c r="AO93" s="25">
        <f t="shared" si="294"/>
        <v>0</v>
      </c>
      <c r="AP93" s="25">
        <f t="shared" si="294"/>
        <v>0</v>
      </c>
      <c r="AQ93" s="25">
        <f t="shared" si="294"/>
        <v>0</v>
      </c>
      <c r="AR93" s="25">
        <f t="shared" si="294"/>
        <v>0</v>
      </c>
      <c r="AS93" s="25">
        <f t="shared" si="294"/>
        <v>0</v>
      </c>
      <c r="AT93" s="25">
        <f t="shared" si="294"/>
        <v>0</v>
      </c>
      <c r="AU93" s="25">
        <f t="shared" si="294"/>
        <v>0</v>
      </c>
      <c r="AV93" s="25">
        <f t="shared" si="294"/>
        <v>0</v>
      </c>
      <c r="AW93" s="25">
        <f t="shared" si="294"/>
        <v>0</v>
      </c>
      <c r="AX93" s="25">
        <f t="shared" si="294"/>
        <v>0</v>
      </c>
      <c r="AY93" s="25">
        <f t="shared" si="294"/>
        <v>0</v>
      </c>
      <c r="AZ93" s="25">
        <f t="shared" si="294"/>
        <v>0</v>
      </c>
      <c r="BA93" s="25">
        <f t="shared" si="294"/>
        <v>0</v>
      </c>
      <c r="BB93" s="25">
        <f t="shared" si="294"/>
        <v>0</v>
      </c>
      <c r="BC93" s="25">
        <f t="shared" si="294"/>
        <v>0</v>
      </c>
      <c r="BD93" s="25">
        <f t="shared" si="294"/>
        <v>0</v>
      </c>
      <c r="BE93" s="25">
        <f t="shared" si="294"/>
        <v>0</v>
      </c>
      <c r="BF93" s="25">
        <f t="shared" si="294"/>
        <v>0</v>
      </c>
      <c r="BG93" s="25">
        <f t="shared" si="294"/>
        <v>0</v>
      </c>
      <c r="BH93" s="25">
        <f t="shared" si="294"/>
        <v>0</v>
      </c>
      <c r="BI93" s="25">
        <f t="shared" si="294"/>
        <v>0</v>
      </c>
      <c r="BJ93" s="25">
        <f t="shared" si="294"/>
        <v>0</v>
      </c>
      <c r="BK93" s="25">
        <f t="shared" si="294"/>
        <v>0</v>
      </c>
      <c r="BL93" s="25">
        <f t="shared" si="294"/>
        <v>0</v>
      </c>
      <c r="BM93" s="25">
        <f t="shared" si="294"/>
        <v>0</v>
      </c>
      <c r="BN93" s="25">
        <f t="shared" si="294"/>
        <v>0</v>
      </c>
      <c r="BO93" s="25">
        <f t="shared" si="294"/>
        <v>0</v>
      </c>
      <c r="BP93" s="25">
        <f t="shared" si="294"/>
        <v>0</v>
      </c>
      <c r="BQ93" s="96">
        <f t="shared" si="294"/>
        <v>0</v>
      </c>
      <c r="BR93" s="25"/>
      <c r="BS93" s="25">
        <f t="shared" ref="BS93:BY93" si="295">BF93</f>
        <v>0</v>
      </c>
      <c r="BT93" s="25">
        <f t="shared" si="295"/>
        <v>0</v>
      </c>
      <c r="BU93" s="25">
        <f t="shared" si="295"/>
        <v>0</v>
      </c>
      <c r="BV93" s="25">
        <f t="shared" si="295"/>
        <v>0</v>
      </c>
      <c r="BW93" s="25">
        <f t="shared" si="295"/>
        <v>0</v>
      </c>
      <c r="BX93" s="25">
        <f t="shared" si="295"/>
        <v>0</v>
      </c>
      <c r="BY93" s="25">
        <f t="shared" si="295"/>
        <v>0</v>
      </c>
      <c r="BZ93" s="26"/>
      <c r="CA93" s="84">
        <f>-SUMIFS('Monthly P&amp;L'!$E:$E,'Monthly P&amp;L'!$A:$A,$C93)/1000</f>
        <v>-170.5</v>
      </c>
      <c r="CB93" s="25">
        <f t="shared" si="240"/>
        <v>-208.5</v>
      </c>
      <c r="CC93" s="25">
        <f t="shared" si="241"/>
        <v>-206.77</v>
      </c>
      <c r="CD93" s="25">
        <f t="shared" ref="CD93:CF93" si="296">CD$55*CH93</f>
        <v>0</v>
      </c>
      <c r="CE93" s="25">
        <f t="shared" si="296"/>
        <v>0</v>
      </c>
      <c r="CF93" s="25">
        <f t="shared" si="296"/>
        <v>0</v>
      </c>
      <c r="CH93" s="120">
        <v>0</v>
      </c>
      <c r="CI93" s="120">
        <v>0</v>
      </c>
      <c r="CJ93" s="120">
        <v>0</v>
      </c>
      <c r="CL93" s="69">
        <f t="shared" si="287"/>
        <v>-0.15585524807969103</v>
      </c>
      <c r="CN93" s="84">
        <f>-SUMIFS('FY25 By Venue Financials'!$J:$J,'FY25 By Venue Financials'!$A:$A,$C93)</f>
        <v>-3254.2021099999997</v>
      </c>
      <c r="CO93" s="69">
        <f t="shared" si="262"/>
        <v>-8.9767883333053786E-2</v>
      </c>
      <c r="CQ93" s="71" t="s">
        <v>138</v>
      </c>
      <c r="CR93" s="119" t="s">
        <v>121</v>
      </c>
      <c r="CU93" s="25">
        <f t="shared" ref="CU93:CX93" si="297">SUMIFS($D93:$BZ93,$D$1:$BZ$1,CU$9)</f>
        <v>-122.27</v>
      </c>
      <c r="CV93" s="25">
        <f t="shared" si="297"/>
        <v>0</v>
      </c>
      <c r="CW93" s="25">
        <f t="shared" si="297"/>
        <v>0</v>
      </c>
      <c r="CX93" s="25">
        <f t="shared" si="297"/>
        <v>0</v>
      </c>
    </row>
    <row r="94" spans="3:102" ht="15.75" customHeight="1">
      <c r="C94" s="8" t="s">
        <v>180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>
        <f>-SUMIFS('Monthly P&amp;L'!H:H,'Monthly P&amp;L'!$A:$A,$C94)/1000</f>
        <v>0</v>
      </c>
      <c r="Q94" s="84">
        <f>-SUMIFS('Monthly P&amp;L'!I:I,'Monthly P&amp;L'!$A:$A,$C94)/1000</f>
        <v>-3.3780000000000001</v>
      </c>
      <c r="R94" s="84">
        <f>-SUMIFS('Monthly P&amp;L'!J:J,'Monthly P&amp;L'!$A:$A,$C94)/1000</f>
        <v>0</v>
      </c>
      <c r="S94" s="84">
        <f>-SUMIFS('Monthly P&amp;L'!K:K,'Monthly P&amp;L'!$A:$A,$C94)/1000</f>
        <v>-2.5000000000000001E-2</v>
      </c>
      <c r="T94" s="84">
        <f>-SUMIFS('Monthly P&amp;L'!L:L,'Monthly P&amp;L'!$A:$A,$C94)/1000</f>
        <v>-4.2510000000000003</v>
      </c>
      <c r="U94" s="84">
        <f>-SUMIFS('Monthly P&amp;L'!M:M,'Monthly P&amp;L'!$A:$A,$C94)/1000</f>
        <v>-2.5000000000000001E-2</v>
      </c>
      <c r="V94" s="84">
        <f>-SUMIFS('Monthly P&amp;L'!N:N,'Monthly P&amp;L'!$A:$A,$C94)/1000</f>
        <v>0</v>
      </c>
      <c r="W94" s="84">
        <f>-SUMIFS('Monthly P&amp;L'!O:O,'Monthly P&amp;L'!$A:$A,$C94)/1000</f>
        <v>-5.6379999999999999</v>
      </c>
      <c r="X94" s="84">
        <f>-SUMIFS('Monthly P&amp;L'!P:P,'Monthly P&amp;L'!$A:$A,$C94)/1000</f>
        <v>-0.03</v>
      </c>
      <c r="Y94" s="84">
        <f>-SUMIFS('Monthly P&amp;L'!Q:Q,'Monthly P&amp;L'!$A:$A,$C94)/1000</f>
        <v>-5.63</v>
      </c>
      <c r="Z94" s="84">
        <f>-SUMIFS('Monthly P&amp;L'!R:R,'Monthly P&amp;L'!$A:$A,$C94)/1000</f>
        <v>0</v>
      </c>
      <c r="AA94" s="84">
        <f>-SUMIFS('Monthly P&amp;L'!S:S,'Monthly P&amp;L'!$A:$A,$C94)/1000</f>
        <v>-5.63</v>
      </c>
      <c r="AB94" s="84">
        <f>-SUMIFS('Monthly P&amp;L'!T:T,'Monthly P&amp;L'!$A:$A,$C94)/1000</f>
        <v>0</v>
      </c>
      <c r="AC94" s="84">
        <f>-SUMIFS('Monthly P&amp;L'!U:U,'Monthly P&amp;L'!$A:$A,$C94)/1000</f>
        <v>0</v>
      </c>
      <c r="AD94" s="84">
        <f>-SUMIFS('Monthly P&amp;L'!V:V,'Monthly P&amp;L'!$A:$A,$C94)/1000</f>
        <v>0</v>
      </c>
      <c r="AE94" s="84">
        <f>-SUMIFS('Monthly P&amp;L'!W:W,'Monthly P&amp;L'!$A:$A,$C94)/1000</f>
        <v>0</v>
      </c>
      <c r="AF94" s="117">
        <f>-SUMIFS('Monthly P&amp;L'!X:X,'Monthly P&amp;L'!$A:$A,$C94)/1000*2</f>
        <v>0</v>
      </c>
      <c r="AG94" s="26"/>
      <c r="AH94" s="25">
        <f t="shared" ref="AH94:BQ94" si="298">SUMIFS($CD94:$CF94,$CD$2:$CF$2,AH$3)/12</f>
        <v>-3.0935941442264845</v>
      </c>
      <c r="AI94" s="25">
        <f t="shared" si="298"/>
        <v>-3.0935941442264845</v>
      </c>
      <c r="AJ94" s="25">
        <f t="shared" si="298"/>
        <v>-3.0935941442264845</v>
      </c>
      <c r="AK94" s="25">
        <f t="shared" si="298"/>
        <v>-3.0935941442264845</v>
      </c>
      <c r="AL94" s="25">
        <f t="shared" si="298"/>
        <v>-3.0935941442264845</v>
      </c>
      <c r="AM94" s="25">
        <f t="shared" si="298"/>
        <v>-3.0935941442264845</v>
      </c>
      <c r="AN94" s="25">
        <f t="shared" si="298"/>
        <v>-3.0935941442264845</v>
      </c>
      <c r="AO94" s="25">
        <f t="shared" si="298"/>
        <v>-3.0935941442264845</v>
      </c>
      <c r="AP94" s="25">
        <f t="shared" si="298"/>
        <v>-3.0935941442264845</v>
      </c>
      <c r="AQ94" s="25">
        <f t="shared" si="298"/>
        <v>-3.0935941442264845</v>
      </c>
      <c r="AR94" s="25">
        <f t="shared" si="298"/>
        <v>-3.0935941442264845</v>
      </c>
      <c r="AS94" s="25">
        <f t="shared" si="298"/>
        <v>-3.0935941442264845</v>
      </c>
      <c r="AT94" s="25">
        <f t="shared" si="298"/>
        <v>-4.2085942657207633</v>
      </c>
      <c r="AU94" s="25">
        <f t="shared" si="298"/>
        <v>-4.2085942657207633</v>
      </c>
      <c r="AV94" s="25">
        <f t="shared" si="298"/>
        <v>-4.2085942657207633</v>
      </c>
      <c r="AW94" s="25">
        <f t="shared" si="298"/>
        <v>-4.2085942657207633</v>
      </c>
      <c r="AX94" s="25">
        <f t="shared" si="298"/>
        <v>-4.2085942657207633</v>
      </c>
      <c r="AY94" s="25">
        <f t="shared" si="298"/>
        <v>-4.2085942657207633</v>
      </c>
      <c r="AZ94" s="25">
        <f t="shared" si="298"/>
        <v>-4.2085942657207633</v>
      </c>
      <c r="BA94" s="25">
        <f t="shared" si="298"/>
        <v>-4.2085942657207633</v>
      </c>
      <c r="BB94" s="25">
        <f t="shared" si="298"/>
        <v>-4.2085942657207633</v>
      </c>
      <c r="BC94" s="25">
        <f t="shared" si="298"/>
        <v>-4.2085942657207633</v>
      </c>
      <c r="BD94" s="25">
        <f t="shared" si="298"/>
        <v>-4.2085942657207633</v>
      </c>
      <c r="BE94" s="25">
        <f t="shared" si="298"/>
        <v>-4.2085942657207633</v>
      </c>
      <c r="BF94" s="25">
        <f t="shared" si="298"/>
        <v>-5.9863111845053041</v>
      </c>
      <c r="BG94" s="25">
        <f t="shared" si="298"/>
        <v>-5.9863111845053041</v>
      </c>
      <c r="BH94" s="25">
        <f t="shared" si="298"/>
        <v>-5.9863111845053041</v>
      </c>
      <c r="BI94" s="25">
        <f t="shared" si="298"/>
        <v>-5.9863111845053041</v>
      </c>
      <c r="BJ94" s="25">
        <f t="shared" si="298"/>
        <v>-5.9863111845053041</v>
      </c>
      <c r="BK94" s="25">
        <f t="shared" si="298"/>
        <v>-5.9863111845053041</v>
      </c>
      <c r="BL94" s="25">
        <f t="shared" si="298"/>
        <v>-5.9863111845053041</v>
      </c>
      <c r="BM94" s="25">
        <f t="shared" si="298"/>
        <v>-5.9863111845053041</v>
      </c>
      <c r="BN94" s="25">
        <f t="shared" si="298"/>
        <v>-5.9863111845053041</v>
      </c>
      <c r="BO94" s="25">
        <f t="shared" si="298"/>
        <v>-5.9863111845053041</v>
      </c>
      <c r="BP94" s="25">
        <f t="shared" si="298"/>
        <v>-5.9863111845053041</v>
      </c>
      <c r="BQ94" s="96">
        <f t="shared" si="298"/>
        <v>-5.9863111845053041</v>
      </c>
      <c r="BR94" s="25"/>
      <c r="BS94" s="25">
        <f t="shared" ref="BS94:BY94" si="299">BF94</f>
        <v>-5.9863111845053041</v>
      </c>
      <c r="BT94" s="25">
        <f t="shared" si="299"/>
        <v>-5.9863111845053041</v>
      </c>
      <c r="BU94" s="25">
        <f t="shared" si="299"/>
        <v>-5.9863111845053041</v>
      </c>
      <c r="BV94" s="25">
        <f t="shared" si="299"/>
        <v>-5.9863111845053041</v>
      </c>
      <c r="BW94" s="25">
        <f t="shared" si="299"/>
        <v>-5.9863111845053041</v>
      </c>
      <c r="BX94" s="25">
        <f t="shared" si="299"/>
        <v>-5.9863111845053041</v>
      </c>
      <c r="BY94" s="25">
        <f t="shared" si="299"/>
        <v>-5.9863111845053041</v>
      </c>
      <c r="BZ94" s="26"/>
      <c r="CA94" s="84">
        <f>-SUMIFS('Monthly P&amp;L'!$E:$E,'Monthly P&amp;L'!$A:$A,$C94)/1000</f>
        <v>-10.164</v>
      </c>
      <c r="CB94" s="25">
        <f t="shared" si="240"/>
        <v>-24.606999999999999</v>
      </c>
      <c r="CC94" s="25">
        <f t="shared" si="241"/>
        <v>-21.204000000000001</v>
      </c>
      <c r="CD94" s="25">
        <f t="shared" ref="CD94:CF94" si="300">CD$55*CH94</f>
        <v>-37.123129730717814</v>
      </c>
      <c r="CE94" s="25">
        <f t="shared" si="300"/>
        <v>-50.503131188649164</v>
      </c>
      <c r="CF94" s="25">
        <f t="shared" si="300"/>
        <v>-71.835734214063649</v>
      </c>
      <c r="CH94" s="120">
        <f t="shared" ref="CH94:CJ94" si="301">$CO94</f>
        <v>-1.890743188877992E-2</v>
      </c>
      <c r="CI94" s="120">
        <f t="shared" si="301"/>
        <v>-1.890743188877992E-2</v>
      </c>
      <c r="CJ94" s="120">
        <f t="shared" si="301"/>
        <v>-1.890743188877992E-2</v>
      </c>
      <c r="CL94" s="69">
        <f t="shared" si="287"/>
        <v>-1.598275707443908E-2</v>
      </c>
      <c r="CN94" s="84">
        <f>-SUMIFS('FY25 By Venue Financials'!$J:$J,'FY25 By Venue Financials'!$A:$A,$C94)</f>
        <v>-685.41890999999998</v>
      </c>
      <c r="CO94" s="69">
        <f t="shared" si="262"/>
        <v>-1.890743188877992E-2</v>
      </c>
      <c r="CQ94" s="71" t="s">
        <v>138</v>
      </c>
      <c r="CR94" s="71" t="s">
        <v>156</v>
      </c>
      <c r="CU94" s="25">
        <f t="shared" ref="CU94:CX94" si="302">SUMIFS($D94:$BZ94,$D$1:$BZ$1,CU$9)</f>
        <v>-21.65515900958539</v>
      </c>
      <c r="CV94" s="25">
        <f t="shared" si="302"/>
        <v>-44.928130581177761</v>
      </c>
      <c r="CW94" s="25">
        <f t="shared" si="302"/>
        <v>-62.947149620140941</v>
      </c>
      <c r="CX94" s="25">
        <f t="shared" si="302"/>
        <v>-71.835734214063649</v>
      </c>
    </row>
    <row r="95" spans="3:102" ht="15.75" customHeight="1">
      <c r="C95" s="8" t="s">
        <v>181</v>
      </c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>
        <f>-SUMIFS('Monthly P&amp;L'!H:H,'Monthly P&amp;L'!$A:$A,$C95)/1000</f>
        <v>0</v>
      </c>
      <c r="Q95" s="84">
        <f>-SUMIFS('Monthly P&amp;L'!I:I,'Monthly P&amp;L'!$A:$A,$C95)/1000</f>
        <v>-1.6E-2</v>
      </c>
      <c r="R95" s="84">
        <f>-SUMIFS('Monthly P&amp;L'!J:J,'Monthly P&amp;L'!$A:$A,$C95)/1000</f>
        <v>0</v>
      </c>
      <c r="S95" s="84">
        <f>-SUMIFS('Monthly P&amp;L'!K:K,'Monthly P&amp;L'!$A:$A,$C95)/1000</f>
        <v>0</v>
      </c>
      <c r="T95" s="84">
        <f>-SUMIFS('Monthly P&amp;L'!L:L,'Monthly P&amp;L'!$A:$A,$C95)/1000</f>
        <v>0</v>
      </c>
      <c r="U95" s="84">
        <f>-SUMIFS('Monthly P&amp;L'!M:M,'Monthly P&amp;L'!$A:$A,$C95)/1000</f>
        <v>0</v>
      </c>
      <c r="V95" s="84">
        <f>-SUMIFS('Monthly P&amp;L'!N:N,'Monthly P&amp;L'!$A:$A,$C95)/1000</f>
        <v>-9.9000000000000005E-2</v>
      </c>
      <c r="W95" s="84">
        <f>-SUMIFS('Monthly P&amp;L'!O:O,'Monthly P&amp;L'!$A:$A,$C95)/1000</f>
        <v>0</v>
      </c>
      <c r="X95" s="84">
        <f>-SUMIFS('Monthly P&amp;L'!P:P,'Monthly P&amp;L'!$A:$A,$C95)/1000</f>
        <v>0</v>
      </c>
      <c r="Y95" s="84">
        <f>-SUMIFS('Monthly P&amp;L'!Q:Q,'Monthly P&amp;L'!$A:$A,$C95)/1000</f>
        <v>0</v>
      </c>
      <c r="Z95" s="84">
        <f>-SUMIFS('Monthly P&amp;L'!R:R,'Monthly P&amp;L'!$A:$A,$C95)/1000</f>
        <v>0</v>
      </c>
      <c r="AA95" s="84">
        <f>-SUMIFS('Monthly P&amp;L'!S:S,'Monthly P&amp;L'!$A:$A,$C95)/1000</f>
        <v>0</v>
      </c>
      <c r="AB95" s="84">
        <f>-SUMIFS('Monthly P&amp;L'!T:T,'Monthly P&amp;L'!$A:$A,$C95)/1000</f>
        <v>0</v>
      </c>
      <c r="AC95" s="84">
        <f>-SUMIFS('Monthly P&amp;L'!U:U,'Monthly P&amp;L'!$A:$A,$C95)/1000</f>
        <v>0</v>
      </c>
      <c r="AD95" s="84">
        <f>-SUMIFS('Monthly P&amp;L'!V:V,'Monthly P&amp;L'!$A:$A,$C95)/1000</f>
        <v>0</v>
      </c>
      <c r="AE95" s="84">
        <f>-SUMIFS('Monthly P&amp;L'!W:W,'Monthly P&amp;L'!$A:$A,$C95)/1000</f>
        <v>0</v>
      </c>
      <c r="AF95" s="117">
        <f>-SUMIFS('Monthly P&amp;L'!X:X,'Monthly P&amp;L'!$A:$A,$C95)/1000*2</f>
        <v>0</v>
      </c>
      <c r="AG95" s="26"/>
      <c r="AH95" s="25">
        <f t="shared" ref="AH95:BQ95" si="303">SUMIFS($CD95:$CF95,$CD$2:$CF$2,AH$3)/12</f>
        <v>-1.5489047788606991</v>
      </c>
      <c r="AI95" s="25">
        <f t="shared" si="303"/>
        <v>-1.5489047788606991</v>
      </c>
      <c r="AJ95" s="25">
        <f t="shared" si="303"/>
        <v>-1.5489047788606991</v>
      </c>
      <c r="AK95" s="25">
        <f t="shared" si="303"/>
        <v>-1.5489047788606991</v>
      </c>
      <c r="AL95" s="25">
        <f t="shared" si="303"/>
        <v>-1.5489047788606991</v>
      </c>
      <c r="AM95" s="25">
        <f t="shared" si="303"/>
        <v>-1.5489047788606991</v>
      </c>
      <c r="AN95" s="25">
        <f t="shared" si="303"/>
        <v>-1.5489047788606991</v>
      </c>
      <c r="AO95" s="25">
        <f t="shared" si="303"/>
        <v>-1.5489047788606991</v>
      </c>
      <c r="AP95" s="25">
        <f t="shared" si="303"/>
        <v>-1.5489047788606991</v>
      </c>
      <c r="AQ95" s="25">
        <f t="shared" si="303"/>
        <v>-1.5489047788606991</v>
      </c>
      <c r="AR95" s="25">
        <f t="shared" si="303"/>
        <v>-1.5489047788606991</v>
      </c>
      <c r="AS95" s="25">
        <f t="shared" si="303"/>
        <v>-1.5489047788606991</v>
      </c>
      <c r="AT95" s="25">
        <f t="shared" si="303"/>
        <v>-2.107164503988467</v>
      </c>
      <c r="AU95" s="25">
        <f t="shared" si="303"/>
        <v>-2.107164503988467</v>
      </c>
      <c r="AV95" s="25">
        <f t="shared" si="303"/>
        <v>-2.107164503988467</v>
      </c>
      <c r="AW95" s="25">
        <f t="shared" si="303"/>
        <v>-2.107164503988467</v>
      </c>
      <c r="AX95" s="25">
        <f t="shared" si="303"/>
        <v>-2.107164503988467</v>
      </c>
      <c r="AY95" s="25">
        <f t="shared" si="303"/>
        <v>-2.107164503988467</v>
      </c>
      <c r="AZ95" s="25">
        <f t="shared" si="303"/>
        <v>-2.107164503988467</v>
      </c>
      <c r="BA95" s="25">
        <f t="shared" si="303"/>
        <v>-2.107164503988467</v>
      </c>
      <c r="BB95" s="25">
        <f t="shared" si="303"/>
        <v>-2.107164503988467</v>
      </c>
      <c r="BC95" s="25">
        <f t="shared" si="303"/>
        <v>-2.107164503988467</v>
      </c>
      <c r="BD95" s="25">
        <f t="shared" si="303"/>
        <v>-2.107164503988467</v>
      </c>
      <c r="BE95" s="25">
        <f t="shared" si="303"/>
        <v>-2.107164503988467</v>
      </c>
      <c r="BF95" s="25">
        <f t="shared" si="303"/>
        <v>-2.9972341455106819</v>
      </c>
      <c r="BG95" s="25">
        <f t="shared" si="303"/>
        <v>-2.9972341455106819</v>
      </c>
      <c r="BH95" s="25">
        <f t="shared" si="303"/>
        <v>-2.9972341455106819</v>
      </c>
      <c r="BI95" s="25">
        <f t="shared" si="303"/>
        <v>-2.9972341455106819</v>
      </c>
      <c r="BJ95" s="25">
        <f t="shared" si="303"/>
        <v>-2.9972341455106819</v>
      </c>
      <c r="BK95" s="25">
        <f t="shared" si="303"/>
        <v>-2.9972341455106819</v>
      </c>
      <c r="BL95" s="25">
        <f t="shared" si="303"/>
        <v>-2.9972341455106819</v>
      </c>
      <c r="BM95" s="25">
        <f t="shared" si="303"/>
        <v>-2.9972341455106819</v>
      </c>
      <c r="BN95" s="25">
        <f t="shared" si="303"/>
        <v>-2.9972341455106819</v>
      </c>
      <c r="BO95" s="25">
        <f t="shared" si="303"/>
        <v>-2.9972341455106819</v>
      </c>
      <c r="BP95" s="25">
        <f t="shared" si="303"/>
        <v>-2.9972341455106819</v>
      </c>
      <c r="BQ95" s="96">
        <f t="shared" si="303"/>
        <v>-2.9972341455106819</v>
      </c>
      <c r="BR95" s="25"/>
      <c r="BS95" s="25">
        <f t="shared" ref="BS95:BY95" si="304">BF95</f>
        <v>-2.9972341455106819</v>
      </c>
      <c r="BT95" s="25">
        <f t="shared" si="304"/>
        <v>-2.9972341455106819</v>
      </c>
      <c r="BU95" s="25">
        <f t="shared" si="304"/>
        <v>-2.9972341455106819</v>
      </c>
      <c r="BV95" s="25">
        <f t="shared" si="304"/>
        <v>-2.9972341455106819</v>
      </c>
      <c r="BW95" s="25">
        <f t="shared" si="304"/>
        <v>-2.9972341455106819</v>
      </c>
      <c r="BX95" s="25">
        <f t="shared" si="304"/>
        <v>-2.9972341455106819</v>
      </c>
      <c r="BY95" s="25">
        <f t="shared" si="304"/>
        <v>-2.9972341455106819</v>
      </c>
      <c r="BZ95" s="26"/>
      <c r="CA95" s="84">
        <f>-SUMIFS('Monthly P&amp;L'!$E:$E,'Monthly P&amp;L'!$A:$A,$C95)/1000</f>
        <v>0</v>
      </c>
      <c r="CB95" s="25">
        <f t="shared" si="240"/>
        <v>-0.115</v>
      </c>
      <c r="CC95" s="25">
        <f t="shared" si="241"/>
        <v>-9.9000000000000005E-2</v>
      </c>
      <c r="CD95" s="25">
        <f t="shared" ref="CD95:CF95" si="305">CD$55*CH95</f>
        <v>-18.58685734632839</v>
      </c>
      <c r="CE95" s="25">
        <f t="shared" si="305"/>
        <v>-25.285974047861604</v>
      </c>
      <c r="CF95" s="25">
        <f t="shared" si="305"/>
        <v>-35.966809746128185</v>
      </c>
      <c r="CH95" s="120">
        <f t="shared" ref="CH95:CJ95" si="306">$CO95</f>
        <v>-9.466597828667973E-3</v>
      </c>
      <c r="CI95" s="120">
        <f t="shared" si="306"/>
        <v>-9.466597828667973E-3</v>
      </c>
      <c r="CJ95" s="120">
        <f t="shared" si="306"/>
        <v>-9.466597828667973E-3</v>
      </c>
      <c r="CL95" s="69">
        <f t="shared" si="287"/>
        <v>-7.4622380228705392E-5</v>
      </c>
      <c r="CN95" s="84">
        <f>-SUMIFS('FY25 By Venue Financials'!$J:$J,'FY25 By Venue Financials'!$A:$A,$C95)</f>
        <v>-343.17644000000001</v>
      </c>
      <c r="CO95" s="69">
        <f t="shared" si="262"/>
        <v>-9.466597828667973E-3</v>
      </c>
      <c r="CQ95" s="71" t="s">
        <v>138</v>
      </c>
      <c r="CR95" s="71" t="s">
        <v>156</v>
      </c>
      <c r="CU95" s="25">
        <f t="shared" ref="CU95:CX95" si="307">SUMIFS($D95:$BZ95,$D$1:$BZ$1,CU$9)</f>
        <v>-10.842333452024894</v>
      </c>
      <c r="CV95" s="25">
        <f t="shared" si="307"/>
        <v>-22.49467542222277</v>
      </c>
      <c r="CW95" s="25">
        <f t="shared" si="307"/>
        <v>-31.516461538517106</v>
      </c>
      <c r="CX95" s="25">
        <f t="shared" si="307"/>
        <v>-35.966809746128185</v>
      </c>
    </row>
    <row r="96" spans="3:102" ht="15.75" customHeight="1">
      <c r="C96" s="8" t="s">
        <v>182</v>
      </c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>
        <f>-SUMIFS('Monthly P&amp;L'!H:H,'Monthly P&amp;L'!$A:$A,$C96)/1000</f>
        <v>0</v>
      </c>
      <c r="Q96" s="84">
        <f>-SUMIFS('Monthly P&amp;L'!I:I,'Monthly P&amp;L'!$A:$A,$C96)/1000</f>
        <v>0</v>
      </c>
      <c r="R96" s="84">
        <f>-SUMIFS('Monthly P&amp;L'!J:J,'Monthly P&amp;L'!$A:$A,$C96)/1000</f>
        <v>0</v>
      </c>
      <c r="S96" s="84">
        <f>-SUMIFS('Monthly P&amp;L'!K:K,'Monthly P&amp;L'!$A:$A,$C96)/1000</f>
        <v>0</v>
      </c>
      <c r="T96" s="84">
        <f>-SUMIFS('Monthly P&amp;L'!L:L,'Monthly P&amp;L'!$A:$A,$C96)/1000</f>
        <v>0</v>
      </c>
      <c r="U96" s="84">
        <f>-SUMIFS('Monthly P&amp;L'!M:M,'Monthly P&amp;L'!$A:$A,$C96)/1000</f>
        <v>0</v>
      </c>
      <c r="V96" s="84">
        <f>-SUMIFS('Monthly P&amp;L'!N:N,'Monthly P&amp;L'!$A:$A,$C96)/1000</f>
        <v>0</v>
      </c>
      <c r="W96" s="84">
        <f>-SUMIFS('Monthly P&amp;L'!O:O,'Monthly P&amp;L'!$A:$A,$C96)/1000</f>
        <v>0</v>
      </c>
      <c r="X96" s="84">
        <f>-SUMIFS('Monthly P&amp;L'!P:P,'Monthly P&amp;L'!$A:$A,$C96)/1000</f>
        <v>0</v>
      </c>
      <c r="Y96" s="84">
        <f>-SUMIFS('Monthly P&amp;L'!Q:Q,'Monthly P&amp;L'!$A:$A,$C96)/1000</f>
        <v>0</v>
      </c>
      <c r="Z96" s="84">
        <f>-SUMIFS('Monthly P&amp;L'!R:R,'Monthly P&amp;L'!$A:$A,$C96)/1000</f>
        <v>0</v>
      </c>
      <c r="AA96" s="84">
        <f>-SUMIFS('Monthly P&amp;L'!S:S,'Monthly P&amp;L'!$A:$A,$C96)/1000</f>
        <v>0</v>
      </c>
      <c r="AB96" s="84">
        <f>-SUMIFS('Monthly P&amp;L'!T:T,'Monthly P&amp;L'!$A:$A,$C96)/1000</f>
        <v>0</v>
      </c>
      <c r="AC96" s="84">
        <f>-SUMIFS('Monthly P&amp;L'!U:U,'Monthly P&amp;L'!$A:$A,$C96)/1000</f>
        <v>0</v>
      </c>
      <c r="AD96" s="84">
        <f>-SUMIFS('Monthly P&amp;L'!V:V,'Monthly P&amp;L'!$A:$A,$C96)/1000</f>
        <v>0</v>
      </c>
      <c r="AE96" s="84">
        <f>-SUMIFS('Monthly P&amp;L'!W:W,'Monthly P&amp;L'!$A:$A,$C96)/1000</f>
        <v>0</v>
      </c>
      <c r="AF96" s="117">
        <f>-SUMIFS('Monthly P&amp;L'!X:X,'Monthly P&amp;L'!$A:$A,$C96)/1000*2</f>
        <v>0</v>
      </c>
      <c r="AG96" s="26"/>
      <c r="AH96" s="25">
        <f t="shared" ref="AH96:BQ96" si="308">SUMIFS($CD96:$CF96,$CD$2:$CF$2,AH$3)/12</f>
        <v>0</v>
      </c>
      <c r="AI96" s="25">
        <f t="shared" si="308"/>
        <v>0</v>
      </c>
      <c r="AJ96" s="25">
        <f t="shared" si="308"/>
        <v>0</v>
      </c>
      <c r="AK96" s="25">
        <f t="shared" si="308"/>
        <v>0</v>
      </c>
      <c r="AL96" s="25">
        <f t="shared" si="308"/>
        <v>0</v>
      </c>
      <c r="AM96" s="25">
        <f t="shared" si="308"/>
        <v>0</v>
      </c>
      <c r="AN96" s="25">
        <f t="shared" si="308"/>
        <v>0</v>
      </c>
      <c r="AO96" s="25">
        <f t="shared" si="308"/>
        <v>0</v>
      </c>
      <c r="AP96" s="25">
        <f t="shared" si="308"/>
        <v>0</v>
      </c>
      <c r="AQ96" s="25">
        <f t="shared" si="308"/>
        <v>0</v>
      </c>
      <c r="AR96" s="25">
        <f t="shared" si="308"/>
        <v>0</v>
      </c>
      <c r="AS96" s="25">
        <f t="shared" si="308"/>
        <v>0</v>
      </c>
      <c r="AT96" s="25">
        <f t="shared" si="308"/>
        <v>0</v>
      </c>
      <c r="AU96" s="25">
        <f t="shared" si="308"/>
        <v>0</v>
      </c>
      <c r="AV96" s="25">
        <f t="shared" si="308"/>
        <v>0</v>
      </c>
      <c r="AW96" s="25">
        <f t="shared" si="308"/>
        <v>0</v>
      </c>
      <c r="AX96" s="25">
        <f t="shared" si="308"/>
        <v>0</v>
      </c>
      <c r="AY96" s="25">
        <f t="shared" si="308"/>
        <v>0</v>
      </c>
      <c r="AZ96" s="25">
        <f t="shared" si="308"/>
        <v>0</v>
      </c>
      <c r="BA96" s="25">
        <f t="shared" si="308"/>
        <v>0</v>
      </c>
      <c r="BB96" s="25">
        <f t="shared" si="308"/>
        <v>0</v>
      </c>
      <c r="BC96" s="25">
        <f t="shared" si="308"/>
        <v>0</v>
      </c>
      <c r="BD96" s="25">
        <f t="shared" si="308"/>
        <v>0</v>
      </c>
      <c r="BE96" s="25">
        <f t="shared" si="308"/>
        <v>0</v>
      </c>
      <c r="BF96" s="25">
        <f t="shared" si="308"/>
        <v>0</v>
      </c>
      <c r="BG96" s="25">
        <f t="shared" si="308"/>
        <v>0</v>
      </c>
      <c r="BH96" s="25">
        <f t="shared" si="308"/>
        <v>0</v>
      </c>
      <c r="BI96" s="25">
        <f t="shared" si="308"/>
        <v>0</v>
      </c>
      <c r="BJ96" s="25">
        <f t="shared" si="308"/>
        <v>0</v>
      </c>
      <c r="BK96" s="25">
        <f t="shared" si="308"/>
        <v>0</v>
      </c>
      <c r="BL96" s="25">
        <f t="shared" si="308"/>
        <v>0</v>
      </c>
      <c r="BM96" s="25">
        <f t="shared" si="308"/>
        <v>0</v>
      </c>
      <c r="BN96" s="25">
        <f t="shared" si="308"/>
        <v>0</v>
      </c>
      <c r="BO96" s="25">
        <f t="shared" si="308"/>
        <v>0</v>
      </c>
      <c r="BP96" s="25">
        <f t="shared" si="308"/>
        <v>0</v>
      </c>
      <c r="BQ96" s="96">
        <f t="shared" si="308"/>
        <v>0</v>
      </c>
      <c r="BR96" s="25"/>
      <c r="BS96" s="25">
        <f t="shared" ref="BS96:BY96" si="309">BF96</f>
        <v>0</v>
      </c>
      <c r="BT96" s="25">
        <f t="shared" si="309"/>
        <v>0</v>
      </c>
      <c r="BU96" s="25">
        <f t="shared" si="309"/>
        <v>0</v>
      </c>
      <c r="BV96" s="25">
        <f t="shared" si="309"/>
        <v>0</v>
      </c>
      <c r="BW96" s="25">
        <f t="shared" si="309"/>
        <v>0</v>
      </c>
      <c r="BX96" s="25">
        <f t="shared" si="309"/>
        <v>0</v>
      </c>
      <c r="BY96" s="25">
        <f t="shared" si="309"/>
        <v>0</v>
      </c>
      <c r="BZ96" s="26"/>
      <c r="CA96" s="84">
        <f>-SUMIFS('Monthly P&amp;L'!$E:$E,'Monthly P&amp;L'!$A:$A,$C96)/1000</f>
        <v>0</v>
      </c>
      <c r="CB96" s="25">
        <f t="shared" si="240"/>
        <v>0</v>
      </c>
      <c r="CC96" s="25">
        <f t="shared" si="241"/>
        <v>0</v>
      </c>
      <c r="CD96" s="25">
        <f t="shared" ref="CD96:CF96" si="310">CD$55*CH96</f>
        <v>0</v>
      </c>
      <c r="CE96" s="25">
        <f t="shared" si="310"/>
        <v>0</v>
      </c>
      <c r="CF96" s="25">
        <f t="shared" si="310"/>
        <v>0</v>
      </c>
      <c r="CH96" s="120">
        <v>0</v>
      </c>
      <c r="CI96" s="120">
        <v>0</v>
      </c>
      <c r="CJ96" s="120">
        <v>0</v>
      </c>
      <c r="CL96" s="69">
        <f t="shared" si="287"/>
        <v>0</v>
      </c>
      <c r="CN96" s="84">
        <f>-SUMIFS('FY25 By Venue Financials'!$J:$J,'FY25 By Venue Financials'!$A:$A,$C96)</f>
        <v>0</v>
      </c>
      <c r="CO96" s="69">
        <f t="shared" si="262"/>
        <v>0</v>
      </c>
      <c r="CQ96" s="71" t="s">
        <v>138</v>
      </c>
      <c r="CR96" s="119" t="s">
        <v>121</v>
      </c>
      <c r="CU96" s="25">
        <f t="shared" ref="CU96:CX96" si="311">SUMIFS($D96:$BZ96,$D$1:$BZ$1,CU$9)</f>
        <v>0</v>
      </c>
      <c r="CV96" s="25">
        <f t="shared" si="311"/>
        <v>0</v>
      </c>
      <c r="CW96" s="25">
        <f t="shared" si="311"/>
        <v>0</v>
      </c>
      <c r="CX96" s="25">
        <f t="shared" si="311"/>
        <v>0</v>
      </c>
    </row>
    <row r="97" spans="1:117" ht="15.75" customHeight="1">
      <c r="C97" s="8" t="s">
        <v>183</v>
      </c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>
        <f>-SUMIFS('Monthly P&amp;L'!H:H,'Monthly P&amp;L'!$A:$A,$C97)/1000</f>
        <v>-1.45</v>
      </c>
      <c r="Q97" s="84">
        <f>-SUMIFS('Monthly P&amp;L'!I:I,'Monthly P&amp;L'!$A:$A,$C97)/1000</f>
        <v>-7.6569899999999995</v>
      </c>
      <c r="R97" s="84">
        <f>-SUMIFS('Monthly P&amp;L'!J:J,'Monthly P&amp;L'!$A:$A,$C97)/1000</f>
        <v>-18.122479999999999</v>
      </c>
      <c r="S97" s="84">
        <f>-SUMIFS('Monthly P&amp;L'!K:K,'Monthly P&amp;L'!$A:$A,$C97)/1000</f>
        <v>-1.5713899999999998</v>
      </c>
      <c r="T97" s="84">
        <f>-SUMIFS('Monthly P&amp;L'!L:L,'Monthly P&amp;L'!$A:$A,$C97)/1000</f>
        <v>-1.72088</v>
      </c>
      <c r="U97" s="84">
        <f>-SUMIFS('Monthly P&amp;L'!M:M,'Monthly P&amp;L'!$A:$A,$C97)/1000</f>
        <v>-2.8187399999999996</v>
      </c>
      <c r="V97" s="84">
        <f>-SUMIFS('Monthly P&amp;L'!N:N,'Monthly P&amp;L'!$A:$A,$C97)/1000</f>
        <v>-11.28</v>
      </c>
      <c r="W97" s="84">
        <f>-SUMIFS('Monthly P&amp;L'!O:O,'Monthly P&amp;L'!$A:$A,$C97)/1000</f>
        <v>-6.2181300000000004</v>
      </c>
      <c r="X97" s="84">
        <f>-SUMIFS('Monthly P&amp;L'!P:P,'Monthly P&amp;L'!$A:$A,$C97)/1000</f>
        <v>-1.1416100000000002</v>
      </c>
      <c r="Y97" s="84">
        <f>-SUMIFS('Monthly P&amp;L'!Q:Q,'Monthly P&amp;L'!$A:$A,$C97)/1000</f>
        <v>-3.9023199999999996</v>
      </c>
      <c r="Z97" s="84">
        <f>-SUMIFS('Monthly P&amp;L'!R:R,'Monthly P&amp;L'!$A:$A,$C97)/1000</f>
        <v>-0.53121000000000007</v>
      </c>
      <c r="AA97" s="84">
        <f>-SUMIFS('Monthly P&amp;L'!S:S,'Monthly P&amp;L'!$A:$A,$C97)/1000</f>
        <v>-0.26872999999999997</v>
      </c>
      <c r="AB97" s="84">
        <f>-SUMIFS('Monthly P&amp;L'!T:T,'Monthly P&amp;L'!$A:$A,$C97)/1000</f>
        <v>0</v>
      </c>
      <c r="AC97" s="84">
        <f>-SUMIFS('Monthly P&amp;L'!U:U,'Monthly P&amp;L'!$A:$A,$C97)/1000</f>
        <v>-5.9668999999999999</v>
      </c>
      <c r="AD97" s="84">
        <f>-SUMIFS('Monthly P&amp;L'!V:V,'Monthly P&amp;L'!$A:$A,$C97)/1000</f>
        <v>-22.48</v>
      </c>
      <c r="AE97" s="84">
        <f>-SUMIFS('Monthly P&amp;L'!W:W,'Monthly P&amp;L'!$A:$A,$C97)/1000</f>
        <v>-1.9094399999999998</v>
      </c>
      <c r="AF97" s="117">
        <f>-SUMIFS('Monthly P&amp;L'!X:X,'Monthly P&amp;L'!$A:$A,$C97)/1000*2</f>
        <v>-5.0914400000000004</v>
      </c>
      <c r="AG97" s="26"/>
      <c r="AH97" s="25">
        <f t="shared" ref="AH97:BQ97" si="312">SUMIFS($CD97:$CF97,$CD$2:$CF$2,AH$3)/12</f>
        <v>-1.3833612117270875</v>
      </c>
      <c r="AI97" s="25">
        <f t="shared" si="312"/>
        <v>-1.3833612117270875</v>
      </c>
      <c r="AJ97" s="25">
        <f t="shared" si="312"/>
        <v>-1.3833612117270875</v>
      </c>
      <c r="AK97" s="25">
        <f t="shared" si="312"/>
        <v>-1.3833612117270875</v>
      </c>
      <c r="AL97" s="25">
        <f t="shared" si="312"/>
        <v>-1.3833612117270875</v>
      </c>
      <c r="AM97" s="25">
        <f t="shared" si="312"/>
        <v>-1.3833612117270875</v>
      </c>
      <c r="AN97" s="25">
        <f t="shared" si="312"/>
        <v>-1.3833612117270875</v>
      </c>
      <c r="AO97" s="25">
        <f t="shared" si="312"/>
        <v>-1.3833612117270875</v>
      </c>
      <c r="AP97" s="25">
        <f t="shared" si="312"/>
        <v>-1.3833612117270875</v>
      </c>
      <c r="AQ97" s="25">
        <f t="shared" si="312"/>
        <v>-1.3833612117270875</v>
      </c>
      <c r="AR97" s="25">
        <f t="shared" si="312"/>
        <v>-1.3833612117270875</v>
      </c>
      <c r="AS97" s="25">
        <f t="shared" si="312"/>
        <v>-1.3833612117270875</v>
      </c>
      <c r="AT97" s="25">
        <f t="shared" si="312"/>
        <v>-1.8819553540856828</v>
      </c>
      <c r="AU97" s="25">
        <f t="shared" si="312"/>
        <v>-1.8819553540856828</v>
      </c>
      <c r="AV97" s="25">
        <f t="shared" si="312"/>
        <v>-1.8819553540856828</v>
      </c>
      <c r="AW97" s="25">
        <f t="shared" si="312"/>
        <v>-1.8819553540856828</v>
      </c>
      <c r="AX97" s="25">
        <f t="shared" si="312"/>
        <v>-1.8819553540856828</v>
      </c>
      <c r="AY97" s="25">
        <f t="shared" si="312"/>
        <v>-1.8819553540856828</v>
      </c>
      <c r="AZ97" s="25">
        <f t="shared" si="312"/>
        <v>-1.8819553540856828</v>
      </c>
      <c r="BA97" s="25">
        <f t="shared" si="312"/>
        <v>-1.8819553540856828</v>
      </c>
      <c r="BB97" s="25">
        <f t="shared" si="312"/>
        <v>-1.8819553540856828</v>
      </c>
      <c r="BC97" s="25">
        <f t="shared" si="312"/>
        <v>-1.8819553540856828</v>
      </c>
      <c r="BD97" s="25">
        <f t="shared" si="312"/>
        <v>-1.8819553540856828</v>
      </c>
      <c r="BE97" s="25">
        <f t="shared" si="312"/>
        <v>-1.8819553540856828</v>
      </c>
      <c r="BF97" s="25">
        <f t="shared" si="312"/>
        <v>-2.6768962921098676</v>
      </c>
      <c r="BG97" s="25">
        <f t="shared" si="312"/>
        <v>-2.6768962921098676</v>
      </c>
      <c r="BH97" s="25">
        <f t="shared" si="312"/>
        <v>-2.6768962921098676</v>
      </c>
      <c r="BI97" s="25">
        <f t="shared" si="312"/>
        <v>-2.6768962921098676</v>
      </c>
      <c r="BJ97" s="25">
        <f t="shared" si="312"/>
        <v>-2.6768962921098676</v>
      </c>
      <c r="BK97" s="25">
        <f t="shared" si="312"/>
        <v>-2.6768962921098676</v>
      </c>
      <c r="BL97" s="25">
        <f t="shared" si="312"/>
        <v>-2.6768962921098676</v>
      </c>
      <c r="BM97" s="25">
        <f t="shared" si="312"/>
        <v>-2.6768962921098676</v>
      </c>
      <c r="BN97" s="25">
        <f t="shared" si="312"/>
        <v>-2.6768962921098676</v>
      </c>
      <c r="BO97" s="25">
        <f t="shared" si="312"/>
        <v>-2.6768962921098676</v>
      </c>
      <c r="BP97" s="25">
        <f t="shared" si="312"/>
        <v>-2.6768962921098676</v>
      </c>
      <c r="BQ97" s="96">
        <f t="shared" si="312"/>
        <v>-2.6768962921098676</v>
      </c>
      <c r="BR97" s="25"/>
      <c r="BS97" s="25">
        <f t="shared" ref="BS97:BY97" si="313">BF97</f>
        <v>-2.6768962921098676</v>
      </c>
      <c r="BT97" s="25">
        <f t="shared" si="313"/>
        <v>-2.6768962921098676</v>
      </c>
      <c r="BU97" s="25">
        <f t="shared" si="313"/>
        <v>-2.6768962921098676</v>
      </c>
      <c r="BV97" s="25">
        <f t="shared" si="313"/>
        <v>-2.6768962921098676</v>
      </c>
      <c r="BW97" s="25">
        <f t="shared" si="313"/>
        <v>-2.6768962921098676</v>
      </c>
      <c r="BX97" s="25">
        <f t="shared" si="313"/>
        <v>-2.6768962921098676</v>
      </c>
      <c r="BY97" s="25">
        <f t="shared" si="313"/>
        <v>-2.6768962921098676</v>
      </c>
      <c r="BZ97" s="26"/>
      <c r="CA97" s="84">
        <f>-SUMIFS('Monthly P&amp;L'!$E:$E,'Monthly P&amp;L'!$A:$A,$C97)/1000</f>
        <v>-28.684619999999999</v>
      </c>
      <c r="CB97" s="25">
        <f t="shared" si="240"/>
        <v>-56.682480000000005</v>
      </c>
      <c r="CC97" s="25">
        <f t="shared" si="241"/>
        <v>-58.237959999999994</v>
      </c>
      <c r="CD97" s="25">
        <f t="shared" ref="CD97:CF97" si="314">CD$55*CH97</f>
        <v>-16.600334540725051</v>
      </c>
      <c r="CE97" s="25">
        <f t="shared" si="314"/>
        <v>-22.583464249028193</v>
      </c>
      <c r="CF97" s="25">
        <f t="shared" si="314"/>
        <v>-32.122755505318409</v>
      </c>
      <c r="CH97" s="120">
        <f t="shared" ref="CH97:CJ97" si="315">$CO97</f>
        <v>-8.4548284839250972E-3</v>
      </c>
      <c r="CI97" s="120">
        <f t="shared" si="315"/>
        <v>-8.4548284839250972E-3</v>
      </c>
      <c r="CJ97" s="120">
        <f t="shared" si="315"/>
        <v>-8.4548284839250972E-3</v>
      </c>
      <c r="CL97" s="69">
        <f t="shared" si="287"/>
        <v>-4.3897527220849844E-2</v>
      </c>
      <c r="CN97" s="84">
        <f>-SUMIFS('FY25 By Venue Financials'!$J:$J,'FY25 By Venue Financials'!$A:$A,$C97)</f>
        <v>-306.49848999999995</v>
      </c>
      <c r="CO97" s="69">
        <f t="shared" si="262"/>
        <v>-8.4548284839250972E-3</v>
      </c>
      <c r="CQ97" s="71" t="s">
        <v>138</v>
      </c>
      <c r="CR97" s="71" t="s">
        <v>156</v>
      </c>
      <c r="CU97" s="25">
        <f t="shared" ref="CU97:CX97" si="316">SUMIFS($D97:$BZ97,$D$1:$BZ$1,CU$9)</f>
        <v>-45.131308482089594</v>
      </c>
      <c r="CV97" s="25">
        <f t="shared" si="316"/>
        <v>-20.090493537235218</v>
      </c>
      <c r="CW97" s="25">
        <f t="shared" si="316"/>
        <v>-28.148050815197482</v>
      </c>
      <c r="CX97" s="25">
        <f t="shared" si="316"/>
        <v>-32.122755505318402</v>
      </c>
    </row>
    <row r="98" spans="1:117" ht="4.5" customHeight="1">
      <c r="C98" s="8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26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5"/>
      <c r="BR98" s="84"/>
      <c r="BS98" s="84"/>
      <c r="BT98" s="84"/>
      <c r="BU98" s="84"/>
      <c r="BV98" s="84"/>
      <c r="BW98" s="84"/>
      <c r="BX98" s="84"/>
      <c r="BY98" s="84"/>
      <c r="BZ98" s="26"/>
      <c r="CA98" s="84"/>
      <c r="CB98" s="25"/>
      <c r="CC98" s="25"/>
      <c r="CD98" s="25"/>
      <c r="CE98" s="25"/>
      <c r="CF98" s="25"/>
      <c r="CH98" s="69"/>
      <c r="CI98" s="69"/>
      <c r="CJ98" s="69"/>
      <c r="CL98" s="69"/>
      <c r="CN98" s="25"/>
      <c r="CO98" s="69"/>
      <c r="CQ98" s="71"/>
      <c r="CR98" s="71"/>
      <c r="CU98" s="25"/>
      <c r="CV98" s="25"/>
      <c r="CW98" s="25"/>
      <c r="CX98" s="25"/>
    </row>
    <row r="99" spans="1:117" ht="15.75" customHeight="1">
      <c r="C99" s="127" t="s">
        <v>184</v>
      </c>
      <c r="D99" s="134">
        <f t="shared" ref="D99:AF99" si="317">SUM(D83:D98)</f>
        <v>0</v>
      </c>
      <c r="E99" s="134">
        <f t="shared" si="317"/>
        <v>0</v>
      </c>
      <c r="F99" s="134">
        <f t="shared" si="317"/>
        <v>0</v>
      </c>
      <c r="G99" s="134">
        <f t="shared" si="317"/>
        <v>0</v>
      </c>
      <c r="H99" s="134">
        <f t="shared" si="317"/>
        <v>0</v>
      </c>
      <c r="I99" s="134">
        <f t="shared" si="317"/>
        <v>0</v>
      </c>
      <c r="J99" s="134">
        <f t="shared" si="317"/>
        <v>0</v>
      </c>
      <c r="K99" s="134">
        <f t="shared" si="317"/>
        <v>0</v>
      </c>
      <c r="L99" s="134">
        <f t="shared" si="317"/>
        <v>0</v>
      </c>
      <c r="M99" s="134">
        <f t="shared" si="317"/>
        <v>0</v>
      </c>
      <c r="N99" s="134">
        <f t="shared" si="317"/>
        <v>0</v>
      </c>
      <c r="O99" s="134">
        <f t="shared" si="317"/>
        <v>0</v>
      </c>
      <c r="P99" s="134">
        <f t="shared" si="317"/>
        <v>-35.055160000000001</v>
      </c>
      <c r="Q99" s="134">
        <f t="shared" si="317"/>
        <v>-54.917529999999999</v>
      </c>
      <c r="R99" s="134">
        <f t="shared" si="317"/>
        <v>-57.670909999999992</v>
      </c>
      <c r="S99" s="134">
        <f t="shared" si="317"/>
        <v>-17.174479999999999</v>
      </c>
      <c r="T99" s="134">
        <f t="shared" si="317"/>
        <v>-98.044749999999993</v>
      </c>
      <c r="U99" s="134">
        <f t="shared" si="317"/>
        <v>-39.280329999999999</v>
      </c>
      <c r="V99" s="134">
        <f t="shared" si="317"/>
        <v>-35.22316</v>
      </c>
      <c r="W99" s="134">
        <f t="shared" si="317"/>
        <v>-44.18092</v>
      </c>
      <c r="X99" s="134">
        <f t="shared" si="317"/>
        <v>-39.208539999999999</v>
      </c>
      <c r="Y99" s="134">
        <f t="shared" si="317"/>
        <v>-37.177030000000002</v>
      </c>
      <c r="Z99" s="134">
        <f t="shared" si="317"/>
        <v>-48.066730000000007</v>
      </c>
      <c r="AA99" s="134">
        <f t="shared" si="317"/>
        <v>-40.082540000000002</v>
      </c>
      <c r="AB99" s="134">
        <f t="shared" si="317"/>
        <v>-24.455709999999996</v>
      </c>
      <c r="AC99" s="134">
        <f t="shared" si="317"/>
        <v>-43.15202</v>
      </c>
      <c r="AD99" s="134">
        <f t="shared" si="317"/>
        <v>-65.094440000000006</v>
      </c>
      <c r="AE99" s="134">
        <f t="shared" si="317"/>
        <v>-26.508459999999999</v>
      </c>
      <c r="AF99" s="134">
        <f t="shared" si="317"/>
        <v>-82.550560000000004</v>
      </c>
      <c r="AG99" s="123"/>
      <c r="AH99" s="134">
        <f t="shared" ref="AH99:BQ99" si="318">SUM(AH83:AH98)</f>
        <v>-25.279020190680122</v>
      </c>
      <c r="AI99" s="134">
        <f t="shared" si="318"/>
        <v>-24.848073625794626</v>
      </c>
      <c r="AJ99" s="134">
        <f t="shared" si="318"/>
        <v>-25.925440038008368</v>
      </c>
      <c r="AK99" s="134">
        <f t="shared" si="318"/>
        <v>-26.787333167779359</v>
      </c>
      <c r="AL99" s="134">
        <f t="shared" si="318"/>
        <v>-27.864699579993101</v>
      </c>
      <c r="AM99" s="134">
        <f t="shared" si="318"/>
        <v>-25.279020190680122</v>
      </c>
      <c r="AN99" s="134">
        <f t="shared" si="318"/>
        <v>-23.770707213580884</v>
      </c>
      <c r="AO99" s="134">
        <f t="shared" si="318"/>
        <v>-22.69334080136715</v>
      </c>
      <c r="AP99" s="134">
        <f t="shared" si="318"/>
        <v>-22.69334080136715</v>
      </c>
      <c r="AQ99" s="134">
        <f t="shared" si="318"/>
        <v>-23.986180496023636</v>
      </c>
      <c r="AR99" s="134">
        <f t="shared" si="318"/>
        <v>-27.00280645022211</v>
      </c>
      <c r="AS99" s="134">
        <f t="shared" si="318"/>
        <v>-28.511119427321347</v>
      </c>
      <c r="AT99" s="134">
        <f t="shared" si="318"/>
        <v>-32.413115604470008</v>
      </c>
      <c r="AU99" s="134">
        <f t="shared" si="318"/>
        <v>-30.689329344928023</v>
      </c>
      <c r="AV99" s="134">
        <f t="shared" si="318"/>
        <v>-31.982169039584512</v>
      </c>
      <c r="AW99" s="134">
        <f t="shared" si="318"/>
        <v>-33.059535451798254</v>
      </c>
      <c r="AX99" s="134">
        <f t="shared" si="318"/>
        <v>-33.705955299126494</v>
      </c>
      <c r="AY99" s="134">
        <f t="shared" si="318"/>
        <v>-31.551222474699017</v>
      </c>
      <c r="AZ99" s="134">
        <f t="shared" si="318"/>
        <v>-29.827436215157032</v>
      </c>
      <c r="BA99" s="134">
        <f t="shared" si="318"/>
        <v>-28.534596520500543</v>
      </c>
      <c r="BB99" s="134">
        <f t="shared" si="318"/>
        <v>-28.534596520500543</v>
      </c>
      <c r="BC99" s="134">
        <f t="shared" si="318"/>
        <v>-30.258382780042528</v>
      </c>
      <c r="BD99" s="134">
        <f t="shared" si="318"/>
        <v>-32.628588886912752</v>
      </c>
      <c r="BE99" s="134">
        <f t="shared" si="318"/>
        <v>-33.705955299126494</v>
      </c>
      <c r="BF99" s="134">
        <f t="shared" si="318"/>
        <v>-41.783103179874544</v>
      </c>
      <c r="BG99" s="134">
        <f t="shared" si="318"/>
        <v>-39.843843637889805</v>
      </c>
      <c r="BH99" s="134">
        <f t="shared" si="318"/>
        <v>-41.352156614989042</v>
      </c>
      <c r="BI99" s="134">
        <f t="shared" si="318"/>
        <v>-42.429523027202791</v>
      </c>
      <c r="BJ99" s="134">
        <f t="shared" si="318"/>
        <v>-43.291416156973781</v>
      </c>
      <c r="BK99" s="134">
        <f t="shared" si="318"/>
        <v>-40.921210050103554</v>
      </c>
      <c r="BL99" s="134">
        <f t="shared" si="318"/>
        <v>-38.981950508118814</v>
      </c>
      <c r="BM99" s="134">
        <f t="shared" si="318"/>
        <v>-37.689110813462321</v>
      </c>
      <c r="BN99" s="134">
        <f t="shared" si="318"/>
        <v>-37.689110813462321</v>
      </c>
      <c r="BO99" s="134">
        <f t="shared" si="318"/>
        <v>-39.628370355447061</v>
      </c>
      <c r="BP99" s="134">
        <f t="shared" si="318"/>
        <v>-41.998576462317288</v>
      </c>
      <c r="BQ99" s="135">
        <f t="shared" si="318"/>
        <v>-43.291416156973781</v>
      </c>
      <c r="BR99" s="134"/>
      <c r="BS99" s="134">
        <f t="shared" ref="BS99:BY99" si="319">SUM(BS83:BS98)</f>
        <v>-41.783103179874544</v>
      </c>
      <c r="BT99" s="134">
        <f t="shared" si="319"/>
        <v>-39.843843637889805</v>
      </c>
      <c r="BU99" s="134">
        <f t="shared" si="319"/>
        <v>-41.352156614989042</v>
      </c>
      <c r="BV99" s="134">
        <f t="shared" si="319"/>
        <v>-42.429523027202791</v>
      </c>
      <c r="BW99" s="134">
        <f t="shared" si="319"/>
        <v>-43.291416156973781</v>
      </c>
      <c r="BX99" s="134">
        <f t="shared" si="319"/>
        <v>-40.921210050103554</v>
      </c>
      <c r="BY99" s="134">
        <f t="shared" si="319"/>
        <v>-38.981950508118814</v>
      </c>
      <c r="BZ99" s="123"/>
      <c r="CA99" s="134">
        <f t="shared" ref="CA99:CF99" si="320">SUM(CA83:CA98)</f>
        <v>-389.37914999999998</v>
      </c>
      <c r="CB99" s="134">
        <f t="shared" si="320"/>
        <v>-546.08208000000002</v>
      </c>
      <c r="CC99" s="134">
        <f t="shared" si="320"/>
        <v>-540.47463000000005</v>
      </c>
      <c r="CD99" s="134">
        <f t="shared" si="320"/>
        <v>-304.64108198281792</v>
      </c>
      <c r="CE99" s="134">
        <f t="shared" si="320"/>
        <v>-376.89088343684614</v>
      </c>
      <c r="CF99" s="134">
        <f t="shared" si="320"/>
        <v>-488.89978777681506</v>
      </c>
      <c r="CG99" s="7"/>
      <c r="CH99" s="131">
        <f t="shared" ref="CH99:CJ99" si="321">IFERROR(CD99/CD$55,0)</f>
        <v>-0.1551588066495431</v>
      </c>
      <c r="CI99" s="131">
        <f t="shared" si="321"/>
        <v>-0.14110092860313331</v>
      </c>
      <c r="CJ99" s="131">
        <f t="shared" si="321"/>
        <v>-0.12868023886668059</v>
      </c>
      <c r="CK99" s="7"/>
      <c r="CL99" s="131">
        <f>SUM(CL83:CL98)</f>
        <v>-39.859021679429901</v>
      </c>
      <c r="CM99" s="7"/>
      <c r="CN99" s="134">
        <f>SUM(CN83:CN98)</f>
        <v>-10523.797839999999</v>
      </c>
      <c r="CO99" s="131">
        <f>IFERROR(CN99/CN$55,0)</f>
        <v>-0.29030128578023801</v>
      </c>
      <c r="CQ99" s="71"/>
      <c r="CR99" s="71"/>
      <c r="CU99" s="134">
        <f t="shared" ref="CU99:CX99" si="322">SUM(CU83:CU98)</f>
        <v>-421.5154840065166</v>
      </c>
      <c r="CV99" s="134">
        <f t="shared" si="322"/>
        <v>-348.1155514060647</v>
      </c>
      <c r="CW99" s="134">
        <f t="shared" si="322"/>
        <v>-442.26532318223508</v>
      </c>
      <c r="CX99" s="134">
        <f t="shared" si="322"/>
        <v>-488.89978777681517</v>
      </c>
    </row>
    <row r="100" spans="1:117" ht="15.75" customHeight="1"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30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138"/>
      <c r="BR100" s="7"/>
      <c r="BS100" s="7"/>
      <c r="BT100" s="7"/>
      <c r="BU100" s="7"/>
      <c r="BV100" s="7"/>
      <c r="BW100" s="7"/>
      <c r="BX100" s="7"/>
      <c r="BY100" s="7"/>
      <c r="BZ100" s="30"/>
      <c r="CA100" s="7"/>
      <c r="CB100" s="7"/>
      <c r="CC100" s="7"/>
      <c r="CD100" s="7"/>
      <c r="CE100" s="7"/>
      <c r="CF100" s="7"/>
      <c r="CG100" s="7"/>
      <c r="CH100" s="69"/>
      <c r="CI100" s="69"/>
      <c r="CJ100" s="69"/>
      <c r="CK100" s="7"/>
      <c r="CL100" s="69"/>
      <c r="CM100" s="7"/>
      <c r="CN100" s="7"/>
      <c r="CO100" s="69"/>
      <c r="CQ100" s="71"/>
      <c r="CR100" s="71"/>
      <c r="CU100" s="7"/>
      <c r="CV100" s="7"/>
      <c r="CW100" s="7"/>
      <c r="CX100" s="7"/>
    </row>
    <row r="101" spans="1:117" ht="15.75" customHeight="1">
      <c r="C101" s="121" t="s">
        <v>35</v>
      </c>
      <c r="D101" s="122">
        <f t="shared" ref="D101:AF101" si="323">D67+D80+D99</f>
        <v>0</v>
      </c>
      <c r="E101" s="122">
        <f t="shared" si="323"/>
        <v>0</v>
      </c>
      <c r="F101" s="122">
        <f t="shared" si="323"/>
        <v>43.726927777777782</v>
      </c>
      <c r="G101" s="122">
        <f t="shared" si="323"/>
        <v>175.65771111111113</v>
      </c>
      <c r="H101" s="122">
        <f t="shared" si="323"/>
        <v>144.77155444444446</v>
      </c>
      <c r="I101" s="122">
        <f t="shared" si="323"/>
        <v>145.22616888888891</v>
      </c>
      <c r="J101" s="122">
        <f t="shared" si="323"/>
        <v>63.067698888888891</v>
      </c>
      <c r="K101" s="122">
        <f t="shared" si="323"/>
        <v>142.47616888888891</v>
      </c>
      <c r="L101" s="122">
        <f t="shared" si="323"/>
        <v>195.8484822222222</v>
      </c>
      <c r="M101" s="122">
        <f t="shared" si="323"/>
        <v>197.49848222222221</v>
      </c>
      <c r="N101" s="122">
        <f t="shared" si="323"/>
        <v>166.11232555555554</v>
      </c>
      <c r="O101" s="122">
        <f t="shared" si="323"/>
        <v>83.658469999999994</v>
      </c>
      <c r="P101" s="122">
        <f t="shared" si="323"/>
        <v>-65.783299999999997</v>
      </c>
      <c r="Q101" s="122">
        <f t="shared" si="323"/>
        <v>-71.244730000000004</v>
      </c>
      <c r="R101" s="122">
        <f t="shared" si="323"/>
        <v>-9.7428137593984943</v>
      </c>
      <c r="S101" s="122">
        <f t="shared" si="323"/>
        <v>78.045650451127813</v>
      </c>
      <c r="T101" s="122">
        <f t="shared" si="323"/>
        <v>56.396608721804483</v>
      </c>
      <c r="U101" s="122">
        <f t="shared" si="323"/>
        <v>58.21232248120301</v>
      </c>
      <c r="V101" s="122">
        <f t="shared" si="323"/>
        <v>-1.4905417293233185</v>
      </c>
      <c r="W101" s="122">
        <f t="shared" si="323"/>
        <v>16.673054360902249</v>
      </c>
      <c r="X101" s="122">
        <f t="shared" si="323"/>
        <v>51.635362481203003</v>
      </c>
      <c r="Y101" s="122">
        <f t="shared" si="323"/>
        <v>82.108292631578919</v>
      </c>
      <c r="Z101" s="122">
        <f t="shared" si="323"/>
        <v>-19.716793759398506</v>
      </c>
      <c r="AA101" s="122">
        <f t="shared" si="323"/>
        <v>-35.524051879699257</v>
      </c>
      <c r="AB101" s="122">
        <f t="shared" si="323"/>
        <v>-46.475169999999991</v>
      </c>
      <c r="AC101" s="122">
        <f t="shared" si="323"/>
        <v>-65.595709999999997</v>
      </c>
      <c r="AD101" s="122">
        <f t="shared" si="323"/>
        <v>-48.3319037593985</v>
      </c>
      <c r="AE101" s="122">
        <f t="shared" si="323"/>
        <v>62.66860045112783</v>
      </c>
      <c r="AF101" s="122">
        <f t="shared" si="323"/>
        <v>60.229368721804477</v>
      </c>
      <c r="AG101" s="123"/>
      <c r="AH101" s="122">
        <f t="shared" ref="AH101:BQ101" si="324">AH67+AH80+AH99</f>
        <v>48.268789274119136</v>
      </c>
      <c r="AI101" s="122">
        <f t="shared" si="324"/>
        <v>23.79050803815047</v>
      </c>
      <c r="AJ101" s="122">
        <f t="shared" si="324"/>
        <v>71.36464929040153</v>
      </c>
      <c r="AK101" s="122">
        <f t="shared" si="324"/>
        <v>100.16012860298503</v>
      </c>
      <c r="AL101" s="122">
        <f t="shared" si="324"/>
        <v>132.74032213100432</v>
      </c>
      <c r="AM101" s="122">
        <f t="shared" si="324"/>
        <v>42.603070205352616</v>
      </c>
      <c r="AN101" s="122">
        <f t="shared" si="324"/>
        <v>-10.321925492815222</v>
      </c>
      <c r="AO101" s="122">
        <f t="shared" si="324"/>
        <v>-44.904764389074614</v>
      </c>
      <c r="AP101" s="122">
        <f t="shared" si="324"/>
        <v>-44.904764389074614</v>
      </c>
      <c r="AQ101" s="122">
        <f t="shared" si="324"/>
        <v>-0.41644124413284089</v>
      </c>
      <c r="AR101" s="122">
        <f t="shared" si="324"/>
        <v>103.94688172629323</v>
      </c>
      <c r="AS101" s="122">
        <f t="shared" si="324"/>
        <v>170.72078746143185</v>
      </c>
      <c r="AT101" s="122">
        <f t="shared" si="324"/>
        <v>100.88436441618596</v>
      </c>
      <c r="AU101" s="122">
        <f t="shared" si="324"/>
        <v>30.347825297628962</v>
      </c>
      <c r="AV101" s="122">
        <f t="shared" si="324"/>
        <v>81.704799582799467</v>
      </c>
      <c r="AW101" s="122">
        <f t="shared" si="324"/>
        <v>125.43141544165279</v>
      </c>
      <c r="AX101" s="122">
        <f t="shared" si="324"/>
        <v>152.2822965113738</v>
      </c>
      <c r="AY101" s="122">
        <f t="shared" si="324"/>
        <v>65.73572555021768</v>
      </c>
      <c r="AZ101" s="122">
        <f t="shared" si="324"/>
        <v>-1.5903227675345235</v>
      </c>
      <c r="BA101" s="122">
        <f t="shared" si="324"/>
        <v>-52.967162466978763</v>
      </c>
      <c r="BB101" s="122">
        <f t="shared" si="324"/>
        <v>-52.967162466978763</v>
      </c>
      <c r="BC101" s="122">
        <f t="shared" si="324"/>
        <v>28.20053757739797</v>
      </c>
      <c r="BD101" s="122">
        <f t="shared" si="324"/>
        <v>140.23851271562498</v>
      </c>
      <c r="BE101" s="122">
        <f t="shared" si="324"/>
        <v>190.53593766615145</v>
      </c>
      <c r="BF101" s="122">
        <f t="shared" si="324"/>
        <v>157.59756982085582</v>
      </c>
      <c r="BG101" s="122">
        <f t="shared" si="324"/>
        <v>52.180641968399541</v>
      </c>
      <c r="BH101" s="122">
        <f t="shared" si="324"/>
        <v>134.94027487979264</v>
      </c>
      <c r="BI101" s="122">
        <f t="shared" si="324"/>
        <v>193.31306254128663</v>
      </c>
      <c r="BJ101" s="122">
        <f t="shared" si="324"/>
        <v>240.35720273224885</v>
      </c>
      <c r="BK101" s="122">
        <f t="shared" si="324"/>
        <v>112.2829799387294</v>
      </c>
      <c r="BL101" s="122">
        <f t="shared" si="324"/>
        <v>6.866052086273065</v>
      </c>
      <c r="BM101" s="122">
        <f t="shared" si="324"/>
        <v>-64.564933354588362</v>
      </c>
      <c r="BN101" s="122">
        <f t="shared" si="324"/>
        <v>-64.564933354588362</v>
      </c>
      <c r="BO101" s="122">
        <f t="shared" si="324"/>
        <v>40.851994497867963</v>
      </c>
      <c r="BP101" s="122">
        <f t="shared" si="324"/>
        <v>170.65576760022333</v>
      </c>
      <c r="BQ101" s="124">
        <f t="shared" si="324"/>
        <v>240.35720273224885</v>
      </c>
      <c r="BR101" s="122"/>
      <c r="BS101" s="122">
        <f t="shared" ref="BS101:BY101" si="325">BS67+BS80+BS99</f>
        <v>157.59756982085582</v>
      </c>
      <c r="BT101" s="122">
        <f t="shared" si="325"/>
        <v>52.180641968399541</v>
      </c>
      <c r="BU101" s="122">
        <f t="shared" si="325"/>
        <v>134.94027487979264</v>
      </c>
      <c r="BV101" s="122">
        <f t="shared" si="325"/>
        <v>193.31306254128663</v>
      </c>
      <c r="BW101" s="122">
        <f t="shared" si="325"/>
        <v>240.35720273224885</v>
      </c>
      <c r="BX101" s="122">
        <f t="shared" si="325"/>
        <v>112.2829799387294</v>
      </c>
      <c r="BY101" s="122">
        <f t="shared" si="325"/>
        <v>6.866052086273065</v>
      </c>
      <c r="BZ101" s="123"/>
      <c r="CA101" s="122">
        <f t="shared" ref="CA101:CF101" si="326">CA67+CA80+CA99</f>
        <v>344.21066999999994</v>
      </c>
      <c r="CB101" s="122">
        <f t="shared" si="326"/>
        <v>139.56905999999992</v>
      </c>
      <c r="CC101" s="122">
        <f t="shared" si="326"/>
        <v>110.56006999999988</v>
      </c>
      <c r="CD101" s="122">
        <f t="shared" si="326"/>
        <v>593.04724121464074</v>
      </c>
      <c r="CE101" s="122">
        <f t="shared" si="326"/>
        <v>807.8367670575409</v>
      </c>
      <c r="CF101" s="122">
        <f t="shared" si="326"/>
        <v>1220.2728820887496</v>
      </c>
      <c r="CG101" s="7"/>
      <c r="CH101" s="132">
        <f t="shared" ref="CH101:CJ101" si="327">IFERROR(CD101/CD$55,0)</f>
        <v>0.30204889516134664</v>
      </c>
      <c r="CI101" s="132">
        <f t="shared" si="327"/>
        <v>0.30243904270683242</v>
      </c>
      <c r="CJ101" s="132">
        <f t="shared" si="327"/>
        <v>0.32118035203851564</v>
      </c>
      <c r="CK101" s="7"/>
      <c r="CL101" s="132">
        <f>IFERROR(CC101/CC$55,0)</f>
        <v>8.3335914966184588E-2</v>
      </c>
      <c r="CM101" s="7"/>
      <c r="CN101" s="122">
        <f>CN67+CN80+CN99</f>
        <v>11122.699000000004</v>
      </c>
      <c r="CO101" s="132">
        <f>IFERROR(CN101/CN$55,0)</f>
        <v>0.30682210644276009</v>
      </c>
      <c r="CQ101" s="71" t="s">
        <v>138</v>
      </c>
      <c r="CR101" s="71"/>
      <c r="CU101" s="122">
        <f t="shared" ref="CU101:CX101" si="328">CU67+CU80+CU99</f>
        <v>371.10072746273153</v>
      </c>
      <c r="CV101" s="122">
        <f t="shared" si="328"/>
        <v>739.23780319776733</v>
      </c>
      <c r="CW101" s="122">
        <f t="shared" si="328"/>
        <v>1150.5784469928033</v>
      </c>
      <c r="CX101" s="122">
        <f t="shared" si="328"/>
        <v>1220.2728820887485</v>
      </c>
    </row>
    <row r="102" spans="1:117" ht="15.75" customHeight="1">
      <c r="AG102" s="14"/>
      <c r="BQ102" s="139"/>
      <c r="BZ102" s="14"/>
      <c r="CH102" s="69"/>
      <c r="CI102" s="69"/>
      <c r="CJ102" s="69"/>
      <c r="CL102" s="69"/>
      <c r="CO102" s="69"/>
      <c r="CQ102" s="71"/>
      <c r="CR102" s="71"/>
    </row>
    <row r="103" spans="1:117" ht="15.75" customHeight="1">
      <c r="C103" s="20" t="s">
        <v>185</v>
      </c>
      <c r="AG103" s="14"/>
      <c r="BQ103" s="139"/>
      <c r="BZ103" s="14"/>
      <c r="CH103" s="69"/>
      <c r="CI103" s="69"/>
      <c r="CJ103" s="69"/>
      <c r="CL103" s="69"/>
      <c r="CO103" s="69"/>
      <c r="CQ103" s="71"/>
      <c r="CR103" s="71"/>
    </row>
    <row r="104" spans="1:117" ht="15.75" customHeight="1">
      <c r="C104" s="8" t="s">
        <v>186</v>
      </c>
      <c r="D104" s="140" t="s">
        <v>187</v>
      </c>
      <c r="E104" s="140" t="s">
        <v>187</v>
      </c>
      <c r="F104" s="140" t="s">
        <v>187</v>
      </c>
      <c r="G104" s="140" t="s">
        <v>187</v>
      </c>
      <c r="H104" s="140" t="s">
        <v>187</v>
      </c>
      <c r="I104" s="140" t="s">
        <v>187</v>
      </c>
      <c r="J104" s="140" t="s">
        <v>187</v>
      </c>
      <c r="K104" s="140" t="s">
        <v>187</v>
      </c>
      <c r="L104" s="140" t="s">
        <v>187</v>
      </c>
      <c r="M104" s="140" t="s">
        <v>187</v>
      </c>
      <c r="N104" s="140" t="s">
        <v>187</v>
      </c>
      <c r="O104" s="140" t="s">
        <v>187</v>
      </c>
      <c r="P104" s="140">
        <f t="shared" ref="P104:AF104" si="329">-P93</f>
        <v>15.5</v>
      </c>
      <c r="Q104" s="140">
        <f t="shared" si="329"/>
        <v>31</v>
      </c>
      <c r="R104" s="140">
        <f t="shared" si="329"/>
        <v>15.5</v>
      </c>
      <c r="S104" s="140">
        <f t="shared" si="329"/>
        <v>0</v>
      </c>
      <c r="T104" s="140">
        <f t="shared" si="329"/>
        <v>38</v>
      </c>
      <c r="U104" s="140">
        <f t="shared" si="329"/>
        <v>15.5</v>
      </c>
      <c r="V104" s="140">
        <f t="shared" si="329"/>
        <v>15.5</v>
      </c>
      <c r="W104" s="140">
        <f t="shared" si="329"/>
        <v>15.5</v>
      </c>
      <c r="X104" s="140">
        <f t="shared" si="329"/>
        <v>15.5</v>
      </c>
      <c r="Y104" s="140">
        <f t="shared" si="329"/>
        <v>15.5</v>
      </c>
      <c r="Z104" s="140">
        <f t="shared" si="329"/>
        <v>15.5</v>
      </c>
      <c r="AA104" s="140">
        <f t="shared" si="329"/>
        <v>15.5</v>
      </c>
      <c r="AB104" s="140">
        <f t="shared" si="329"/>
        <v>15.5</v>
      </c>
      <c r="AC104" s="140">
        <f t="shared" si="329"/>
        <v>15.5</v>
      </c>
      <c r="AD104" s="140">
        <f t="shared" si="329"/>
        <v>13.77</v>
      </c>
      <c r="AE104" s="140">
        <f t="shared" si="329"/>
        <v>15.5</v>
      </c>
      <c r="AF104" s="140">
        <f t="shared" si="329"/>
        <v>62</v>
      </c>
      <c r="AG104" s="114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  <c r="BJ104" s="140"/>
      <c r="BK104" s="140"/>
      <c r="BL104" s="140"/>
      <c r="BM104" s="140"/>
      <c r="BN104" s="140"/>
      <c r="BO104" s="140"/>
      <c r="BP104" s="140"/>
      <c r="BQ104" s="141"/>
      <c r="BR104" s="140"/>
      <c r="BS104" s="140"/>
      <c r="BT104" s="140"/>
      <c r="BU104" s="140"/>
      <c r="BV104" s="140"/>
      <c r="BW104" s="140"/>
      <c r="BX104" s="140"/>
      <c r="BY104" s="140"/>
      <c r="BZ104" s="114"/>
      <c r="CA104" s="140">
        <f>-CA93</f>
        <v>170.5</v>
      </c>
      <c r="CB104" s="25">
        <f t="shared" ref="CB104:CB107" si="330">SUMIFS($D104:$AF104,$D$1:$AF$1,CB$2)</f>
        <v>208.5</v>
      </c>
      <c r="CC104" s="25">
        <f t="shared" ref="CC104:CC107" si="331">SUMIFS($P104:$AF104,$P$3:$AF$3,$CC$2)</f>
        <v>206.77</v>
      </c>
      <c r="CD104" s="68"/>
      <c r="CE104" s="68"/>
      <c r="CF104" s="68"/>
      <c r="CH104" s="98"/>
      <c r="CI104" s="98"/>
      <c r="CJ104" s="98"/>
      <c r="CL104" s="98"/>
      <c r="CN104" s="68"/>
      <c r="CO104" s="98"/>
      <c r="CQ104" s="71"/>
      <c r="CR104" s="71" t="s">
        <v>188</v>
      </c>
      <c r="CU104" s="25">
        <f t="shared" ref="CU104:CX104" si="332">SUMIFS($D104:$BZ104,$D$1:$BZ$1,CU$9)</f>
        <v>122.27</v>
      </c>
      <c r="CV104" s="25">
        <f t="shared" si="332"/>
        <v>0</v>
      </c>
      <c r="CW104" s="25">
        <f t="shared" si="332"/>
        <v>0</v>
      </c>
      <c r="CX104" s="25">
        <f t="shared" si="332"/>
        <v>0</v>
      </c>
    </row>
    <row r="105" spans="1:117" ht="15.75" customHeight="1">
      <c r="C105" s="8" t="s">
        <v>189</v>
      </c>
      <c r="D105" s="140" t="s">
        <v>187</v>
      </c>
      <c r="E105" s="140" t="s">
        <v>187</v>
      </c>
      <c r="F105" s="140" t="s">
        <v>187</v>
      </c>
      <c r="G105" s="140" t="s">
        <v>187</v>
      </c>
      <c r="H105" s="140" t="s">
        <v>187</v>
      </c>
      <c r="I105" s="140" t="s">
        <v>187</v>
      </c>
      <c r="J105" s="140" t="s">
        <v>187</v>
      </c>
      <c r="K105" s="140" t="s">
        <v>187</v>
      </c>
      <c r="L105" s="140" t="s">
        <v>187</v>
      </c>
      <c r="M105" s="140" t="s">
        <v>187</v>
      </c>
      <c r="N105" s="140" t="s">
        <v>187</v>
      </c>
      <c r="O105" s="140" t="s">
        <v>187</v>
      </c>
      <c r="P105" s="140">
        <f>SUMIFS('2025 Addbacks'!$G$90:$G$101,'2025 Addbacks'!$A$90:$A$101,P$9)/1000</f>
        <v>9.6434999999999995</v>
      </c>
      <c r="Q105" s="140">
        <f>SUMIFS('2025 Addbacks'!$G$90:$G$101,'2025 Addbacks'!$A$90:$A$101,Q$9)/1000</f>
        <v>6.2047400000000001</v>
      </c>
      <c r="R105" s="140">
        <f>SUMIFS('2025 Addbacks'!$G$90:$G$101,'2025 Addbacks'!$A$90:$A$101,R$9)/1000</f>
        <v>18.238759999999999</v>
      </c>
      <c r="S105" s="140">
        <f>SUMIFS('2025 Addbacks'!$G$90:$G$101,'2025 Addbacks'!$A$90:$A$101,S$9)/1000</f>
        <v>7.5096000000000007</v>
      </c>
      <c r="T105" s="140">
        <f>SUMIFS('2025 Addbacks'!$G$90:$G$101,'2025 Addbacks'!$A$90:$A$101,T$9)/1000</f>
        <v>58.932940000000002</v>
      </c>
      <c r="U105" s="140">
        <f>SUMIFS('2025 Addbacks'!$G$90:$G$101,'2025 Addbacks'!$A$90:$A$101,U$9)/1000</f>
        <v>2.5345800000000001</v>
      </c>
      <c r="V105" s="140">
        <f>SUMIFS('2025 Addbacks'!$G$90:$G$101,'2025 Addbacks'!$A$90:$A$101,V$9)/1000</f>
        <v>0.78120000000000001</v>
      </c>
      <c r="W105" s="140">
        <f>SUMIFS('2025 Addbacks'!$G$90:$G$101,'2025 Addbacks'!$A$90:$A$101,W$9)/1000</f>
        <v>1.0515700000000001</v>
      </c>
      <c r="X105" s="140">
        <f>SUMIFS('2025 Addbacks'!$G$90:$G$101,'2025 Addbacks'!$A$90:$A$101,X$9)/1000</f>
        <v>6.2592700000000008</v>
      </c>
      <c r="Y105" s="140">
        <f>SUMIFS('2025 Addbacks'!$G$90:$G$101,'2025 Addbacks'!$A$90:$A$101,Y$9)/1000</f>
        <v>3.19374</v>
      </c>
      <c r="Z105" s="140">
        <f>SUMIFS('2025 Addbacks'!$G$90:$G$101,'2025 Addbacks'!$A$90:$A$101,Z$9)/1000</f>
        <v>7.0511800000000004</v>
      </c>
      <c r="AA105" s="140">
        <f>SUMIFS('2025 Addbacks'!$G$90:$G$101,'2025 Addbacks'!$A$90:$A$101,AA$9)/1000</f>
        <v>12.048970000000001</v>
      </c>
      <c r="AB105" s="140">
        <f>SUMIFS('2026 Addbacks'!$C:$C,'2026 Addbacks'!$B:$B,AB$9)/1000</f>
        <v>2.6445850000000002</v>
      </c>
      <c r="AC105" s="140">
        <f>SUMIFS('2026 Addbacks'!$C:$C,'2026 Addbacks'!$B:$B,AC$9)/1000</f>
        <v>13.136149999999997</v>
      </c>
      <c r="AD105" s="140">
        <f>SUMIFS('2026 Addbacks'!$C:$C,'2026 Addbacks'!$B:$B,AD$9)/1000</f>
        <v>32.131639999999997</v>
      </c>
      <c r="AE105" s="140">
        <f>SUMIFS('2026 Addbacks'!$C:$C,'2026 Addbacks'!$B:$B,AE$9)/1000</f>
        <v>2.6445850000000002</v>
      </c>
      <c r="AF105" s="140">
        <f>SUMIFS('2026 Addbacks'!$C:$C,'2026 Addbacks'!$B:$B,AF$9)/1000</f>
        <v>0</v>
      </c>
      <c r="AG105" s="114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  <c r="BO105" s="140"/>
      <c r="BP105" s="140"/>
      <c r="BQ105" s="141"/>
      <c r="BR105" s="140"/>
      <c r="BS105" s="140"/>
      <c r="BT105" s="140"/>
      <c r="BU105" s="140"/>
      <c r="BV105" s="140"/>
      <c r="BW105" s="140"/>
      <c r="BX105" s="140"/>
      <c r="BY105" s="140"/>
      <c r="BZ105" s="114"/>
      <c r="CA105" s="142">
        <f>SUM('2024 Addbacks'!B4:B21)/1000</f>
        <v>99.01536999999999</v>
      </c>
      <c r="CB105" s="25">
        <f t="shared" si="330"/>
        <v>133.45005</v>
      </c>
      <c r="CC105" s="25">
        <f t="shared" si="331"/>
        <v>142.41041000000001</v>
      </c>
      <c r="CD105" s="68"/>
      <c r="CE105" s="68"/>
      <c r="CF105" s="68"/>
      <c r="CH105" s="98"/>
      <c r="CI105" s="98"/>
      <c r="CJ105" s="98"/>
      <c r="CL105" s="98"/>
      <c r="CN105" s="68"/>
      <c r="CO105" s="98"/>
      <c r="CQ105" s="71"/>
      <c r="CR105" s="71"/>
      <c r="CU105" s="25">
        <f t="shared" ref="CU105:CX105" si="333">SUMIFS($D105:$BZ105,$D$1:$BZ$1,CU$9)</f>
        <v>50.556959999999997</v>
      </c>
      <c r="CV105" s="25">
        <f t="shared" si="333"/>
        <v>0</v>
      </c>
      <c r="CW105" s="25">
        <f t="shared" si="333"/>
        <v>0</v>
      </c>
      <c r="CX105" s="25">
        <f t="shared" si="333"/>
        <v>0</v>
      </c>
    </row>
    <row r="106" spans="1:117" ht="15.75" customHeight="1">
      <c r="C106" s="8" t="s">
        <v>190</v>
      </c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3">
        <f t="shared" ref="P106:AA106" si="334">115/12</f>
        <v>9.5833333333333339</v>
      </c>
      <c r="Q106" s="143">
        <f t="shared" si="334"/>
        <v>9.5833333333333339</v>
      </c>
      <c r="R106" s="143">
        <f t="shared" si="334"/>
        <v>9.5833333333333339</v>
      </c>
      <c r="S106" s="143">
        <f t="shared" si="334"/>
        <v>9.5833333333333339</v>
      </c>
      <c r="T106" s="143">
        <f t="shared" si="334"/>
        <v>9.5833333333333339</v>
      </c>
      <c r="U106" s="143">
        <f t="shared" si="334"/>
        <v>9.5833333333333339</v>
      </c>
      <c r="V106" s="143">
        <f t="shared" si="334"/>
        <v>9.5833333333333339</v>
      </c>
      <c r="W106" s="143">
        <f t="shared" si="334"/>
        <v>9.5833333333333339</v>
      </c>
      <c r="X106" s="143">
        <f t="shared" si="334"/>
        <v>9.5833333333333339</v>
      </c>
      <c r="Y106" s="143">
        <f t="shared" si="334"/>
        <v>9.5833333333333339</v>
      </c>
      <c r="Z106" s="143">
        <f t="shared" si="334"/>
        <v>9.5833333333333339</v>
      </c>
      <c r="AA106" s="143">
        <f t="shared" si="334"/>
        <v>9.5833333333333339</v>
      </c>
      <c r="AB106" s="143">
        <f t="shared" ref="AB106:AE106" si="335">36/4</f>
        <v>9</v>
      </c>
      <c r="AC106" s="143">
        <f t="shared" si="335"/>
        <v>9</v>
      </c>
      <c r="AD106" s="143">
        <f t="shared" si="335"/>
        <v>9</v>
      </c>
      <c r="AE106" s="143">
        <f t="shared" si="335"/>
        <v>9</v>
      </c>
      <c r="AF106" s="143">
        <v>0</v>
      </c>
      <c r="AG106" s="114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  <c r="BJ106" s="140"/>
      <c r="BK106" s="140"/>
      <c r="BL106" s="140"/>
      <c r="BM106" s="140"/>
      <c r="BN106" s="140"/>
      <c r="BO106" s="140"/>
      <c r="BP106" s="140"/>
      <c r="BQ106" s="141"/>
      <c r="BR106" s="140"/>
      <c r="BS106" s="140"/>
      <c r="BT106" s="140"/>
      <c r="BU106" s="140"/>
      <c r="BV106" s="140"/>
      <c r="BW106" s="140"/>
      <c r="BX106" s="140"/>
      <c r="BY106" s="140"/>
      <c r="BZ106" s="114"/>
      <c r="CA106" s="143">
        <v>0</v>
      </c>
      <c r="CB106" s="25">
        <f t="shared" si="330"/>
        <v>114.99999999999999</v>
      </c>
      <c r="CC106" s="25">
        <f t="shared" si="331"/>
        <v>112.66666666666667</v>
      </c>
      <c r="CD106" s="68"/>
      <c r="CE106" s="68"/>
      <c r="CF106" s="68"/>
      <c r="CH106" s="98"/>
      <c r="CI106" s="98"/>
      <c r="CJ106" s="98"/>
      <c r="CL106" s="98"/>
      <c r="CN106" s="68"/>
      <c r="CO106" s="98"/>
      <c r="CQ106" s="71"/>
      <c r="CR106" s="71" t="s">
        <v>191</v>
      </c>
      <c r="CU106" s="25">
        <f t="shared" ref="CU106:CX106" si="336">SUMIFS($D106:$BZ106,$D$1:$BZ$1,CU$9)</f>
        <v>36</v>
      </c>
      <c r="CV106" s="25">
        <f t="shared" si="336"/>
        <v>0</v>
      </c>
      <c r="CW106" s="25">
        <f t="shared" si="336"/>
        <v>0</v>
      </c>
      <c r="CX106" s="25">
        <f t="shared" si="336"/>
        <v>0</v>
      </c>
    </row>
    <row r="107" spans="1:117" ht="15.75" customHeight="1">
      <c r="C107" s="8" t="s">
        <v>192</v>
      </c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3">
        <f t="shared" ref="P107:R107" si="337">-(10/3+(16*8*3*50)/1000/12)</f>
        <v>-4.9333333333333336</v>
      </c>
      <c r="Q107" s="143">
        <f t="shared" si="337"/>
        <v>-4.9333333333333336</v>
      </c>
      <c r="R107" s="143">
        <f t="shared" si="337"/>
        <v>-4.9333333333333336</v>
      </c>
      <c r="S107" s="143">
        <f t="shared" ref="S107:AA107" si="338">-(16*8*3*50)/1000/12</f>
        <v>-1.5999999999999999</v>
      </c>
      <c r="T107" s="143">
        <f t="shared" si="338"/>
        <v>-1.5999999999999999</v>
      </c>
      <c r="U107" s="143">
        <f t="shared" si="338"/>
        <v>-1.5999999999999999</v>
      </c>
      <c r="V107" s="143">
        <f t="shared" si="338"/>
        <v>-1.5999999999999999</v>
      </c>
      <c r="W107" s="143">
        <f t="shared" si="338"/>
        <v>-1.5999999999999999</v>
      </c>
      <c r="X107" s="143">
        <f t="shared" si="338"/>
        <v>-1.5999999999999999</v>
      </c>
      <c r="Y107" s="143">
        <f t="shared" si="338"/>
        <v>-1.5999999999999999</v>
      </c>
      <c r="Z107" s="143">
        <f t="shared" si="338"/>
        <v>-1.5999999999999999</v>
      </c>
      <c r="AA107" s="143">
        <f t="shared" si="338"/>
        <v>-1.5999999999999999</v>
      </c>
      <c r="AB107" s="143">
        <v>0</v>
      </c>
      <c r="AC107" s="143">
        <v>0</v>
      </c>
      <c r="AD107" s="143">
        <v>0</v>
      </c>
      <c r="AE107" s="143">
        <v>0</v>
      </c>
      <c r="AF107" s="143">
        <v>0</v>
      </c>
      <c r="AG107" s="114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0"/>
      <c r="BI107" s="140"/>
      <c r="BJ107" s="140"/>
      <c r="BK107" s="140"/>
      <c r="BL107" s="140"/>
      <c r="BM107" s="140"/>
      <c r="BN107" s="140"/>
      <c r="BO107" s="140"/>
      <c r="BP107" s="140"/>
      <c r="BQ107" s="141"/>
      <c r="BR107" s="140"/>
      <c r="BS107" s="140"/>
      <c r="BT107" s="140"/>
      <c r="BU107" s="140"/>
      <c r="BV107" s="140"/>
      <c r="BW107" s="140"/>
      <c r="BX107" s="140"/>
      <c r="BY107" s="140"/>
      <c r="BZ107" s="114"/>
      <c r="CA107" s="143">
        <v>0</v>
      </c>
      <c r="CB107" s="25">
        <f t="shared" si="330"/>
        <v>-29.200000000000014</v>
      </c>
      <c r="CC107" s="25">
        <f t="shared" si="331"/>
        <v>-12.799999999999999</v>
      </c>
      <c r="CD107" s="68"/>
      <c r="CE107" s="68"/>
      <c r="CF107" s="68"/>
      <c r="CH107" s="98"/>
      <c r="CI107" s="98"/>
      <c r="CJ107" s="98"/>
      <c r="CL107" s="98"/>
      <c r="CN107" s="68"/>
      <c r="CO107" s="98"/>
      <c r="CQ107" s="71"/>
      <c r="CR107" s="71" t="s">
        <v>193</v>
      </c>
      <c r="CU107" s="25">
        <f t="shared" ref="CU107:CX107" si="339">SUMIFS($D107:$BZ107,$D$1:$BZ$1,CU$9)</f>
        <v>0</v>
      </c>
      <c r="CV107" s="25">
        <f t="shared" si="339"/>
        <v>0</v>
      </c>
      <c r="CW107" s="25">
        <f t="shared" si="339"/>
        <v>0</v>
      </c>
      <c r="CX107" s="25">
        <f t="shared" si="339"/>
        <v>0</v>
      </c>
    </row>
    <row r="108" spans="1:117" ht="4.5" customHeight="1">
      <c r="C108" s="8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11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96"/>
      <c r="BR108" s="25"/>
      <c r="BS108" s="25"/>
      <c r="BT108" s="25"/>
      <c r="BU108" s="25"/>
      <c r="BV108" s="25"/>
      <c r="BW108" s="25"/>
      <c r="BX108" s="25"/>
      <c r="BY108" s="25"/>
      <c r="BZ108" s="114"/>
      <c r="CA108" s="25"/>
      <c r="CB108" s="25"/>
      <c r="CC108" s="25"/>
      <c r="CH108" s="69"/>
      <c r="CI108" s="69"/>
      <c r="CJ108" s="69"/>
      <c r="CL108" s="69"/>
      <c r="CO108" s="69"/>
      <c r="CQ108" s="71"/>
      <c r="CR108" s="71"/>
    </row>
    <row r="109" spans="1:117" ht="15.75" customHeight="1">
      <c r="A109" s="17"/>
      <c r="B109" s="17"/>
      <c r="C109" s="127" t="s">
        <v>194</v>
      </c>
      <c r="D109" s="134">
        <f t="shared" ref="D109:AF109" si="340">SUM(D104:D108)</f>
        <v>0</v>
      </c>
      <c r="E109" s="134">
        <f t="shared" si="340"/>
        <v>0</v>
      </c>
      <c r="F109" s="134">
        <f t="shared" si="340"/>
        <v>0</v>
      </c>
      <c r="G109" s="134">
        <f t="shared" si="340"/>
        <v>0</v>
      </c>
      <c r="H109" s="134">
        <f t="shared" si="340"/>
        <v>0</v>
      </c>
      <c r="I109" s="134">
        <f t="shared" si="340"/>
        <v>0</v>
      </c>
      <c r="J109" s="134">
        <f t="shared" si="340"/>
        <v>0</v>
      </c>
      <c r="K109" s="134">
        <f t="shared" si="340"/>
        <v>0</v>
      </c>
      <c r="L109" s="134">
        <f t="shared" si="340"/>
        <v>0</v>
      </c>
      <c r="M109" s="134">
        <f t="shared" si="340"/>
        <v>0</v>
      </c>
      <c r="N109" s="134">
        <f t="shared" si="340"/>
        <v>0</v>
      </c>
      <c r="O109" s="134">
        <f t="shared" si="340"/>
        <v>0</v>
      </c>
      <c r="P109" s="134">
        <f t="shared" si="340"/>
        <v>29.793499999999998</v>
      </c>
      <c r="Q109" s="134">
        <f t="shared" si="340"/>
        <v>41.854740000000007</v>
      </c>
      <c r="R109" s="134">
        <f t="shared" si="340"/>
        <v>38.388760000000005</v>
      </c>
      <c r="S109" s="134">
        <f t="shared" si="340"/>
        <v>15.492933333333335</v>
      </c>
      <c r="T109" s="134">
        <f t="shared" si="340"/>
        <v>104.91627333333334</v>
      </c>
      <c r="U109" s="134">
        <f t="shared" si="340"/>
        <v>26.017913333333333</v>
      </c>
      <c r="V109" s="134">
        <f t="shared" si="340"/>
        <v>24.264533333333333</v>
      </c>
      <c r="W109" s="134">
        <f t="shared" si="340"/>
        <v>24.534903333333332</v>
      </c>
      <c r="X109" s="134">
        <f t="shared" si="340"/>
        <v>29.742603333333335</v>
      </c>
      <c r="Y109" s="134">
        <f t="shared" si="340"/>
        <v>26.677073333333333</v>
      </c>
      <c r="Z109" s="134">
        <f t="shared" si="340"/>
        <v>30.534513333333337</v>
      </c>
      <c r="AA109" s="134">
        <f t="shared" si="340"/>
        <v>35.532303333333331</v>
      </c>
      <c r="AB109" s="134">
        <f t="shared" si="340"/>
        <v>27.144584999999999</v>
      </c>
      <c r="AC109" s="134">
        <f t="shared" si="340"/>
        <v>37.636150000000001</v>
      </c>
      <c r="AD109" s="134">
        <f t="shared" si="340"/>
        <v>54.90164</v>
      </c>
      <c r="AE109" s="134">
        <f t="shared" si="340"/>
        <v>27.144584999999999</v>
      </c>
      <c r="AF109" s="134">
        <f t="shared" si="340"/>
        <v>62</v>
      </c>
      <c r="AG109" s="123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5"/>
      <c r="BR109" s="134"/>
      <c r="BS109" s="134"/>
      <c r="BT109" s="134"/>
      <c r="BU109" s="134"/>
      <c r="BV109" s="134"/>
      <c r="BW109" s="134"/>
      <c r="BX109" s="134"/>
      <c r="BY109" s="134"/>
      <c r="BZ109" s="123"/>
      <c r="CA109" s="134">
        <f t="shared" ref="CA109:CF109" si="341">SUM(CA104:CA108)</f>
        <v>269.51536999999996</v>
      </c>
      <c r="CB109" s="134">
        <f t="shared" si="341"/>
        <v>427.75005000000004</v>
      </c>
      <c r="CC109" s="134">
        <f t="shared" si="341"/>
        <v>449.04707666666673</v>
      </c>
      <c r="CD109" s="134">
        <f t="shared" si="341"/>
        <v>0</v>
      </c>
      <c r="CE109" s="134">
        <f t="shared" si="341"/>
        <v>0</v>
      </c>
      <c r="CF109" s="134">
        <f t="shared" si="341"/>
        <v>0</v>
      </c>
      <c r="CH109" s="131">
        <f t="shared" ref="CH109:CJ109" si="342">SUM(CH104:CH108)</f>
        <v>0</v>
      </c>
      <c r="CI109" s="131">
        <f t="shared" si="342"/>
        <v>0</v>
      </c>
      <c r="CJ109" s="131">
        <f t="shared" si="342"/>
        <v>0</v>
      </c>
      <c r="CL109" s="134">
        <f>SUM(CL104:CL108)</f>
        <v>0</v>
      </c>
      <c r="CM109" s="29"/>
      <c r="CN109" s="134">
        <f t="shared" ref="CN109:CO109" si="343">SUM(CN104:CN108)</f>
        <v>0</v>
      </c>
      <c r="CO109" s="134">
        <f t="shared" si="343"/>
        <v>0</v>
      </c>
      <c r="CP109" s="17"/>
      <c r="CQ109" s="144"/>
      <c r="CR109" s="144"/>
      <c r="CS109" s="17"/>
      <c r="CT109" s="17"/>
      <c r="CU109" s="134">
        <f t="shared" ref="CU109:CX109" si="344">SUM(CU104:CU108)</f>
        <v>208.82695999999999</v>
      </c>
      <c r="CV109" s="134">
        <f t="shared" si="344"/>
        <v>0</v>
      </c>
      <c r="CW109" s="134">
        <f t="shared" si="344"/>
        <v>0</v>
      </c>
      <c r="CX109" s="134">
        <f t="shared" si="344"/>
        <v>0</v>
      </c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</row>
    <row r="110" spans="1:117" ht="15.75" customHeight="1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30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138"/>
      <c r="BR110" s="7"/>
      <c r="BS110" s="7"/>
      <c r="BT110" s="7"/>
      <c r="BU110" s="7"/>
      <c r="BV110" s="7"/>
      <c r="BW110" s="7"/>
      <c r="BX110" s="7"/>
      <c r="BY110" s="7"/>
      <c r="BZ110" s="30"/>
      <c r="CA110" s="7"/>
      <c r="CB110" s="7"/>
      <c r="CC110" s="7"/>
      <c r="CD110" s="7"/>
      <c r="CE110" s="7"/>
      <c r="CF110" s="7"/>
      <c r="CG110" s="7"/>
      <c r="CH110" s="69"/>
      <c r="CI110" s="69"/>
      <c r="CJ110" s="69"/>
      <c r="CK110" s="7"/>
      <c r="CL110" s="7"/>
      <c r="CM110" s="7"/>
      <c r="CN110" s="7"/>
      <c r="CO110" s="7"/>
      <c r="CQ110" s="71"/>
      <c r="CR110" s="71"/>
      <c r="CU110" s="7"/>
      <c r="CV110" s="7"/>
      <c r="CW110" s="7"/>
      <c r="CX110" s="7"/>
    </row>
    <row r="111" spans="1:117" ht="15.75" customHeight="1">
      <c r="C111" s="76" t="s">
        <v>34</v>
      </c>
      <c r="D111" s="145">
        <f t="shared" ref="D111:AF111" si="345">D101+D109</f>
        <v>0</v>
      </c>
      <c r="E111" s="145">
        <f t="shared" si="345"/>
        <v>0</v>
      </c>
      <c r="F111" s="145">
        <f t="shared" si="345"/>
        <v>43.726927777777782</v>
      </c>
      <c r="G111" s="145">
        <f t="shared" si="345"/>
        <v>175.65771111111113</v>
      </c>
      <c r="H111" s="145">
        <f t="shared" si="345"/>
        <v>144.77155444444446</v>
      </c>
      <c r="I111" s="145">
        <f t="shared" si="345"/>
        <v>145.22616888888891</v>
      </c>
      <c r="J111" s="145">
        <f t="shared" si="345"/>
        <v>63.067698888888891</v>
      </c>
      <c r="K111" s="145">
        <f t="shared" si="345"/>
        <v>142.47616888888891</v>
      </c>
      <c r="L111" s="145">
        <f t="shared" si="345"/>
        <v>195.8484822222222</v>
      </c>
      <c r="M111" s="145">
        <f t="shared" si="345"/>
        <v>197.49848222222221</v>
      </c>
      <c r="N111" s="145">
        <f t="shared" si="345"/>
        <v>166.11232555555554</v>
      </c>
      <c r="O111" s="145">
        <f t="shared" si="345"/>
        <v>83.658469999999994</v>
      </c>
      <c r="P111" s="145">
        <f t="shared" si="345"/>
        <v>-35.989800000000002</v>
      </c>
      <c r="Q111" s="145">
        <f t="shared" si="345"/>
        <v>-29.389989999999997</v>
      </c>
      <c r="R111" s="145">
        <f t="shared" si="345"/>
        <v>28.645946240601511</v>
      </c>
      <c r="S111" s="145">
        <f t="shared" si="345"/>
        <v>93.538583784461153</v>
      </c>
      <c r="T111" s="145">
        <f t="shared" si="345"/>
        <v>161.31288205513783</v>
      </c>
      <c r="U111" s="145">
        <f t="shared" si="345"/>
        <v>84.230235814536343</v>
      </c>
      <c r="V111" s="145">
        <f t="shared" si="345"/>
        <v>22.773991604010014</v>
      </c>
      <c r="W111" s="145">
        <f t="shared" si="345"/>
        <v>41.207957694235581</v>
      </c>
      <c r="X111" s="145">
        <f t="shared" si="345"/>
        <v>81.377965814536338</v>
      </c>
      <c r="Y111" s="145">
        <f t="shared" si="345"/>
        <v>108.78536596491224</v>
      </c>
      <c r="Z111" s="145">
        <f t="shared" si="345"/>
        <v>10.817719573934831</v>
      </c>
      <c r="AA111" s="145">
        <f t="shared" si="345"/>
        <v>8.2514536340738687E-3</v>
      </c>
      <c r="AB111" s="145">
        <f t="shared" si="345"/>
        <v>-19.330584999999992</v>
      </c>
      <c r="AC111" s="145">
        <f t="shared" si="345"/>
        <v>-27.959559999999996</v>
      </c>
      <c r="AD111" s="145">
        <f t="shared" si="345"/>
        <v>6.5697362406015003</v>
      </c>
      <c r="AE111" s="145">
        <f t="shared" si="345"/>
        <v>89.813185451127822</v>
      </c>
      <c r="AF111" s="145">
        <f t="shared" si="345"/>
        <v>122.22936872180448</v>
      </c>
      <c r="AG111" s="123"/>
      <c r="AH111" s="145">
        <f t="shared" ref="AH111:BQ111" si="346">AH101+AH109</f>
        <v>48.268789274119136</v>
      </c>
      <c r="AI111" s="145">
        <f t="shared" si="346"/>
        <v>23.79050803815047</v>
      </c>
      <c r="AJ111" s="145">
        <f t="shared" si="346"/>
        <v>71.36464929040153</v>
      </c>
      <c r="AK111" s="145">
        <f t="shared" si="346"/>
        <v>100.16012860298503</v>
      </c>
      <c r="AL111" s="145">
        <f t="shared" si="346"/>
        <v>132.74032213100432</v>
      </c>
      <c r="AM111" s="145">
        <f t="shared" si="346"/>
        <v>42.603070205352616</v>
      </c>
      <c r="AN111" s="145">
        <f t="shared" si="346"/>
        <v>-10.321925492815222</v>
      </c>
      <c r="AO111" s="145">
        <f t="shared" si="346"/>
        <v>-44.904764389074614</v>
      </c>
      <c r="AP111" s="145">
        <f t="shared" si="346"/>
        <v>-44.904764389074614</v>
      </c>
      <c r="AQ111" s="145">
        <f t="shared" si="346"/>
        <v>-0.41644124413284089</v>
      </c>
      <c r="AR111" s="145">
        <f t="shared" si="346"/>
        <v>103.94688172629323</v>
      </c>
      <c r="AS111" s="145">
        <f t="shared" si="346"/>
        <v>170.72078746143185</v>
      </c>
      <c r="AT111" s="145">
        <f t="shared" si="346"/>
        <v>100.88436441618596</v>
      </c>
      <c r="AU111" s="145">
        <f t="shared" si="346"/>
        <v>30.347825297628962</v>
      </c>
      <c r="AV111" s="145">
        <f t="shared" si="346"/>
        <v>81.704799582799467</v>
      </c>
      <c r="AW111" s="145">
        <f t="shared" si="346"/>
        <v>125.43141544165279</v>
      </c>
      <c r="AX111" s="145">
        <f t="shared" si="346"/>
        <v>152.2822965113738</v>
      </c>
      <c r="AY111" s="145">
        <f t="shared" si="346"/>
        <v>65.73572555021768</v>
      </c>
      <c r="AZ111" s="145">
        <f t="shared" si="346"/>
        <v>-1.5903227675345235</v>
      </c>
      <c r="BA111" s="145">
        <f t="shared" si="346"/>
        <v>-52.967162466978763</v>
      </c>
      <c r="BB111" s="145">
        <f t="shared" si="346"/>
        <v>-52.967162466978763</v>
      </c>
      <c r="BC111" s="145">
        <f t="shared" si="346"/>
        <v>28.20053757739797</v>
      </c>
      <c r="BD111" s="145">
        <f t="shared" si="346"/>
        <v>140.23851271562498</v>
      </c>
      <c r="BE111" s="145">
        <f t="shared" si="346"/>
        <v>190.53593766615145</v>
      </c>
      <c r="BF111" s="145">
        <f t="shared" si="346"/>
        <v>157.59756982085582</v>
      </c>
      <c r="BG111" s="145">
        <f t="shared" si="346"/>
        <v>52.180641968399541</v>
      </c>
      <c r="BH111" s="145">
        <f t="shared" si="346"/>
        <v>134.94027487979264</v>
      </c>
      <c r="BI111" s="145">
        <f t="shared" si="346"/>
        <v>193.31306254128663</v>
      </c>
      <c r="BJ111" s="145">
        <f t="shared" si="346"/>
        <v>240.35720273224885</v>
      </c>
      <c r="BK111" s="145">
        <f t="shared" si="346"/>
        <v>112.2829799387294</v>
      </c>
      <c r="BL111" s="145">
        <f t="shared" si="346"/>
        <v>6.866052086273065</v>
      </c>
      <c r="BM111" s="145">
        <f t="shared" si="346"/>
        <v>-64.564933354588362</v>
      </c>
      <c r="BN111" s="145">
        <f t="shared" si="346"/>
        <v>-64.564933354588362</v>
      </c>
      <c r="BO111" s="145">
        <f t="shared" si="346"/>
        <v>40.851994497867963</v>
      </c>
      <c r="BP111" s="145">
        <f t="shared" si="346"/>
        <v>170.65576760022333</v>
      </c>
      <c r="BQ111" s="146">
        <f t="shared" si="346"/>
        <v>240.35720273224885</v>
      </c>
      <c r="BR111" s="145"/>
      <c r="BS111" s="145">
        <f t="shared" ref="BS111:BY111" si="347">BS101+BS109</f>
        <v>157.59756982085582</v>
      </c>
      <c r="BT111" s="145">
        <f t="shared" si="347"/>
        <v>52.180641968399541</v>
      </c>
      <c r="BU111" s="145">
        <f t="shared" si="347"/>
        <v>134.94027487979264</v>
      </c>
      <c r="BV111" s="145">
        <f t="shared" si="347"/>
        <v>193.31306254128663</v>
      </c>
      <c r="BW111" s="145">
        <f t="shared" si="347"/>
        <v>240.35720273224885</v>
      </c>
      <c r="BX111" s="145">
        <f t="shared" si="347"/>
        <v>112.2829799387294</v>
      </c>
      <c r="BY111" s="145">
        <f t="shared" si="347"/>
        <v>6.866052086273065</v>
      </c>
      <c r="BZ111" s="123"/>
      <c r="CA111" s="145">
        <f t="shared" ref="CA111:CF111" si="348">CA101+CA109</f>
        <v>613.7260399999999</v>
      </c>
      <c r="CB111" s="145">
        <f t="shared" si="348"/>
        <v>567.31910999999991</v>
      </c>
      <c r="CC111" s="145">
        <f t="shared" si="348"/>
        <v>559.60714666666661</v>
      </c>
      <c r="CD111" s="145">
        <f t="shared" si="348"/>
        <v>593.04724121464074</v>
      </c>
      <c r="CE111" s="145">
        <f t="shared" si="348"/>
        <v>807.8367670575409</v>
      </c>
      <c r="CF111" s="145">
        <f t="shared" si="348"/>
        <v>1220.2728820887496</v>
      </c>
      <c r="CG111" s="7"/>
      <c r="CH111" s="147">
        <f t="shared" ref="CH111:CJ111" si="349">IFERROR(CD111/CD$55,0)</f>
        <v>0.30204889516134664</v>
      </c>
      <c r="CI111" s="147">
        <f t="shared" si="349"/>
        <v>0.30243904270683242</v>
      </c>
      <c r="CJ111" s="147">
        <f t="shared" si="349"/>
        <v>0.32118035203851564</v>
      </c>
      <c r="CK111" s="7"/>
      <c r="CL111" s="147">
        <f>CL101+CL109</f>
        <v>8.3335914966184588E-2</v>
      </c>
      <c r="CM111" s="7"/>
      <c r="CN111" s="145">
        <f t="shared" ref="CN111:CO111" si="350">CN101+CN109</f>
        <v>11122.699000000004</v>
      </c>
      <c r="CO111" s="147">
        <f t="shared" si="350"/>
        <v>0.30682210644276009</v>
      </c>
      <c r="CQ111" s="71"/>
      <c r="CR111" s="71"/>
      <c r="CU111" s="145">
        <f t="shared" ref="CU111:CX111" si="351">CU101+CU109</f>
        <v>579.92768746273146</v>
      </c>
      <c r="CV111" s="145">
        <f t="shared" si="351"/>
        <v>739.23780319776733</v>
      </c>
      <c r="CW111" s="145">
        <f t="shared" si="351"/>
        <v>1150.5784469928033</v>
      </c>
      <c r="CX111" s="145">
        <f t="shared" si="351"/>
        <v>1220.2728820887485</v>
      </c>
    </row>
    <row r="112" spans="1:117" ht="15.75" customHeight="1">
      <c r="AG112" s="14"/>
      <c r="BZ112" s="14"/>
      <c r="CQ112" s="71"/>
      <c r="CR112" s="71"/>
      <c r="CU112" s="7">
        <f>SUM(AB111:AN111)</f>
        <v>579.92768746273168</v>
      </c>
      <c r="CV112" s="7">
        <f>SUM(AO111:AZ111)</f>
        <v>739.23780319776722</v>
      </c>
      <c r="CW112" s="7">
        <f>SUM(BA111:BL111)</f>
        <v>1150.5784469928028</v>
      </c>
      <c r="CX112" s="7">
        <f>SUM(BM111:BY111)</f>
        <v>1220.2728820887494</v>
      </c>
    </row>
    <row r="115" spans="1:117" ht="15" customHeight="1">
      <c r="C115" s="33" t="s">
        <v>116</v>
      </c>
    </row>
    <row r="116" spans="1:117" ht="15" customHeight="1">
      <c r="A116" s="17"/>
      <c r="B116" s="17"/>
      <c r="C116" s="17" t="s">
        <v>195</v>
      </c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17"/>
      <c r="AH116" s="27">
        <f t="shared" ref="AH116:BQ116" si="352">AH45</f>
        <v>35.094999999999999</v>
      </c>
      <c r="AI116" s="27">
        <f t="shared" si="352"/>
        <v>7.9249999999999998</v>
      </c>
      <c r="AJ116" s="27">
        <f t="shared" si="352"/>
        <v>74.58</v>
      </c>
      <c r="AK116" s="27">
        <f t="shared" si="352"/>
        <v>44.484999999999999</v>
      </c>
      <c r="AL116" s="27">
        <f t="shared" si="352"/>
        <v>31.074999999999999</v>
      </c>
      <c r="AM116" s="27">
        <f t="shared" si="352"/>
        <v>24.574999999999999</v>
      </c>
      <c r="AN116" s="27">
        <f t="shared" si="352"/>
        <v>0.95</v>
      </c>
      <c r="AO116" s="27">
        <f t="shared" si="352"/>
        <v>0</v>
      </c>
      <c r="AP116" s="27">
        <f t="shared" si="352"/>
        <v>0</v>
      </c>
      <c r="AQ116" s="27">
        <f t="shared" si="352"/>
        <v>0.3</v>
      </c>
      <c r="AR116" s="27">
        <f t="shared" si="352"/>
        <v>2.65</v>
      </c>
      <c r="AS116" s="27">
        <f t="shared" si="352"/>
        <v>66.435000000000002</v>
      </c>
      <c r="AT116" s="27">
        <f t="shared" si="352"/>
        <v>27.375</v>
      </c>
      <c r="AU116" s="27">
        <f t="shared" si="352"/>
        <v>0.6</v>
      </c>
      <c r="AV116" s="27">
        <f t="shared" si="352"/>
        <v>2.2999999999999998</v>
      </c>
      <c r="AW116" s="27">
        <f t="shared" si="352"/>
        <v>13.8</v>
      </c>
      <c r="AX116" s="27">
        <f t="shared" si="352"/>
        <v>25.57</v>
      </c>
      <c r="AY116" s="27">
        <f t="shared" si="352"/>
        <v>2</v>
      </c>
      <c r="AZ116" s="27">
        <f t="shared" si="352"/>
        <v>0</v>
      </c>
      <c r="BA116" s="27">
        <f t="shared" si="352"/>
        <v>0</v>
      </c>
      <c r="BB116" s="27">
        <f t="shared" si="352"/>
        <v>0</v>
      </c>
      <c r="BC116" s="27">
        <f t="shared" si="352"/>
        <v>0</v>
      </c>
      <c r="BD116" s="27">
        <f t="shared" si="352"/>
        <v>0</v>
      </c>
      <c r="BE116" s="27">
        <f t="shared" si="352"/>
        <v>0</v>
      </c>
      <c r="BF116" s="27">
        <f t="shared" si="352"/>
        <v>0</v>
      </c>
      <c r="BG116" s="27">
        <f t="shared" si="352"/>
        <v>0</v>
      </c>
      <c r="BH116" s="27">
        <f t="shared" si="352"/>
        <v>0</v>
      </c>
      <c r="BI116" s="27">
        <f t="shared" si="352"/>
        <v>0</v>
      </c>
      <c r="BJ116" s="27">
        <f t="shared" si="352"/>
        <v>0</v>
      </c>
      <c r="BK116" s="27">
        <f t="shared" si="352"/>
        <v>0</v>
      </c>
      <c r="BL116" s="27">
        <f t="shared" si="352"/>
        <v>0</v>
      </c>
      <c r="BM116" s="27">
        <f t="shared" si="352"/>
        <v>0</v>
      </c>
      <c r="BN116" s="27">
        <f t="shared" si="352"/>
        <v>0</v>
      </c>
      <c r="BO116" s="27">
        <f t="shared" si="352"/>
        <v>0</v>
      </c>
      <c r="BP116" s="27">
        <f t="shared" si="352"/>
        <v>0</v>
      </c>
      <c r="BQ116" s="27">
        <f t="shared" si="352"/>
        <v>0</v>
      </c>
      <c r="BR116" s="27"/>
      <c r="BS116" s="27">
        <f t="shared" ref="BS116:BY116" si="353">BS45</f>
        <v>0</v>
      </c>
      <c r="BT116" s="27">
        <f t="shared" si="353"/>
        <v>0</v>
      </c>
      <c r="BU116" s="27">
        <f t="shared" si="353"/>
        <v>0</v>
      </c>
      <c r="BV116" s="27">
        <f t="shared" si="353"/>
        <v>0</v>
      </c>
      <c r="BW116" s="27">
        <f t="shared" si="353"/>
        <v>0</v>
      </c>
      <c r="BX116" s="27">
        <f t="shared" si="353"/>
        <v>0</v>
      </c>
      <c r="BY116" s="27">
        <f t="shared" si="353"/>
        <v>0</v>
      </c>
      <c r="BZ116" s="17"/>
      <c r="CA116" s="27">
        <f t="shared" ref="CA116:CB116" si="354">SUMIFS($D116:$BZ116,$D$1:$BZ$1,CA$2)</f>
        <v>0</v>
      </c>
      <c r="CB116" s="27">
        <f t="shared" si="354"/>
        <v>0</v>
      </c>
      <c r="CC116" s="27">
        <f t="shared" ref="CC116:CC118" si="355">SUMIFS($P116:$AF116,$P$3:$AF$3,$CC$2)</f>
        <v>0</v>
      </c>
      <c r="CD116" s="27">
        <f t="shared" ref="CD116:CF116" si="356">SUMIFS($D116:$BZ116,$D$3:$BZ$3,CD$2)</f>
        <v>288.06999999999994</v>
      </c>
      <c r="CE116" s="27">
        <f t="shared" si="356"/>
        <v>71.64500000000001</v>
      </c>
      <c r="CF116" s="27">
        <f t="shared" si="356"/>
        <v>0</v>
      </c>
      <c r="CG116" s="2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</row>
    <row r="117" spans="1:117" ht="15" customHeight="1">
      <c r="C117" s="8" t="s">
        <v>196</v>
      </c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H117" s="25">
        <f>SUMIFS('Future Events'!$K:$K,'Future Events'!$D:$D,AH$9)/1000</f>
        <v>3.6</v>
      </c>
      <c r="AI117" s="25">
        <f>SUMIFS('Future Events'!$K:$K,'Future Events'!$D:$D,AI$9)/1000</f>
        <v>0</v>
      </c>
      <c r="AJ117" s="25">
        <f>SUMIFS('Future Events'!$K:$K,'Future Events'!$D:$D,AJ$9)/1000</f>
        <v>10</v>
      </c>
      <c r="AK117" s="25">
        <f>SUMIFS('Future Events'!$K:$K,'Future Events'!$D:$D,AK$9)/1000</f>
        <v>12</v>
      </c>
      <c r="AL117" s="25">
        <f>SUMIFS('Future Events'!$K:$K,'Future Events'!$D:$D,AL$9)/1000</f>
        <v>0</v>
      </c>
      <c r="AM117" s="25">
        <f>SUMIFS('Future Events'!$K:$K,'Future Events'!$D:$D,AM$9)/1000</f>
        <v>2</v>
      </c>
      <c r="AN117" s="25">
        <f>SUMIFS('Future Events'!$K:$K,'Future Events'!$D:$D,AN$9)/1000</f>
        <v>0</v>
      </c>
      <c r="AO117" s="25">
        <f>SUMIFS('Future Events'!$K:$K,'Future Events'!$D:$D,AO$9)/1000</f>
        <v>0</v>
      </c>
      <c r="AP117" s="25">
        <f>SUMIFS('Future Events'!$K:$K,'Future Events'!$D:$D,AP$9)/1000</f>
        <v>0</v>
      </c>
      <c r="AQ117" s="25">
        <f>SUMIFS('Future Events'!$K:$K,'Future Events'!$D:$D,AQ$9)/1000</f>
        <v>0</v>
      </c>
      <c r="AR117" s="25">
        <f>SUMIFS('Future Events'!$K:$K,'Future Events'!$D:$D,AR$9)/1000</f>
        <v>0</v>
      </c>
      <c r="AS117" s="25">
        <f>SUMIFS('Future Events'!$K:$K,'Future Events'!$D:$D,AS$9)/1000</f>
        <v>11</v>
      </c>
      <c r="AT117" s="25">
        <f>SUMIFS('Future Events'!$K:$K,'Future Events'!$D:$D,AT$9)/1000</f>
        <v>6</v>
      </c>
      <c r="AU117" s="25">
        <f>SUMIFS('Future Events'!$K:$K,'Future Events'!$D:$D,AU$9)/1000</f>
        <v>0</v>
      </c>
      <c r="AV117" s="25">
        <f>SUMIFS('Future Events'!$K:$K,'Future Events'!$D:$D,AV$9)/1000</f>
        <v>0</v>
      </c>
      <c r="AW117" s="25">
        <f>SUMIFS('Future Events'!$K:$K,'Future Events'!$D:$D,AW$9)/1000</f>
        <v>4</v>
      </c>
      <c r="AX117" s="25">
        <f>SUMIFS('Future Events'!$K:$K,'Future Events'!$D:$D,AX$9)/1000</f>
        <v>4.5999999999999996</v>
      </c>
      <c r="AY117" s="25">
        <f>SUMIFS('Future Events'!$K:$K,'Future Events'!$D:$D,AY$9)/1000</f>
        <v>0</v>
      </c>
      <c r="AZ117" s="25">
        <f>SUMIFS('Future Events'!$K:$K,'Future Events'!$D:$D,AZ$9)/1000</f>
        <v>0</v>
      </c>
      <c r="BA117" s="25">
        <f>SUMIFS('Future Events'!$K:$K,'Future Events'!$D:$D,BA$9)/1000</f>
        <v>0</v>
      </c>
      <c r="BB117" s="25">
        <f>SUMIFS('Future Events'!$K:$K,'Future Events'!$D:$D,BB$9)/1000</f>
        <v>0</v>
      </c>
      <c r="BC117" s="25">
        <f>SUMIFS('Future Events'!$K:$K,'Future Events'!$D:$D,BC$9)/1000</f>
        <v>0</v>
      </c>
      <c r="BD117" s="25">
        <f>SUMIFS('Future Events'!$K:$K,'Future Events'!$D:$D,BD$9)/1000</f>
        <v>0</v>
      </c>
      <c r="BE117" s="25">
        <f>SUMIFS('Future Events'!$K:$K,'Future Events'!$D:$D,BE$9)/1000</f>
        <v>0</v>
      </c>
      <c r="BF117" s="25">
        <f>SUMIFS('Future Events'!$K:$K,'Future Events'!$D:$D,BF$9)/1000</f>
        <v>0</v>
      </c>
      <c r="BG117" s="25">
        <f>SUMIFS('Future Events'!$K:$K,'Future Events'!$D:$D,BG$9)/1000</f>
        <v>0</v>
      </c>
      <c r="BH117" s="25">
        <f>SUMIFS('Future Events'!$K:$K,'Future Events'!$D:$D,BH$9)/1000</f>
        <v>0</v>
      </c>
      <c r="BI117" s="25">
        <f>SUMIFS('Future Events'!$K:$K,'Future Events'!$D:$D,BI$9)/1000</f>
        <v>0</v>
      </c>
      <c r="BJ117" s="25">
        <f>SUMIFS('Future Events'!$K:$K,'Future Events'!$D:$D,BJ$9)/1000</f>
        <v>0</v>
      </c>
      <c r="BK117" s="25">
        <f>SUMIFS('Future Events'!$K:$K,'Future Events'!$D:$D,BK$9)/1000</f>
        <v>0</v>
      </c>
      <c r="BL117" s="25">
        <f>SUMIFS('Future Events'!$K:$K,'Future Events'!$D:$D,BL$9)/1000</f>
        <v>0</v>
      </c>
      <c r="BM117" s="25">
        <f>SUMIFS('Future Events'!$K:$K,'Future Events'!$D:$D,BM$9)/1000</f>
        <v>0</v>
      </c>
      <c r="BN117" s="25">
        <f>SUMIFS('Future Events'!$K:$K,'Future Events'!$D:$D,BN$9)/1000</f>
        <v>0</v>
      </c>
      <c r="BO117" s="25">
        <f>SUMIFS('Future Events'!$K:$K,'Future Events'!$D:$D,BO$9)/1000</f>
        <v>0</v>
      </c>
      <c r="BP117" s="25">
        <f>SUMIFS('Future Events'!$K:$K,'Future Events'!$D:$D,BP$9)/1000</f>
        <v>0</v>
      </c>
      <c r="BQ117" s="25">
        <f>SUMIFS('Future Events'!$K:$K,'Future Events'!$D:$D,BQ$9)/1000</f>
        <v>0</v>
      </c>
      <c r="BR117" s="25"/>
      <c r="BS117" s="25">
        <f>SUMIFS('Future Events'!$K:$K,'Future Events'!$D:$D,BS$9)/1000</f>
        <v>0</v>
      </c>
      <c r="BT117" s="25">
        <f>SUMIFS('Future Events'!$K:$K,'Future Events'!$D:$D,BT$9)/1000</f>
        <v>0</v>
      </c>
      <c r="BU117" s="25">
        <f>SUMIFS('Future Events'!$K:$K,'Future Events'!$D:$D,BU$9)/1000</f>
        <v>0</v>
      </c>
      <c r="BV117" s="25">
        <f>SUMIFS('Future Events'!$K:$K,'Future Events'!$D:$D,BV$9)/1000</f>
        <v>0</v>
      </c>
      <c r="BW117" s="25">
        <f>SUMIFS('Future Events'!$K:$K,'Future Events'!$D:$D,BW$9)/1000</f>
        <v>0</v>
      </c>
      <c r="BX117" s="25">
        <f>SUMIFS('Future Events'!$K:$K,'Future Events'!$D:$D,BX$9)/1000</f>
        <v>0</v>
      </c>
      <c r="BY117" s="25">
        <f>SUMIFS('Future Events'!$K:$K,'Future Events'!$D:$D,BY$9)/1000</f>
        <v>0</v>
      </c>
      <c r="CA117" s="25">
        <f t="shared" ref="CA117:CB117" si="357">SUMIFS($D117:$BZ117,$D$1:$BZ$1,CA$2)</f>
        <v>0</v>
      </c>
      <c r="CB117" s="25">
        <f t="shared" si="357"/>
        <v>0</v>
      </c>
      <c r="CC117" s="25">
        <f t="shared" si="355"/>
        <v>0</v>
      </c>
      <c r="CD117" s="25">
        <f t="shared" ref="CD117:CF117" si="358">SUMIFS($D117:$BZ117,$D$3:$BZ$3,CD$2)</f>
        <v>38.6</v>
      </c>
      <c r="CE117" s="25">
        <f t="shared" si="358"/>
        <v>14.6</v>
      </c>
      <c r="CF117" s="25">
        <f t="shared" si="358"/>
        <v>0</v>
      </c>
      <c r="CG117" s="25"/>
    </row>
    <row r="118" spans="1:117" ht="15" customHeight="1">
      <c r="C118" s="8" t="s">
        <v>197</v>
      </c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H118" s="25">
        <f t="shared" ref="AH118:BQ118" si="359">AH116-AH117</f>
        <v>31.494999999999997</v>
      </c>
      <c r="AI118" s="25">
        <f t="shared" si="359"/>
        <v>7.9249999999999998</v>
      </c>
      <c r="AJ118" s="25">
        <f t="shared" si="359"/>
        <v>64.58</v>
      </c>
      <c r="AK118" s="25">
        <f t="shared" si="359"/>
        <v>32.484999999999999</v>
      </c>
      <c r="AL118" s="25">
        <f t="shared" si="359"/>
        <v>31.074999999999999</v>
      </c>
      <c r="AM118" s="25">
        <f t="shared" si="359"/>
        <v>22.574999999999999</v>
      </c>
      <c r="AN118" s="25">
        <f t="shared" si="359"/>
        <v>0.95</v>
      </c>
      <c r="AO118" s="25">
        <f t="shared" si="359"/>
        <v>0</v>
      </c>
      <c r="AP118" s="25">
        <f t="shared" si="359"/>
        <v>0</v>
      </c>
      <c r="AQ118" s="25">
        <f t="shared" si="359"/>
        <v>0.3</v>
      </c>
      <c r="AR118" s="25">
        <f t="shared" si="359"/>
        <v>2.65</v>
      </c>
      <c r="AS118" s="25">
        <f t="shared" si="359"/>
        <v>55.435000000000002</v>
      </c>
      <c r="AT118" s="25">
        <f t="shared" si="359"/>
        <v>21.375</v>
      </c>
      <c r="AU118" s="25">
        <f t="shared" si="359"/>
        <v>0.6</v>
      </c>
      <c r="AV118" s="25">
        <f t="shared" si="359"/>
        <v>2.2999999999999998</v>
      </c>
      <c r="AW118" s="25">
        <f t="shared" si="359"/>
        <v>9.8000000000000007</v>
      </c>
      <c r="AX118" s="25">
        <f t="shared" si="359"/>
        <v>20.97</v>
      </c>
      <c r="AY118" s="25">
        <f t="shared" si="359"/>
        <v>2</v>
      </c>
      <c r="AZ118" s="25">
        <f t="shared" si="359"/>
        <v>0</v>
      </c>
      <c r="BA118" s="25">
        <f t="shared" si="359"/>
        <v>0</v>
      </c>
      <c r="BB118" s="25">
        <f t="shared" si="359"/>
        <v>0</v>
      </c>
      <c r="BC118" s="25">
        <f t="shared" si="359"/>
        <v>0</v>
      </c>
      <c r="BD118" s="25">
        <f t="shared" si="359"/>
        <v>0</v>
      </c>
      <c r="BE118" s="25">
        <f t="shared" si="359"/>
        <v>0</v>
      </c>
      <c r="BF118" s="25">
        <f t="shared" si="359"/>
        <v>0</v>
      </c>
      <c r="BG118" s="25">
        <f t="shared" si="359"/>
        <v>0</v>
      </c>
      <c r="BH118" s="25">
        <f t="shared" si="359"/>
        <v>0</v>
      </c>
      <c r="BI118" s="25">
        <f t="shared" si="359"/>
        <v>0</v>
      </c>
      <c r="BJ118" s="25">
        <f t="shared" si="359"/>
        <v>0</v>
      </c>
      <c r="BK118" s="25">
        <f t="shared" si="359"/>
        <v>0</v>
      </c>
      <c r="BL118" s="25">
        <f t="shared" si="359"/>
        <v>0</v>
      </c>
      <c r="BM118" s="25">
        <f t="shared" si="359"/>
        <v>0</v>
      </c>
      <c r="BN118" s="25">
        <f t="shared" si="359"/>
        <v>0</v>
      </c>
      <c r="BO118" s="25">
        <f t="shared" si="359"/>
        <v>0</v>
      </c>
      <c r="BP118" s="25">
        <f t="shared" si="359"/>
        <v>0</v>
      </c>
      <c r="BQ118" s="25">
        <f t="shared" si="359"/>
        <v>0</v>
      </c>
      <c r="BR118" s="25"/>
      <c r="BS118" s="25">
        <f>SUMIFS('Future Events'!$K:$K,'Future Events'!$D:$D,BS$9)/1000</f>
        <v>0</v>
      </c>
      <c r="BT118" s="25">
        <f>SUMIFS('Future Events'!$K:$K,'Future Events'!$D:$D,BT$9)/1000</f>
        <v>0</v>
      </c>
      <c r="BU118" s="25">
        <f>SUMIFS('Future Events'!$K:$K,'Future Events'!$D:$D,BU$9)/1000</f>
        <v>0</v>
      </c>
      <c r="BV118" s="25">
        <f>SUMIFS('Future Events'!$K:$K,'Future Events'!$D:$D,BV$9)/1000</f>
        <v>0</v>
      </c>
      <c r="BW118" s="25">
        <f>SUMIFS('Future Events'!$K:$K,'Future Events'!$D:$D,BW$9)/1000</f>
        <v>0</v>
      </c>
      <c r="BX118" s="25">
        <f>SUMIFS('Future Events'!$K:$K,'Future Events'!$D:$D,BX$9)/1000</f>
        <v>0</v>
      </c>
      <c r="BY118" s="25">
        <f>SUMIFS('Future Events'!$K:$K,'Future Events'!$D:$D,BY$9)/1000</f>
        <v>0</v>
      </c>
      <c r="CA118" s="25">
        <f t="shared" ref="CA118:CB118" si="360">SUMIFS($D118:$BZ118,$D$1:$BZ$1,CA$2)</f>
        <v>0</v>
      </c>
      <c r="CB118" s="25">
        <f t="shared" si="360"/>
        <v>0</v>
      </c>
      <c r="CC118" s="25">
        <f t="shared" si="355"/>
        <v>0</v>
      </c>
      <c r="CD118" s="25">
        <f t="shared" ref="CD118:CF118" si="361">SUMIFS($D118:$BZ118,$D$3:$BZ$3,CD$2)</f>
        <v>249.47</v>
      </c>
      <c r="CE118" s="25">
        <f t="shared" si="361"/>
        <v>57.045000000000002</v>
      </c>
      <c r="CF118" s="25">
        <f t="shared" si="361"/>
        <v>0</v>
      </c>
      <c r="CG118" s="25"/>
    </row>
    <row r="119" spans="1:117" ht="15" customHeight="1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CA119" s="25"/>
      <c r="CB119" s="25"/>
      <c r="CC119" s="25"/>
      <c r="CD119" s="25"/>
      <c r="CE119" s="25"/>
      <c r="CF119" s="25"/>
      <c r="CG119" s="25"/>
    </row>
  </sheetData>
  <mergeCells count="7">
    <mergeCell ref="CH8:CK8"/>
    <mergeCell ref="CN8:CO8"/>
    <mergeCell ref="CU8:CX8"/>
    <mergeCell ref="D8:O8"/>
    <mergeCell ref="P8:AF8"/>
    <mergeCell ref="CA8:CC8"/>
    <mergeCell ref="CD8:CF8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2:Z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2.54296875" defaultRowHeight="15" customHeight="1" outlineLevelRow="1"/>
  <cols>
    <col min="1" max="2" width="1.54296875" customWidth="1"/>
    <col min="3" max="3" width="31.1796875" customWidth="1"/>
    <col min="4" max="9" width="12.7265625" customWidth="1"/>
    <col min="10" max="10" width="1.7265625" customWidth="1"/>
    <col min="11" max="13" width="10.7265625" customWidth="1"/>
    <col min="14" max="14" width="1.7265625" customWidth="1"/>
    <col min="15" max="18" width="12.7265625" customWidth="1"/>
    <col min="19" max="19" width="1.7265625" customWidth="1"/>
    <col min="20" max="26" width="8.54296875" customWidth="1"/>
  </cols>
  <sheetData>
    <row r="2" spans="1:26" ht="4.5" customHeight="1"/>
    <row r="3" spans="1:26" ht="14.5">
      <c r="C3" s="17" t="str">
        <f>Checks!$C$3</f>
        <v>Firefly Lane</v>
      </c>
    </row>
    <row r="4" spans="1:26" ht="14.5">
      <c r="C4" s="3" t="s">
        <v>198</v>
      </c>
    </row>
    <row r="5" spans="1:26" ht="14.5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26" ht="14.5">
      <c r="C6" s="148" t="s">
        <v>42</v>
      </c>
      <c r="D6" s="516" t="str">
        <f>$C$3</f>
        <v>Firefly Lane</v>
      </c>
      <c r="E6" s="514"/>
      <c r="F6" s="514"/>
      <c r="G6" s="514"/>
      <c r="H6" s="514"/>
      <c r="I6" s="515"/>
      <c r="K6" s="513" t="s">
        <v>199</v>
      </c>
      <c r="L6" s="514"/>
      <c r="M6" s="515"/>
      <c r="O6" s="513" t="s">
        <v>200</v>
      </c>
      <c r="P6" s="514"/>
      <c r="Q6" s="514"/>
      <c r="R6" s="515"/>
    </row>
    <row r="7" spans="1:26" ht="14.5">
      <c r="C7" s="19"/>
      <c r="D7" s="516" t="s">
        <v>201</v>
      </c>
      <c r="E7" s="514"/>
      <c r="F7" s="515"/>
      <c r="G7" s="516" t="s">
        <v>83</v>
      </c>
      <c r="H7" s="514"/>
      <c r="I7" s="515"/>
      <c r="K7" s="1"/>
      <c r="L7" s="1"/>
      <c r="M7" s="1"/>
      <c r="O7" s="1"/>
      <c r="P7" s="1" t="s">
        <v>202</v>
      </c>
      <c r="Q7" s="1" t="s">
        <v>203</v>
      </c>
      <c r="R7" s="1"/>
    </row>
    <row r="8" spans="1:26" ht="14.5">
      <c r="C8" s="19"/>
      <c r="D8" s="19">
        <f>Checks!$D$11</f>
        <v>2024</v>
      </c>
      <c r="E8" s="19">
        <f>Checks!$D$12</f>
        <v>2025</v>
      </c>
      <c r="F8" s="19" t="str">
        <f>Checks!$D$13</f>
        <v>LTM Apr-26</v>
      </c>
      <c r="G8" s="19" t="s">
        <v>20</v>
      </c>
      <c r="H8" s="19" t="s">
        <v>21</v>
      </c>
      <c r="I8" s="19" t="s">
        <v>22</v>
      </c>
      <c r="K8" s="2" t="s">
        <v>20</v>
      </c>
      <c r="L8" s="2" t="s">
        <v>21</v>
      </c>
      <c r="M8" s="2" t="s">
        <v>22</v>
      </c>
      <c r="O8" s="2" t="str">
        <f>C3</f>
        <v>Firefly Lane</v>
      </c>
      <c r="P8" s="149" t="str">
        <f>'Adj. P&amp;L'!CN1</f>
        <v>DFW</v>
      </c>
      <c r="Q8" s="149" t="s">
        <v>204</v>
      </c>
      <c r="R8" s="149" t="s">
        <v>205</v>
      </c>
    </row>
    <row r="9" spans="1:26" ht="4.5" customHeight="1">
      <c r="K9" s="68"/>
      <c r="L9" s="68"/>
      <c r="M9" s="68"/>
      <c r="O9" s="68"/>
      <c r="P9" s="68"/>
      <c r="Q9" s="68"/>
      <c r="R9" s="68"/>
    </row>
    <row r="10" spans="1:26" ht="14.5">
      <c r="C10" s="20" t="s">
        <v>2</v>
      </c>
      <c r="K10" s="68"/>
      <c r="L10" s="68"/>
      <c r="M10" s="68"/>
      <c r="O10" s="68"/>
      <c r="P10" s="68"/>
      <c r="Q10" s="68"/>
      <c r="R10" s="68"/>
    </row>
    <row r="11" spans="1:26" ht="14.5">
      <c r="C11" s="8" t="s">
        <v>206</v>
      </c>
      <c r="D11" s="84">
        <f>'Revenue Analysis - Barn'!D11+'Revenue Analysis - Chapel'!D11</f>
        <v>153</v>
      </c>
      <c r="E11" s="84">
        <f>'Revenue Analysis - Barn'!E11+'Revenue Analysis - Chapel'!E11</f>
        <v>133</v>
      </c>
      <c r="F11" s="84">
        <f>'Revenue Analysis - Barn'!F11+'Revenue Analysis - Chapel'!F11</f>
        <v>131</v>
      </c>
      <c r="G11" s="84">
        <f>'Revenue Analysis - Barn'!G11+'Revenue Analysis - Chapel'!G11</f>
        <v>122</v>
      </c>
      <c r="H11" s="84">
        <f>'Revenue Analysis - Barn'!H11+'Revenue Analysis - Chapel'!H11</f>
        <v>30</v>
      </c>
      <c r="I11" s="84">
        <f>'Revenue Analysis - Barn'!I11+'Revenue Analysis - Chapel'!I11</f>
        <v>0</v>
      </c>
      <c r="K11" s="68"/>
      <c r="L11" s="68"/>
      <c r="M11" s="68"/>
      <c r="O11" s="68"/>
      <c r="P11" s="68"/>
      <c r="Q11" s="68"/>
      <c r="R11" s="68"/>
    </row>
    <row r="12" spans="1:26" ht="14.5">
      <c r="C12" s="8" t="s">
        <v>207</v>
      </c>
      <c r="D12" s="150"/>
      <c r="E12" s="150"/>
      <c r="F12" s="150"/>
      <c r="G12" s="84">
        <f>'Revenue Analysis - Barn'!G12+'Revenue Analysis - Chapel'!G12</f>
        <v>28</v>
      </c>
      <c r="H12" s="84">
        <f>'Revenue Analysis - Barn'!H12+'Revenue Analysis - Chapel'!H12</f>
        <v>130</v>
      </c>
      <c r="I12" s="84">
        <f>'Revenue Analysis - Barn'!I12+'Revenue Analysis - Chapel'!I12</f>
        <v>170</v>
      </c>
      <c r="K12" s="68"/>
      <c r="L12" s="68"/>
      <c r="M12" s="68"/>
      <c r="O12" s="68"/>
      <c r="P12" s="151"/>
      <c r="Q12" s="68"/>
      <c r="R12" s="68"/>
    </row>
    <row r="13" spans="1:26" ht="14.5">
      <c r="A13" s="17"/>
      <c r="B13" s="17"/>
      <c r="C13" s="152" t="s">
        <v>195</v>
      </c>
      <c r="D13" s="153">
        <f t="shared" ref="D13:I13" si="0">SUM(D11:D12)</f>
        <v>153</v>
      </c>
      <c r="E13" s="153">
        <f t="shared" si="0"/>
        <v>133</v>
      </c>
      <c r="F13" s="153">
        <f t="shared" si="0"/>
        <v>131</v>
      </c>
      <c r="G13" s="128">
        <f t="shared" si="0"/>
        <v>150</v>
      </c>
      <c r="H13" s="128">
        <f t="shared" si="0"/>
        <v>160</v>
      </c>
      <c r="I13" s="128">
        <f t="shared" si="0"/>
        <v>170</v>
      </c>
      <c r="J13" s="17"/>
      <c r="K13" s="154"/>
      <c r="L13" s="154"/>
      <c r="M13" s="154"/>
      <c r="N13" s="17"/>
      <c r="O13" s="154"/>
      <c r="P13" s="155">
        <f t="array" ref="P13">INDEX('WH Rev &amp; Events Data'!13:13,MATCH(P$8,'WH Rev &amp; Events Data'!$8:$8,0))</f>
        <v>1614</v>
      </c>
      <c r="Q13" s="155">
        <f t="array" ref="Q13">INDEX('WH Rev &amp; Events Data'!13:13,MATCH(Q$8,'WH Rev &amp; Events Data'!$8:$8,0))</f>
        <v>1614</v>
      </c>
      <c r="R13" s="155">
        <f t="array" ref="R13">INDEX('WH Rev &amp; Events Data'!13:13,MATCH(R$8,'WH Rev &amp; Events Data'!$8:$8,0))</f>
        <v>3035</v>
      </c>
      <c r="S13" s="17"/>
      <c r="T13" s="156"/>
      <c r="U13" s="17"/>
      <c r="V13" s="17"/>
      <c r="W13" s="17"/>
      <c r="X13" s="17"/>
      <c r="Y13" s="17"/>
      <c r="Z13" s="17"/>
    </row>
    <row r="14" spans="1:26" ht="4.5" customHeight="1">
      <c r="K14" s="68"/>
      <c r="L14" s="68"/>
      <c r="M14" s="68"/>
      <c r="O14" s="68"/>
      <c r="P14" s="68"/>
      <c r="Q14" s="68"/>
      <c r="R14" s="68"/>
    </row>
    <row r="15" spans="1:26" ht="14.5">
      <c r="C15" s="20" t="s">
        <v>33</v>
      </c>
      <c r="K15" s="68"/>
      <c r="L15" s="68"/>
      <c r="M15" s="68"/>
      <c r="O15" s="68"/>
      <c r="P15" s="68"/>
      <c r="Q15" s="68"/>
      <c r="R15" s="68"/>
    </row>
    <row r="16" spans="1:26" ht="14.5">
      <c r="C16" s="8" t="s">
        <v>206</v>
      </c>
      <c r="D16" s="86">
        <f>'Revenue Analysis - Barn'!D16+'Revenue Analysis - Chapel'!D16</f>
        <v>1050.3499999999999</v>
      </c>
      <c r="E16" s="86">
        <f>'Revenue Analysis - Barn'!E16+'Revenue Analysis - Chapel'!E16</f>
        <v>910</v>
      </c>
      <c r="F16" s="86">
        <f>'Revenue Analysis - Barn'!F16+'Revenue Analysis - Chapel'!F16</f>
        <v>899.75</v>
      </c>
      <c r="G16" s="86">
        <f>'Revenue Analysis - Barn'!G16+'Revenue Analysis - Chapel'!G16</f>
        <v>923.625</v>
      </c>
      <c r="H16" s="86">
        <f>'Revenue Analysis - Barn'!H16+'Revenue Analysis - Chapel'!H16</f>
        <v>248.27500000000001</v>
      </c>
      <c r="I16" s="86">
        <f>'Revenue Analysis - Barn'!I16+'Revenue Analysis - Chapel'!I16</f>
        <v>0</v>
      </c>
      <c r="K16" s="68"/>
      <c r="L16" s="68"/>
      <c r="M16" s="68"/>
      <c r="O16" s="68"/>
      <c r="P16" s="68"/>
      <c r="Q16" s="68"/>
      <c r="R16" s="68"/>
    </row>
    <row r="17" spans="1:26" ht="14.5">
      <c r="C17" s="8" t="s">
        <v>208</v>
      </c>
      <c r="D17" s="157"/>
      <c r="E17" s="157"/>
      <c r="F17" s="157"/>
      <c r="G17" s="86">
        <f>'Revenue Analysis - Barn'!G17+'Revenue Analysis - Chapel'!G17</f>
        <v>327.65272727272719</v>
      </c>
      <c r="H17" s="86">
        <f>'Revenue Analysis - Barn'!H17+'Revenue Analysis - Chapel'!H17</f>
        <v>88.023363991797709</v>
      </c>
      <c r="I17" s="86">
        <f>'Revenue Analysis - Barn'!I17+'Revenue Analysis - Chapel'!I17</f>
        <v>0</v>
      </c>
      <c r="K17" s="68"/>
      <c r="L17" s="68"/>
      <c r="M17" s="68"/>
      <c r="O17" s="68"/>
      <c r="P17" s="68"/>
      <c r="Q17" s="68"/>
      <c r="R17" s="68"/>
    </row>
    <row r="18" spans="1:26" ht="14.5">
      <c r="C18" s="8" t="s">
        <v>209</v>
      </c>
      <c r="D18" s="157"/>
      <c r="E18" s="157"/>
      <c r="F18" s="157"/>
      <c r="G18" s="86">
        <f>'Revenue Analysis - Barn'!G18+'Revenue Analysis - Chapel'!G18</f>
        <v>355.81697383998625</v>
      </c>
      <c r="H18" s="86">
        <f>'Revenue Analysis - Barn'!H18+'Revenue Analysis - Chapel'!H18</f>
        <v>2193.1296556401712</v>
      </c>
      <c r="I18" s="86">
        <f>'Revenue Analysis - Barn'!I18+'Revenue Analysis - Chapel'!I18</f>
        <v>3729.3385160198577</v>
      </c>
      <c r="K18" s="68"/>
      <c r="L18" s="68"/>
      <c r="M18" s="68"/>
      <c r="O18" s="68"/>
      <c r="P18" s="68"/>
      <c r="Q18" s="68"/>
      <c r="R18" s="68"/>
    </row>
    <row r="19" spans="1:26" ht="14.5">
      <c r="A19" s="17"/>
      <c r="B19" s="17"/>
      <c r="C19" s="152" t="s">
        <v>195</v>
      </c>
      <c r="D19" s="158">
        <f t="shared" ref="D19:I19" si="1">SUM(D16:D18)</f>
        <v>1050.3499999999999</v>
      </c>
      <c r="E19" s="158">
        <f t="shared" si="1"/>
        <v>910</v>
      </c>
      <c r="F19" s="158">
        <f t="shared" si="1"/>
        <v>899.75</v>
      </c>
      <c r="G19" s="134">
        <f t="shared" si="1"/>
        <v>1607.0947011127134</v>
      </c>
      <c r="H19" s="134">
        <f t="shared" si="1"/>
        <v>2529.4280196319687</v>
      </c>
      <c r="I19" s="134">
        <f t="shared" si="1"/>
        <v>3729.3385160198577</v>
      </c>
      <c r="J19" s="17"/>
      <c r="K19" s="154"/>
      <c r="L19" s="154"/>
      <c r="M19" s="154"/>
      <c r="N19" s="17"/>
      <c r="O19" s="154"/>
      <c r="P19" s="154"/>
      <c r="Q19" s="154"/>
      <c r="R19" s="154"/>
      <c r="S19" s="17"/>
      <c r="T19" s="156"/>
      <c r="U19" s="17"/>
      <c r="V19" s="17"/>
      <c r="W19" s="17"/>
      <c r="X19" s="17"/>
      <c r="Y19" s="17"/>
      <c r="Z19" s="17"/>
    </row>
    <row r="20" spans="1:26" ht="4.5" customHeight="1">
      <c r="K20" s="68"/>
      <c r="L20" s="68"/>
      <c r="M20" s="68"/>
      <c r="O20" s="68"/>
      <c r="P20" s="68"/>
      <c r="Q20" s="68"/>
      <c r="R20" s="68"/>
    </row>
    <row r="21" spans="1:26" ht="15.75" customHeight="1">
      <c r="C21" s="20" t="s">
        <v>167</v>
      </c>
      <c r="K21" s="68"/>
      <c r="L21" s="68"/>
      <c r="M21" s="68"/>
      <c r="O21" s="68"/>
      <c r="P21" s="68"/>
      <c r="Q21" s="68"/>
      <c r="R21" s="68"/>
    </row>
    <row r="22" spans="1:26" ht="15.75" customHeight="1">
      <c r="C22" s="8" t="s">
        <v>206</v>
      </c>
      <c r="D22" s="10">
        <f t="shared" ref="D22:I22" si="2">IFERROR(D16/D11,0)</f>
        <v>6.8650326797385617</v>
      </c>
      <c r="E22" s="10">
        <f t="shared" si="2"/>
        <v>6.8421052631578947</v>
      </c>
      <c r="F22" s="10">
        <f t="shared" si="2"/>
        <v>6.8683206106870225</v>
      </c>
      <c r="G22" s="10">
        <f t="shared" si="2"/>
        <v>7.5706967213114753</v>
      </c>
      <c r="H22" s="10">
        <f t="shared" si="2"/>
        <v>8.2758333333333329</v>
      </c>
      <c r="I22" s="10">
        <f t="shared" si="2"/>
        <v>0</v>
      </c>
      <c r="K22" s="68"/>
      <c r="L22" s="68"/>
      <c r="M22" s="68"/>
      <c r="O22" s="68"/>
      <c r="P22" s="68"/>
      <c r="Q22" s="68"/>
      <c r="R22" s="68"/>
    </row>
    <row r="23" spans="1:26" ht="15.75" customHeight="1">
      <c r="C23" s="8" t="s">
        <v>208</v>
      </c>
      <c r="D23" s="159"/>
      <c r="E23" s="159"/>
      <c r="F23" s="159"/>
      <c r="G23" s="10">
        <f t="shared" ref="G23:I23" si="3">IFERROR(G17/G11,0)</f>
        <v>2.685678092399403</v>
      </c>
      <c r="H23" s="10">
        <f t="shared" si="3"/>
        <v>2.9341121330599238</v>
      </c>
      <c r="I23" s="10">
        <f t="shared" si="3"/>
        <v>0</v>
      </c>
      <c r="K23" s="68"/>
      <c r="L23" s="68"/>
      <c r="M23" s="68"/>
      <c r="O23" s="68"/>
      <c r="P23" s="68"/>
      <c r="Q23" s="68"/>
      <c r="R23" s="68"/>
    </row>
    <row r="24" spans="1:26" ht="15.75" customHeight="1">
      <c r="C24" s="8" t="s">
        <v>209</v>
      </c>
      <c r="D24" s="159"/>
      <c r="E24" s="159"/>
      <c r="F24" s="159"/>
      <c r="G24" s="10">
        <f t="shared" ref="G24:I24" si="4">IFERROR(G18/G12,0)</f>
        <v>12.707749065713795</v>
      </c>
      <c r="H24" s="10">
        <f t="shared" si="4"/>
        <v>16.870228120309008</v>
      </c>
      <c r="I24" s="10">
        <f t="shared" si="4"/>
        <v>21.937285388352105</v>
      </c>
      <c r="K24" s="68"/>
      <c r="L24" s="68"/>
      <c r="M24" s="68"/>
      <c r="O24" s="68"/>
      <c r="P24" s="68"/>
      <c r="Q24" s="68"/>
      <c r="R24" s="68"/>
    </row>
    <row r="25" spans="1:26" ht="15.75" customHeight="1">
      <c r="C25" s="152" t="s">
        <v>195</v>
      </c>
      <c r="D25" s="160">
        <f t="shared" ref="D25:I25" si="5">IFERROR(D19/D13,0)</f>
        <v>6.8650326797385617</v>
      </c>
      <c r="E25" s="160">
        <f t="shared" si="5"/>
        <v>6.8421052631578947</v>
      </c>
      <c r="F25" s="160">
        <f t="shared" si="5"/>
        <v>6.8683206106870225</v>
      </c>
      <c r="G25" s="161">
        <f t="shared" si="5"/>
        <v>10.713964674084757</v>
      </c>
      <c r="H25" s="161">
        <f t="shared" si="5"/>
        <v>15.808925122699804</v>
      </c>
      <c r="I25" s="161">
        <f t="shared" si="5"/>
        <v>21.937285388352105</v>
      </c>
      <c r="K25" s="68"/>
      <c r="L25" s="68"/>
      <c r="M25" s="68"/>
      <c r="O25" s="68"/>
      <c r="P25" s="68"/>
      <c r="Q25" s="68"/>
      <c r="R25" s="68"/>
    </row>
    <row r="26" spans="1:26" ht="15.75" customHeight="1"/>
    <row r="27" spans="1:26" ht="15.75" customHeight="1" outlineLevel="1">
      <c r="C27" s="162" t="s">
        <v>210</v>
      </c>
      <c r="D27" s="163"/>
      <c r="E27" s="163"/>
      <c r="F27" s="163"/>
      <c r="G27" s="163"/>
      <c r="H27" s="163"/>
      <c r="I27" s="163"/>
      <c r="J27" s="163"/>
      <c r="K27" s="518" t="s">
        <v>211</v>
      </c>
      <c r="L27" s="514"/>
      <c r="M27" s="515"/>
      <c r="N27" s="163"/>
      <c r="O27" s="164"/>
      <c r="P27" s="165"/>
      <c r="Q27" s="165"/>
      <c r="R27" s="165"/>
      <c r="S27" s="25"/>
      <c r="T27" s="25"/>
    </row>
    <row r="28" spans="1:26" ht="15.75" customHeight="1" outlineLevel="1">
      <c r="A28" s="3"/>
      <c r="B28" s="3"/>
      <c r="C28" s="33" t="s">
        <v>212</v>
      </c>
      <c r="D28" s="27"/>
      <c r="E28" s="27"/>
      <c r="F28" s="27"/>
      <c r="G28" s="27"/>
      <c r="H28" s="27"/>
      <c r="I28" s="27"/>
      <c r="J28" s="27"/>
      <c r="K28" s="166"/>
      <c r="L28" s="166"/>
      <c r="M28" s="166"/>
      <c r="N28" s="27"/>
      <c r="O28" s="166"/>
      <c r="P28" s="167"/>
      <c r="Q28" s="167"/>
      <c r="R28" s="167"/>
      <c r="S28" s="25"/>
      <c r="T28" s="25"/>
      <c r="U28" s="3"/>
      <c r="V28" s="3"/>
      <c r="W28" s="3"/>
      <c r="X28" s="3"/>
      <c r="Y28" s="3"/>
      <c r="Z28" s="3"/>
    </row>
    <row r="29" spans="1:26" ht="15.75" customHeight="1" outlineLevel="1">
      <c r="C29" s="8" t="s">
        <v>213</v>
      </c>
      <c r="D29" s="87">
        <f>'Revenue Analysis - Barn'!D29+'Revenue Analysis - Chapel'!D29</f>
        <v>153</v>
      </c>
      <c r="E29" s="87">
        <f>'Revenue Analysis - Barn'!E29+'Revenue Analysis - Chapel'!E29</f>
        <v>133</v>
      </c>
      <c r="F29" s="87">
        <f>'Revenue Analysis - Barn'!F29+'Revenue Analysis - Chapel'!F29</f>
        <v>131</v>
      </c>
      <c r="G29" s="84">
        <f>'Revenue Analysis - Barn'!G29+'Revenue Analysis - Chapel'!G29</f>
        <v>122</v>
      </c>
      <c r="H29" s="84">
        <f>'Revenue Analysis - Barn'!H29+'Revenue Analysis - Chapel'!H29</f>
        <v>30</v>
      </c>
      <c r="I29" s="84">
        <f>'Revenue Analysis - Barn'!I29+'Revenue Analysis - Chapel'!I29</f>
        <v>0</v>
      </c>
      <c r="J29" s="25"/>
      <c r="K29" s="69">
        <f t="shared" ref="K29:M29" si="6">IFERROR(G29/G$11,0)</f>
        <v>1</v>
      </c>
      <c r="L29" s="69">
        <f t="shared" si="6"/>
        <v>1</v>
      </c>
      <c r="M29" s="69">
        <f t="shared" si="6"/>
        <v>0</v>
      </c>
      <c r="N29" s="25"/>
      <c r="O29" s="168"/>
      <c r="P29" s="168"/>
      <c r="Q29" s="168"/>
      <c r="R29" s="98"/>
      <c r="S29" s="25"/>
      <c r="T29" s="25"/>
    </row>
    <row r="30" spans="1:26" ht="15.75" customHeight="1" outlineLevel="1">
      <c r="C30" s="8" t="s">
        <v>196</v>
      </c>
      <c r="D30" s="169"/>
      <c r="E30" s="169"/>
      <c r="F30" s="169"/>
      <c r="G30" s="84">
        <f>'Revenue Analysis - Barn'!G30+'Revenue Analysis - Chapel'!G30</f>
        <v>31</v>
      </c>
      <c r="H30" s="84">
        <f>'Revenue Analysis - Barn'!H30+'Revenue Analysis - Chapel'!H30</f>
        <v>8</v>
      </c>
      <c r="I30" s="84">
        <f>'Revenue Analysis - Barn'!I30+'Revenue Analysis - Chapel'!I30</f>
        <v>0</v>
      </c>
      <c r="J30" s="25"/>
      <c r="K30" s="69">
        <f t="shared" ref="K30:M30" si="7">IFERROR(G30/G$11,0)</f>
        <v>0.25409836065573771</v>
      </c>
      <c r="L30" s="69">
        <f t="shared" si="7"/>
        <v>0.26666666666666666</v>
      </c>
      <c r="M30" s="69">
        <f t="shared" si="7"/>
        <v>0</v>
      </c>
      <c r="N30" s="25"/>
      <c r="O30" s="170">
        <v>0</v>
      </c>
      <c r="P30" s="170">
        <v>0</v>
      </c>
      <c r="Q30" s="170">
        <v>0</v>
      </c>
      <c r="R30" s="170">
        <v>0</v>
      </c>
      <c r="S30" s="25"/>
      <c r="T30" s="171"/>
    </row>
    <row r="31" spans="1:26" ht="15.75" customHeight="1" outlineLevel="1">
      <c r="C31" s="8" t="s">
        <v>214</v>
      </c>
      <c r="D31" s="169"/>
      <c r="E31" s="169"/>
      <c r="F31" s="169"/>
      <c r="G31" s="84">
        <f>'Revenue Analysis - Barn'!G31+'Revenue Analysis - Chapel'!G31</f>
        <v>0</v>
      </c>
      <c r="H31" s="84">
        <f>'Revenue Analysis - Barn'!H31+'Revenue Analysis - Chapel'!H31</f>
        <v>0</v>
      </c>
      <c r="I31" s="84">
        <f>'Revenue Analysis - Barn'!I31+'Revenue Analysis - Chapel'!I31</f>
        <v>0</v>
      </c>
      <c r="J31" s="25"/>
      <c r="K31" s="69">
        <f t="shared" ref="K31:M31" si="8">IFERROR(G31/G$11,0)</f>
        <v>0</v>
      </c>
      <c r="L31" s="69">
        <f t="shared" si="8"/>
        <v>0</v>
      </c>
      <c r="M31" s="69">
        <f t="shared" si="8"/>
        <v>0</v>
      </c>
      <c r="N31" s="25"/>
      <c r="O31" s="170">
        <v>0</v>
      </c>
      <c r="P31" s="170">
        <v>0</v>
      </c>
      <c r="Q31" s="170">
        <v>0</v>
      </c>
      <c r="R31" s="170">
        <v>0</v>
      </c>
      <c r="S31" s="25"/>
      <c r="T31" s="171"/>
    </row>
    <row r="32" spans="1:26" ht="15.75" customHeight="1" outlineLevel="1">
      <c r="C32" s="8" t="s">
        <v>215</v>
      </c>
      <c r="D32" s="169"/>
      <c r="E32" s="169"/>
      <c r="F32" s="169"/>
      <c r="G32" s="84">
        <f>'Revenue Analysis - Barn'!G32+'Revenue Analysis - Chapel'!G32</f>
        <v>0</v>
      </c>
      <c r="H32" s="84">
        <f>'Revenue Analysis - Barn'!H32+'Revenue Analysis - Chapel'!H32</f>
        <v>0</v>
      </c>
      <c r="I32" s="84">
        <f>'Revenue Analysis - Barn'!I32+'Revenue Analysis - Chapel'!I32</f>
        <v>0</v>
      </c>
      <c r="J32" s="25"/>
      <c r="K32" s="69">
        <f t="shared" ref="K32:M32" si="9">IFERROR(G32/G$11,0)</f>
        <v>0</v>
      </c>
      <c r="L32" s="69">
        <f t="shared" si="9"/>
        <v>0</v>
      </c>
      <c r="M32" s="69">
        <f t="shared" si="9"/>
        <v>0</v>
      </c>
      <c r="N32" s="25"/>
      <c r="O32" s="170">
        <v>0</v>
      </c>
      <c r="P32" s="170">
        <v>0</v>
      </c>
      <c r="Q32" s="170">
        <v>0</v>
      </c>
      <c r="R32" s="170">
        <v>0</v>
      </c>
      <c r="S32" s="25"/>
      <c r="T32" s="25"/>
    </row>
    <row r="33" spans="1:26" ht="15.75" customHeight="1" outlineLevel="1">
      <c r="C33" s="8" t="s">
        <v>216</v>
      </c>
      <c r="D33" s="169"/>
      <c r="E33" s="169"/>
      <c r="F33" s="169"/>
      <c r="G33" s="84">
        <f>'Revenue Analysis - Barn'!G33+'Revenue Analysis - Chapel'!G33</f>
        <v>21</v>
      </c>
      <c r="H33" s="84">
        <f>'Revenue Analysis - Barn'!H33+'Revenue Analysis - Chapel'!H33</f>
        <v>5</v>
      </c>
      <c r="I33" s="84">
        <f>'Revenue Analysis - Barn'!I33+'Revenue Analysis - Chapel'!I33</f>
        <v>0</v>
      </c>
      <c r="J33" s="25"/>
      <c r="K33" s="69">
        <f t="shared" ref="K33:M33" si="10">IFERROR(G33/G$11,0)</f>
        <v>0.1721311475409836</v>
      </c>
      <c r="L33" s="69">
        <f t="shared" si="10"/>
        <v>0.16666666666666666</v>
      </c>
      <c r="M33" s="69">
        <f t="shared" si="10"/>
        <v>0</v>
      </c>
      <c r="N33" s="25"/>
      <c r="O33" s="170">
        <v>0</v>
      </c>
      <c r="P33" s="170">
        <f t="array" ref="P33">INDEX('WH Rev &amp; Events Data'!27:27,MATCH(P$8,'WH Rev &amp; Events Data'!$8:$8,0))</f>
        <v>0.66356877323420072</v>
      </c>
      <c r="Q33" s="170">
        <f t="array" ref="Q33">INDEX('WH Rev &amp; Events Data'!27:27,MATCH(Q$8,'WH Rev &amp; Events Data'!$8:$8,0))</f>
        <v>0.66356877323420072</v>
      </c>
      <c r="R33" s="170">
        <f t="array" ref="R33">INDEX('WH Rev &amp; Events Data'!27:27,MATCH(R$8,'WH Rev &amp; Events Data'!$8:$8,0))</f>
        <v>0.69028006589785829</v>
      </c>
      <c r="S33" s="25"/>
      <c r="T33" s="171"/>
    </row>
    <row r="34" spans="1:26" ht="15.75" customHeight="1" outlineLevel="1">
      <c r="C34" s="8" t="s">
        <v>217</v>
      </c>
      <c r="D34" s="169"/>
      <c r="E34" s="169"/>
      <c r="F34" s="169"/>
      <c r="G34" s="84">
        <f>'Revenue Analysis - Barn'!G34+'Revenue Analysis - Chapel'!G34</f>
        <v>17</v>
      </c>
      <c r="H34" s="84">
        <f>'Revenue Analysis - Barn'!H34+'Revenue Analysis - Chapel'!H34</f>
        <v>4</v>
      </c>
      <c r="I34" s="84">
        <f>'Revenue Analysis - Barn'!I34+'Revenue Analysis - Chapel'!I34</f>
        <v>0</v>
      </c>
      <c r="J34" s="25"/>
      <c r="K34" s="69">
        <f t="shared" ref="K34:M34" si="11">IFERROR(G34/G$11,0)</f>
        <v>0.13934426229508196</v>
      </c>
      <c r="L34" s="69">
        <f t="shared" si="11"/>
        <v>0.13333333333333333</v>
      </c>
      <c r="M34" s="69">
        <f t="shared" si="11"/>
        <v>0</v>
      </c>
      <c r="N34" s="25"/>
      <c r="O34" s="170">
        <v>0</v>
      </c>
      <c r="P34" s="170">
        <f t="array" ref="P34">INDEX('WH Rev &amp; Events Data'!28:28,MATCH(P$8,'WH Rev &amp; Events Data'!$8:$8,0))</f>
        <v>0.52602230483271373</v>
      </c>
      <c r="Q34" s="170">
        <f t="array" ref="Q34">INDEX('WH Rev &amp; Events Data'!28:28,MATCH(Q$8,'WH Rev &amp; Events Data'!$8:$8,0))</f>
        <v>0.52602230483271373</v>
      </c>
      <c r="R34" s="170">
        <f t="array" ref="R34">INDEX('WH Rev &amp; Events Data'!28:28,MATCH(R$8,'WH Rev &amp; Events Data'!$8:$8,0))</f>
        <v>0.53937397034596379</v>
      </c>
      <c r="S34" s="25"/>
      <c r="T34" s="171"/>
    </row>
    <row r="35" spans="1:26" ht="15.75" customHeight="1" outlineLevel="1">
      <c r="C35" s="8" t="s">
        <v>218</v>
      </c>
      <c r="D35" s="169"/>
      <c r="E35" s="169"/>
      <c r="F35" s="169"/>
      <c r="G35" s="84">
        <f>'Revenue Analysis - Barn'!G35+'Revenue Analysis - Chapel'!G35</f>
        <v>14</v>
      </c>
      <c r="H35" s="84">
        <f>'Revenue Analysis - Barn'!H35+'Revenue Analysis - Chapel'!H35</f>
        <v>4</v>
      </c>
      <c r="I35" s="84">
        <f>'Revenue Analysis - Barn'!I35+'Revenue Analysis - Chapel'!I35</f>
        <v>0</v>
      </c>
      <c r="J35" s="25"/>
      <c r="K35" s="69">
        <f t="shared" ref="K35:M35" si="12">IFERROR(G35/G$11,0)</f>
        <v>0.11475409836065574</v>
      </c>
      <c r="L35" s="69">
        <f t="shared" si="12"/>
        <v>0.13333333333333333</v>
      </c>
      <c r="M35" s="69">
        <f t="shared" si="12"/>
        <v>0</v>
      </c>
      <c r="N35" s="25"/>
      <c r="O35" s="170">
        <v>0</v>
      </c>
      <c r="P35" s="170">
        <f t="array" ref="P35">INDEX('WH Rev &amp; Events Data'!29:29,MATCH(P$8,'WH Rev &amp; Events Data'!$8:$8,0))</f>
        <v>0.46344485749690212</v>
      </c>
      <c r="Q35" s="170">
        <f t="array" ref="Q35">INDEX('WH Rev &amp; Events Data'!29:29,MATCH(Q$8,'WH Rev &amp; Events Data'!$8:$8,0))</f>
        <v>0.46344485749690212</v>
      </c>
      <c r="R35" s="170">
        <f t="array" ref="R35">INDEX('WH Rev &amp; Events Data'!29:29,MATCH(R$8,'WH Rev &amp; Events Data'!$8:$8,0))</f>
        <v>0.44250411861614497</v>
      </c>
      <c r="S35" s="25"/>
      <c r="T35" s="171"/>
    </row>
    <row r="36" spans="1:26" ht="15.75" customHeight="1" outlineLevel="1">
      <c r="C36" s="8" t="s">
        <v>219</v>
      </c>
      <c r="D36" s="169"/>
      <c r="E36" s="169"/>
      <c r="F36" s="169"/>
      <c r="G36" s="84">
        <f>'Revenue Analysis - Barn'!G36+'Revenue Analysis - Chapel'!G36</f>
        <v>0</v>
      </c>
      <c r="H36" s="84">
        <f>'Revenue Analysis - Barn'!H36+'Revenue Analysis - Chapel'!H36</f>
        <v>4</v>
      </c>
      <c r="I36" s="84">
        <f>'Revenue Analysis - Barn'!I36+'Revenue Analysis - Chapel'!I36</f>
        <v>0</v>
      </c>
      <c r="J36" s="25"/>
      <c r="K36" s="69">
        <f t="shared" ref="K36:M36" si="13">IFERROR(G36/G$11,0)</f>
        <v>0</v>
      </c>
      <c r="L36" s="69">
        <f t="shared" si="13"/>
        <v>0.13333333333333333</v>
      </c>
      <c r="M36" s="69">
        <f t="shared" si="13"/>
        <v>0</v>
      </c>
      <c r="N36" s="25"/>
      <c r="O36" s="170">
        <v>0</v>
      </c>
      <c r="P36" s="170">
        <f t="array" ref="P36">INDEX('WH Rev &amp; Events Data'!30:30,MATCH(P$8,'WH Rev &amp; Events Data'!$8:$8,0))</f>
        <v>0.57682775712515488</v>
      </c>
      <c r="Q36" s="170">
        <f t="array" ref="Q36">INDEX('WH Rev &amp; Events Data'!30:30,MATCH(Q$8,'WH Rev &amp; Events Data'!$8:$8,0))</f>
        <v>0.57682775712515488</v>
      </c>
      <c r="R36" s="170">
        <f t="array" ref="R36">INDEX('WH Rev &amp; Events Data'!30:30,MATCH(R$8,'WH Rev &amp; Events Data'!$8:$8,0))</f>
        <v>0.59373970345963756</v>
      </c>
      <c r="S36" s="25"/>
      <c r="T36" s="25"/>
    </row>
    <row r="37" spans="1:26" ht="15.75" customHeight="1" outlineLevel="1">
      <c r="C37" s="8" t="s">
        <v>220</v>
      </c>
      <c r="D37" s="169"/>
      <c r="E37" s="169"/>
      <c r="F37" s="169"/>
      <c r="G37" s="84">
        <f>'Revenue Analysis - Barn'!G37+'Revenue Analysis - Chapel'!G37</f>
        <v>14</v>
      </c>
      <c r="H37" s="84">
        <f>'Revenue Analysis - Barn'!H37+'Revenue Analysis - Chapel'!H37</f>
        <v>4</v>
      </c>
      <c r="I37" s="84">
        <f>'Revenue Analysis - Barn'!I37+'Revenue Analysis - Chapel'!I37</f>
        <v>0</v>
      </c>
      <c r="J37" s="25"/>
      <c r="K37" s="69">
        <f t="shared" ref="K37:M37" si="14">IFERROR(G37/G$11,0)</f>
        <v>0.11475409836065574</v>
      </c>
      <c r="L37" s="69">
        <f t="shared" si="14"/>
        <v>0.13333333333333333</v>
      </c>
      <c r="M37" s="69">
        <f t="shared" si="14"/>
        <v>0</v>
      </c>
      <c r="N37" s="25"/>
      <c r="O37" s="170">
        <v>0</v>
      </c>
      <c r="P37" s="170">
        <f t="array" ref="P37">INDEX('WH Rev &amp; Events Data'!31:31,MATCH(P$8,'WH Rev &amp; Events Data'!$8:$8,0))</f>
        <v>0.45724907063197023</v>
      </c>
      <c r="Q37" s="170">
        <f t="array" ref="Q37">INDEX('WH Rev &amp; Events Data'!31:31,MATCH(Q$8,'WH Rev &amp; Events Data'!$8:$8,0))</f>
        <v>0.45724907063197023</v>
      </c>
      <c r="R37" s="170">
        <f t="array" ref="R37">INDEX('WH Rev &amp; Events Data'!31:31,MATCH(R$8,'WH Rev &amp; Events Data'!$8:$8,0))</f>
        <v>0.44975288303130151</v>
      </c>
      <c r="S37" s="25"/>
      <c r="T37" s="171"/>
    </row>
    <row r="38" spans="1:26" ht="15.75" customHeight="1" outlineLevel="1">
      <c r="C38" s="8" t="s">
        <v>8</v>
      </c>
      <c r="D38" s="169"/>
      <c r="E38" s="169"/>
      <c r="F38" s="169"/>
      <c r="G38" s="84">
        <f>'Revenue Analysis - Barn'!G38+'Revenue Analysis - Chapel'!G38</f>
        <v>0</v>
      </c>
      <c r="H38" s="84">
        <f>'Revenue Analysis - Barn'!H38+'Revenue Analysis - Chapel'!H38</f>
        <v>0</v>
      </c>
      <c r="I38" s="84">
        <f>'Revenue Analysis - Barn'!I38+'Revenue Analysis - Chapel'!I38</f>
        <v>0</v>
      </c>
      <c r="J38" s="25"/>
      <c r="K38" s="69">
        <f t="shared" ref="K38:M38" si="15">IFERROR(G38/G$11,0)</f>
        <v>0</v>
      </c>
      <c r="L38" s="69">
        <f t="shared" si="15"/>
        <v>0</v>
      </c>
      <c r="M38" s="69">
        <f t="shared" si="15"/>
        <v>0</v>
      </c>
      <c r="N38" s="25"/>
      <c r="O38" s="168"/>
      <c r="P38" s="168"/>
      <c r="Q38" s="168"/>
      <c r="R38" s="168"/>
      <c r="S38" s="25"/>
      <c r="T38" s="171"/>
    </row>
    <row r="39" spans="1:26" ht="4.5" customHeight="1" outlineLevel="1"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72"/>
      <c r="S39" s="10"/>
      <c r="T39" s="25"/>
    </row>
    <row r="40" spans="1:26" ht="15.75" customHeight="1">
      <c r="A40" s="17"/>
      <c r="B40" s="17"/>
      <c r="C40" s="173" t="s">
        <v>221</v>
      </c>
      <c r="D40" s="174">
        <f t="shared" ref="D40:I40" si="16">D11</f>
        <v>153</v>
      </c>
      <c r="E40" s="174">
        <f t="shared" si="16"/>
        <v>133</v>
      </c>
      <c r="F40" s="174">
        <f t="shared" si="16"/>
        <v>131</v>
      </c>
      <c r="G40" s="174">
        <f t="shared" si="16"/>
        <v>122</v>
      </c>
      <c r="H40" s="174">
        <f t="shared" si="16"/>
        <v>30</v>
      </c>
      <c r="I40" s="174">
        <f t="shared" si="16"/>
        <v>0</v>
      </c>
      <c r="J40" s="174"/>
      <c r="K40" s="175"/>
      <c r="L40" s="175"/>
      <c r="M40" s="175"/>
      <c r="N40" s="174"/>
      <c r="O40" s="175"/>
      <c r="P40" s="175"/>
      <c r="Q40" s="175"/>
      <c r="R40" s="175"/>
      <c r="S40" s="27"/>
      <c r="T40" s="27"/>
      <c r="U40" s="17"/>
      <c r="V40" s="17"/>
      <c r="W40" s="17"/>
      <c r="X40" s="17"/>
      <c r="Y40" s="17"/>
      <c r="Z40" s="17"/>
    </row>
    <row r="41" spans="1:26" ht="15.75" customHeight="1">
      <c r="C41" s="1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26" ht="15.75" customHeight="1" outlineLevel="1">
      <c r="A42" s="3"/>
      <c r="B42" s="3"/>
      <c r="C42" s="33" t="s">
        <v>222</v>
      </c>
      <c r="D42" s="27"/>
      <c r="E42" s="27"/>
      <c r="F42" s="27"/>
      <c r="G42" s="27"/>
      <c r="H42" s="27"/>
      <c r="I42" s="27"/>
      <c r="J42" s="27"/>
      <c r="K42" s="166"/>
      <c r="L42" s="166"/>
      <c r="M42" s="166"/>
      <c r="N42" s="27"/>
      <c r="O42" s="166"/>
      <c r="P42" s="167"/>
      <c r="Q42" s="167"/>
      <c r="R42" s="167"/>
      <c r="S42" s="25"/>
      <c r="T42" s="25"/>
      <c r="U42" s="3"/>
      <c r="V42" s="3"/>
      <c r="W42" s="3"/>
      <c r="X42" s="3"/>
      <c r="Y42" s="3"/>
      <c r="Z42" s="3"/>
    </row>
    <row r="43" spans="1:26" ht="15.75" customHeight="1" outlineLevel="1">
      <c r="C43" s="8" t="s">
        <v>213</v>
      </c>
      <c r="D43" s="169"/>
      <c r="E43" s="169"/>
      <c r="F43" s="169"/>
      <c r="G43" s="84">
        <f>'Revenue Analysis - Barn'!G43+'Revenue Analysis - Chapel'!G43</f>
        <v>28</v>
      </c>
      <c r="H43" s="84">
        <f>'Revenue Analysis - Barn'!H43+'Revenue Analysis - Chapel'!H43</f>
        <v>130</v>
      </c>
      <c r="I43" s="84">
        <f>'Revenue Analysis - Barn'!I43+'Revenue Analysis - Chapel'!I43</f>
        <v>170</v>
      </c>
      <c r="J43" s="25"/>
      <c r="K43" s="69">
        <f t="shared" ref="K43:M43" si="17">G43/G$12</f>
        <v>1</v>
      </c>
      <c r="L43" s="69">
        <f t="shared" si="17"/>
        <v>1</v>
      </c>
      <c r="M43" s="69">
        <f t="shared" si="17"/>
        <v>1</v>
      </c>
      <c r="N43" s="25"/>
      <c r="O43" s="168"/>
      <c r="P43" s="168"/>
      <c r="Q43" s="168"/>
      <c r="R43" s="98"/>
      <c r="S43" s="25"/>
      <c r="T43" s="25"/>
    </row>
    <row r="44" spans="1:26" ht="15.75" customHeight="1" outlineLevel="1">
      <c r="C44" s="8" t="s">
        <v>196</v>
      </c>
      <c r="D44" s="169"/>
      <c r="E44" s="169"/>
      <c r="F44" s="169"/>
      <c r="G44" s="84">
        <f>'Revenue Analysis - Barn'!G44+'Revenue Analysis - Chapel'!G44</f>
        <v>14</v>
      </c>
      <c r="H44" s="84">
        <f>'Revenue Analysis - Barn'!H44+'Revenue Analysis - Chapel'!H44</f>
        <v>97.5</v>
      </c>
      <c r="I44" s="84">
        <f>'Revenue Analysis - Barn'!I44+'Revenue Analysis - Chapel'!I44</f>
        <v>170</v>
      </c>
      <c r="J44" s="25"/>
      <c r="K44" s="69">
        <f t="shared" ref="K44:M44" si="18">G44/G$12</f>
        <v>0.5</v>
      </c>
      <c r="L44" s="69">
        <f t="shared" si="18"/>
        <v>0.75</v>
      </c>
      <c r="M44" s="69">
        <f t="shared" si="18"/>
        <v>1</v>
      </c>
      <c r="N44" s="25"/>
      <c r="O44" s="10">
        <v>0</v>
      </c>
      <c r="P44" s="10">
        <v>0</v>
      </c>
      <c r="Q44" s="10">
        <v>0</v>
      </c>
      <c r="R44" s="10">
        <v>0</v>
      </c>
      <c r="S44" s="25"/>
      <c r="T44" s="171"/>
    </row>
    <row r="45" spans="1:26" ht="15.75" customHeight="1" outlineLevel="1">
      <c r="C45" s="8" t="s">
        <v>214</v>
      </c>
      <c r="D45" s="169"/>
      <c r="E45" s="169"/>
      <c r="F45" s="169"/>
      <c r="G45" s="84">
        <f>'Revenue Analysis - Barn'!G45+'Revenue Analysis - Chapel'!G45</f>
        <v>0</v>
      </c>
      <c r="H45" s="84">
        <f>'Revenue Analysis - Barn'!H45+'Revenue Analysis - Chapel'!H45</f>
        <v>32.5</v>
      </c>
      <c r="I45" s="84">
        <f>'Revenue Analysis - Barn'!I45+'Revenue Analysis - Chapel'!I45</f>
        <v>170</v>
      </c>
      <c r="J45" s="25"/>
      <c r="K45" s="69">
        <f t="shared" ref="K45:M45" si="19">G45/G$12</f>
        <v>0</v>
      </c>
      <c r="L45" s="69">
        <f t="shared" si="19"/>
        <v>0.25</v>
      </c>
      <c r="M45" s="69">
        <f t="shared" si="19"/>
        <v>1</v>
      </c>
      <c r="N45" s="25"/>
      <c r="O45" s="10">
        <v>0</v>
      </c>
      <c r="P45" s="10">
        <v>0</v>
      </c>
      <c r="Q45" s="10">
        <v>0</v>
      </c>
      <c r="R45" s="10">
        <v>0</v>
      </c>
      <c r="S45" s="25"/>
      <c r="T45" s="171"/>
    </row>
    <row r="46" spans="1:26" ht="15.75" customHeight="1" outlineLevel="1">
      <c r="C46" s="8" t="s">
        <v>215</v>
      </c>
      <c r="D46" s="169"/>
      <c r="E46" s="169"/>
      <c r="F46" s="169"/>
      <c r="G46" s="84">
        <f>'Revenue Analysis - Barn'!G46+'Revenue Analysis - Chapel'!G46</f>
        <v>0</v>
      </c>
      <c r="H46" s="84">
        <f>'Revenue Analysis - Barn'!H46+'Revenue Analysis - Chapel'!H46</f>
        <v>0</v>
      </c>
      <c r="I46" s="84">
        <f>'Revenue Analysis - Barn'!I46+'Revenue Analysis - Chapel'!I46</f>
        <v>0</v>
      </c>
      <c r="J46" s="25"/>
      <c r="K46" s="69">
        <f t="shared" ref="K46:M46" si="20">G46/G$12</f>
        <v>0</v>
      </c>
      <c r="L46" s="69">
        <f t="shared" si="20"/>
        <v>0</v>
      </c>
      <c r="M46" s="69">
        <f t="shared" si="20"/>
        <v>0</v>
      </c>
      <c r="N46" s="25"/>
      <c r="O46" s="10">
        <v>0</v>
      </c>
      <c r="P46" s="10">
        <v>0</v>
      </c>
      <c r="Q46" s="10">
        <v>0</v>
      </c>
      <c r="R46" s="10">
        <v>0</v>
      </c>
      <c r="S46" s="25"/>
      <c r="T46" s="25"/>
    </row>
    <row r="47" spans="1:26" ht="15.75" customHeight="1" outlineLevel="1">
      <c r="C47" s="8" t="s">
        <v>216</v>
      </c>
      <c r="D47" s="169"/>
      <c r="E47" s="169"/>
      <c r="F47" s="169"/>
      <c r="G47" s="84">
        <f>'Revenue Analysis - Barn'!G47+'Revenue Analysis - Chapel'!G47</f>
        <v>9.663920922570016</v>
      </c>
      <c r="H47" s="84">
        <f>'Revenue Analysis - Barn'!H47+'Revenue Analysis - Chapel'!H47</f>
        <v>67.302306425041181</v>
      </c>
      <c r="I47" s="84">
        <f>'Revenue Analysis - Barn'!I47+'Revenue Analysis - Chapel'!I47</f>
        <v>117.3476112026359</v>
      </c>
      <c r="J47" s="25"/>
      <c r="K47" s="69">
        <f t="shared" ref="K47:M47" si="21">G47/G$12</f>
        <v>0.34514003294892914</v>
      </c>
      <c r="L47" s="69">
        <f t="shared" si="21"/>
        <v>0.51771004942339371</v>
      </c>
      <c r="M47" s="69">
        <f t="shared" si="21"/>
        <v>0.69028006589785829</v>
      </c>
      <c r="N47" s="25"/>
      <c r="O47" s="69">
        <f t="shared" ref="O47:R47" si="22">O33</f>
        <v>0</v>
      </c>
      <c r="P47" s="69">
        <f t="shared" si="22"/>
        <v>0.66356877323420072</v>
      </c>
      <c r="Q47" s="69">
        <f t="shared" si="22"/>
        <v>0.66356877323420072</v>
      </c>
      <c r="R47" s="69">
        <f t="shared" si="22"/>
        <v>0.69028006589785829</v>
      </c>
      <c r="S47" s="25"/>
      <c r="T47" s="171"/>
    </row>
    <row r="48" spans="1:26" ht="15.75" customHeight="1" outlineLevel="1">
      <c r="C48" s="8" t="s">
        <v>217</v>
      </c>
      <c r="D48" s="169"/>
      <c r="E48" s="169"/>
      <c r="F48" s="169"/>
      <c r="G48" s="84">
        <f>'Revenue Analysis - Barn'!G48+'Revenue Analysis - Chapel'!G48</f>
        <v>7.5512355848434929</v>
      </c>
      <c r="H48" s="84">
        <f>'Revenue Analysis - Barn'!H48+'Revenue Analysis - Chapel'!H48</f>
        <v>52.588962108731465</v>
      </c>
      <c r="I48" s="84">
        <f>'Revenue Analysis - Barn'!I48+'Revenue Analysis - Chapel'!I48</f>
        <v>91.693574958813855</v>
      </c>
      <c r="J48" s="25"/>
      <c r="K48" s="69">
        <f t="shared" ref="K48:M48" si="23">G48/G$12</f>
        <v>0.2696869851729819</v>
      </c>
      <c r="L48" s="69">
        <f t="shared" si="23"/>
        <v>0.40453047775947282</v>
      </c>
      <c r="M48" s="69">
        <f t="shared" si="23"/>
        <v>0.5393739703459639</v>
      </c>
      <c r="N48" s="25"/>
      <c r="O48" s="69">
        <f t="shared" ref="O48:R48" si="24">O34</f>
        <v>0</v>
      </c>
      <c r="P48" s="69">
        <f t="shared" si="24"/>
        <v>0.52602230483271373</v>
      </c>
      <c r="Q48" s="69">
        <f t="shared" si="24"/>
        <v>0.52602230483271373</v>
      </c>
      <c r="R48" s="69">
        <f t="shared" si="24"/>
        <v>0.53937397034596379</v>
      </c>
      <c r="S48" s="25"/>
      <c r="T48" s="171"/>
    </row>
    <row r="49" spans="1:26" ht="15.75" customHeight="1" outlineLevel="1">
      <c r="C49" s="8" t="s">
        <v>218</v>
      </c>
      <c r="D49" s="169"/>
      <c r="E49" s="169"/>
      <c r="F49" s="169"/>
      <c r="G49" s="84">
        <f>'Revenue Analysis - Barn'!G49+'Revenue Analysis - Chapel'!G49</f>
        <v>6.1950576606260297</v>
      </c>
      <c r="H49" s="84">
        <f>'Revenue Analysis - Barn'!H49+'Revenue Analysis - Chapel'!H49</f>
        <v>43.144151565074139</v>
      </c>
      <c r="I49" s="84">
        <f>'Revenue Analysis - Barn'!I49+'Revenue Analysis - Chapel'!I49</f>
        <v>75.225700164744637</v>
      </c>
      <c r="J49" s="25"/>
      <c r="K49" s="69">
        <f t="shared" ref="K49:M49" si="25">G49/G$12</f>
        <v>0.22125205930807249</v>
      </c>
      <c r="L49" s="69">
        <f t="shared" si="25"/>
        <v>0.33187808896210874</v>
      </c>
      <c r="M49" s="69">
        <f t="shared" si="25"/>
        <v>0.44250411861614491</v>
      </c>
      <c r="N49" s="25"/>
      <c r="O49" s="69">
        <f t="shared" ref="O49:R49" si="26">O35</f>
        <v>0</v>
      </c>
      <c r="P49" s="69">
        <f t="shared" si="26"/>
        <v>0.46344485749690212</v>
      </c>
      <c r="Q49" s="69">
        <f t="shared" si="26"/>
        <v>0.46344485749690212</v>
      </c>
      <c r="R49" s="69">
        <f t="shared" si="26"/>
        <v>0.44250411861614497</v>
      </c>
      <c r="S49" s="25"/>
      <c r="T49" s="171"/>
    </row>
    <row r="50" spans="1:26" ht="15.75" customHeight="1" outlineLevel="1">
      <c r="C50" s="8" t="s">
        <v>219</v>
      </c>
      <c r="D50" s="169"/>
      <c r="E50" s="169"/>
      <c r="F50" s="169"/>
      <c r="G50" s="84">
        <f>'Revenue Analysis - Barn'!G50+'Revenue Analysis - Chapel'!G50</f>
        <v>0</v>
      </c>
      <c r="H50" s="84">
        <f>'Revenue Analysis - Barn'!H50+'Revenue Analysis - Chapel'!H50</f>
        <v>57.889621087314666</v>
      </c>
      <c r="I50" s="84">
        <f>'Revenue Analysis - Barn'!I50+'Revenue Analysis - Chapel'!I50</f>
        <v>100.93574958813838</v>
      </c>
      <c r="J50" s="25"/>
      <c r="K50" s="69">
        <f t="shared" ref="K50:M50" si="27">G50/G$12</f>
        <v>0</v>
      </c>
      <c r="L50" s="69">
        <f t="shared" si="27"/>
        <v>0.4453047775947282</v>
      </c>
      <c r="M50" s="69">
        <f t="shared" si="27"/>
        <v>0.59373970345963756</v>
      </c>
      <c r="N50" s="25"/>
      <c r="O50" s="69">
        <f t="shared" ref="O50:R50" si="28">O36</f>
        <v>0</v>
      </c>
      <c r="P50" s="69">
        <f t="shared" si="28"/>
        <v>0.57682775712515488</v>
      </c>
      <c r="Q50" s="69">
        <f t="shared" si="28"/>
        <v>0.57682775712515488</v>
      </c>
      <c r="R50" s="69">
        <f t="shared" si="28"/>
        <v>0.59373970345963756</v>
      </c>
      <c r="S50" s="25"/>
      <c r="T50" s="25"/>
    </row>
    <row r="51" spans="1:26" ht="15.75" customHeight="1" outlineLevel="1">
      <c r="C51" s="8" t="s">
        <v>220</v>
      </c>
      <c r="D51" s="169"/>
      <c r="E51" s="169"/>
      <c r="F51" s="169"/>
      <c r="G51" s="84">
        <f>'Revenue Analysis - Barn'!G51+'Revenue Analysis - Chapel'!G51</f>
        <v>6.296540362438221</v>
      </c>
      <c r="H51" s="84">
        <f>'Revenue Analysis - Barn'!H51+'Revenue Analysis - Chapel'!H51</f>
        <v>43.850906095551892</v>
      </c>
      <c r="I51" s="84">
        <f>'Revenue Analysis - Barn'!I51+'Revenue Analysis - Chapel'!I51</f>
        <v>76.457990115321252</v>
      </c>
      <c r="J51" s="25"/>
      <c r="K51" s="69">
        <f t="shared" ref="K51:M51" si="29">G51/G$12</f>
        <v>0.22487644151565075</v>
      </c>
      <c r="L51" s="69">
        <f t="shared" si="29"/>
        <v>0.33731466227347612</v>
      </c>
      <c r="M51" s="69">
        <f t="shared" si="29"/>
        <v>0.44975288303130145</v>
      </c>
      <c r="N51" s="25"/>
      <c r="O51" s="69">
        <f t="shared" ref="O51:R51" si="30">O37</f>
        <v>0</v>
      </c>
      <c r="P51" s="69">
        <f t="shared" si="30"/>
        <v>0.45724907063197023</v>
      </c>
      <c r="Q51" s="69">
        <f t="shared" si="30"/>
        <v>0.45724907063197023</v>
      </c>
      <c r="R51" s="69">
        <f t="shared" si="30"/>
        <v>0.44975288303130151</v>
      </c>
      <c r="S51" s="25"/>
      <c r="T51" s="171"/>
    </row>
    <row r="52" spans="1:26" ht="15.75" customHeight="1" outlineLevel="1">
      <c r="C52" s="8" t="s">
        <v>8</v>
      </c>
      <c r="D52" s="169"/>
      <c r="E52" s="169"/>
      <c r="F52" s="169"/>
      <c r="G52" s="84">
        <f>'Revenue Analysis - Barn'!G52+'Revenue Analysis - Chapel'!G52</f>
        <v>0</v>
      </c>
      <c r="H52" s="84">
        <f>'Revenue Analysis - Barn'!H52+'Revenue Analysis - Chapel'!H52</f>
        <v>0</v>
      </c>
      <c r="I52" s="84">
        <f>'Revenue Analysis - Barn'!I52+'Revenue Analysis - Chapel'!I52</f>
        <v>0</v>
      </c>
      <c r="J52" s="25"/>
      <c r="K52" s="69">
        <f t="shared" ref="K52:M52" si="31">G52/G$12</f>
        <v>0</v>
      </c>
      <c r="L52" s="69">
        <f t="shared" si="31"/>
        <v>0</v>
      </c>
      <c r="M52" s="69">
        <f t="shared" si="31"/>
        <v>0</v>
      </c>
      <c r="N52" s="25"/>
      <c r="O52" s="168"/>
      <c r="P52" s="168"/>
      <c r="Q52" s="168"/>
      <c r="R52" s="168"/>
      <c r="S52" s="25"/>
      <c r="T52" s="171"/>
    </row>
    <row r="53" spans="1:26" ht="4.5" customHeight="1" outlineLevel="1"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72"/>
      <c r="S53" s="10"/>
      <c r="T53" s="25"/>
    </row>
    <row r="54" spans="1:26" ht="15.75" customHeight="1">
      <c r="A54" s="17"/>
      <c r="B54" s="17"/>
      <c r="C54" s="173" t="s">
        <v>223</v>
      </c>
      <c r="D54" s="174">
        <f t="shared" ref="D54:I54" si="32">D12</f>
        <v>0</v>
      </c>
      <c r="E54" s="174">
        <f t="shared" si="32"/>
        <v>0</v>
      </c>
      <c r="F54" s="174">
        <f t="shared" si="32"/>
        <v>0</v>
      </c>
      <c r="G54" s="174">
        <f t="shared" si="32"/>
        <v>28</v>
      </c>
      <c r="H54" s="174">
        <f t="shared" si="32"/>
        <v>130</v>
      </c>
      <c r="I54" s="174">
        <f t="shared" si="32"/>
        <v>170</v>
      </c>
      <c r="J54" s="174"/>
      <c r="K54" s="175"/>
      <c r="L54" s="175"/>
      <c r="M54" s="175"/>
      <c r="N54" s="174"/>
      <c r="O54" s="174"/>
      <c r="P54" s="174"/>
      <c r="Q54" s="174"/>
      <c r="R54" s="174"/>
      <c r="S54" s="27"/>
      <c r="T54" s="27"/>
      <c r="U54" s="17"/>
      <c r="V54" s="17"/>
      <c r="W54" s="17"/>
      <c r="X54" s="17"/>
      <c r="Y54" s="17"/>
      <c r="Z54" s="17"/>
    </row>
    <row r="55" spans="1:26" ht="15.75" customHeight="1">
      <c r="C55" s="1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26" ht="15.75" customHeight="1">
      <c r="C56" s="176" t="s">
        <v>224</v>
      </c>
      <c r="D56" s="177">
        <f t="shared" ref="D56:I56" si="33">D40+D54</f>
        <v>153</v>
      </c>
      <c r="E56" s="177">
        <f t="shared" si="33"/>
        <v>133</v>
      </c>
      <c r="F56" s="177">
        <f t="shared" si="33"/>
        <v>131</v>
      </c>
      <c r="G56" s="177">
        <f t="shared" si="33"/>
        <v>150</v>
      </c>
      <c r="H56" s="177">
        <f t="shared" si="33"/>
        <v>160</v>
      </c>
      <c r="I56" s="177">
        <f t="shared" si="33"/>
        <v>170</v>
      </c>
      <c r="J56" s="178"/>
      <c r="K56" s="178"/>
      <c r="L56" s="178"/>
      <c r="M56" s="178"/>
      <c r="N56" s="178"/>
      <c r="O56" s="178"/>
      <c r="P56" s="178"/>
      <c r="Q56" s="178"/>
      <c r="R56" s="178"/>
      <c r="S56" s="25"/>
      <c r="T56" s="25"/>
    </row>
    <row r="57" spans="1:26" ht="15.75" customHeight="1">
      <c r="C57" s="1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26" ht="15.75" customHeight="1">
      <c r="C58" s="179" t="s">
        <v>225</v>
      </c>
      <c r="D58" s="180"/>
      <c r="E58" s="180"/>
      <c r="F58" s="180"/>
      <c r="G58" s="180"/>
      <c r="H58" s="180"/>
      <c r="I58" s="180"/>
      <c r="J58" s="180"/>
      <c r="K58" s="519" t="s">
        <v>226</v>
      </c>
      <c r="L58" s="514"/>
      <c r="M58" s="515"/>
      <c r="N58" s="180"/>
      <c r="O58" s="181"/>
      <c r="P58" s="182"/>
      <c r="Q58" s="182"/>
      <c r="R58" s="182"/>
      <c r="S58" s="25"/>
      <c r="T58" s="25"/>
    </row>
    <row r="59" spans="1:26" ht="15.75" customHeight="1">
      <c r="A59" s="3"/>
      <c r="B59" s="3"/>
      <c r="C59" s="33" t="s">
        <v>227</v>
      </c>
      <c r="D59" s="27"/>
      <c r="E59" s="27"/>
      <c r="F59" s="27"/>
      <c r="G59" s="27"/>
      <c r="H59" s="27"/>
      <c r="I59" s="27"/>
      <c r="J59" s="27"/>
      <c r="K59" s="166"/>
      <c r="L59" s="166"/>
      <c r="M59" s="166"/>
      <c r="N59" s="27"/>
      <c r="O59" s="166"/>
      <c r="P59" s="167"/>
      <c r="Q59" s="167"/>
      <c r="R59" s="167"/>
      <c r="S59" s="25"/>
      <c r="T59" s="25"/>
      <c r="U59" s="3"/>
      <c r="V59" s="3"/>
      <c r="W59" s="3"/>
      <c r="X59" s="3"/>
      <c r="Y59" s="3"/>
      <c r="Z59" s="3"/>
    </row>
    <row r="60" spans="1:26" ht="15.75" customHeight="1">
      <c r="C60" s="8" t="s">
        <v>213</v>
      </c>
      <c r="D60" s="86">
        <f>'Revenue Analysis - Barn'!D60+'Revenue Analysis - Chapel'!D60</f>
        <v>1050.3499999999999</v>
      </c>
      <c r="E60" s="86">
        <f>'Revenue Analysis - Barn'!E60+'Revenue Analysis - Chapel'!E60</f>
        <v>910</v>
      </c>
      <c r="F60" s="86">
        <f>'Revenue Analysis - Barn'!F60+'Revenue Analysis - Chapel'!F60</f>
        <v>899.75</v>
      </c>
      <c r="G60" s="86">
        <f>'Revenue Analysis - Barn'!G60+'Revenue Analysis - Chapel'!G60</f>
        <v>923.625</v>
      </c>
      <c r="H60" s="86">
        <f>'Revenue Analysis - Barn'!H60+'Revenue Analysis - Chapel'!H60</f>
        <v>248.27500000000001</v>
      </c>
      <c r="I60" s="86">
        <f>'Revenue Analysis - Barn'!I60+'Revenue Analysis - Chapel'!I60</f>
        <v>0</v>
      </c>
      <c r="J60" s="10"/>
      <c r="K60" s="10">
        <f t="shared" ref="K60:M60" si="34">IFERROR(G60/G29,0)</f>
        <v>7.5706967213114753</v>
      </c>
      <c r="L60" s="10">
        <f t="shared" si="34"/>
        <v>8.2758333333333329</v>
      </c>
      <c r="M60" s="10">
        <f t="shared" si="34"/>
        <v>0</v>
      </c>
      <c r="N60" s="10"/>
      <c r="O60" s="10">
        <v>0</v>
      </c>
      <c r="P60" s="172">
        <f t="array" ref="P60">INDEX('WH Rev &amp; Events Data'!42:42,MATCH(P$8,'WH Rev &amp; Events Data'!$8:$8,0))</f>
        <v>5.1566798946716235</v>
      </c>
      <c r="Q60" s="172">
        <f t="array" ref="Q60">INDEX('WH Rev &amp; Events Data'!42:42,MATCH(Q$8,'WH Rev &amp; Events Data'!$8:$8,0))</f>
        <v>5.1566798946716235</v>
      </c>
      <c r="R60" s="172">
        <f t="array" ref="R60">INDEX('WH Rev &amp; Events Data'!42:42,MATCH(R$8,'WH Rev &amp; Events Data'!$8:$8,0))</f>
        <v>5.1467523294892921</v>
      </c>
      <c r="S60" s="10"/>
      <c r="T60" s="183"/>
    </row>
    <row r="61" spans="1:26" ht="15.75" customHeight="1">
      <c r="C61" s="8" t="s">
        <v>196</v>
      </c>
      <c r="D61" s="159"/>
      <c r="E61" s="159"/>
      <c r="F61" s="159"/>
      <c r="G61" s="86">
        <f>'Revenue Analysis - Barn'!G61+'Revenue Analysis - Chapel'!G61</f>
        <v>140.01666666666665</v>
      </c>
      <c r="H61" s="86">
        <f>'Revenue Analysis - Barn'!H61+'Revenue Analysis - Chapel'!H61</f>
        <v>36.133333333333333</v>
      </c>
      <c r="I61" s="86">
        <f>'Revenue Analysis - Barn'!I61+'Revenue Analysis - Chapel'!I61</f>
        <v>0</v>
      </c>
      <c r="J61" s="10"/>
      <c r="K61" s="10">
        <f t="shared" ref="K61:M61" si="35">IFERROR(G61/G30,0)</f>
        <v>4.5166666666666666</v>
      </c>
      <c r="L61" s="10">
        <f t="shared" si="35"/>
        <v>4.5166666666666666</v>
      </c>
      <c r="M61" s="10">
        <f t="shared" si="35"/>
        <v>0</v>
      </c>
      <c r="N61" s="10"/>
      <c r="O61" s="10">
        <v>0</v>
      </c>
      <c r="P61" s="172">
        <f t="array" ref="P61">INDEX('WH Rev &amp; Events Data'!43:43,MATCH(P$8,'WH Rev &amp; Events Data'!$8:$8,0))</f>
        <v>4.9378764250309777</v>
      </c>
      <c r="Q61" s="172">
        <f t="array" ref="Q61">INDEX('WH Rev &amp; Events Data'!43:43,MATCH(Q$8,'WH Rev &amp; Events Data'!$8:$8,0))</f>
        <v>4.9378764250309777</v>
      </c>
      <c r="R61" s="172">
        <f t="array" ref="R61">INDEX('WH Rev &amp; Events Data'!43:43,MATCH(R$8,'WH Rev &amp; Events Data'!$8:$8,0))</f>
        <v>5.0523327479406914</v>
      </c>
      <c r="S61" s="10"/>
      <c r="T61" s="25"/>
    </row>
    <row r="62" spans="1:26" ht="15.75" customHeight="1">
      <c r="C62" s="8" t="s">
        <v>214</v>
      </c>
      <c r="D62" s="159"/>
      <c r="E62" s="159"/>
      <c r="F62" s="159"/>
      <c r="G62" s="86">
        <f>'Revenue Analysis - Barn'!G62+'Revenue Analysis - Chapel'!G62</f>
        <v>0</v>
      </c>
      <c r="H62" s="86">
        <f>'Revenue Analysis - Barn'!H62+'Revenue Analysis - Chapel'!H62</f>
        <v>0</v>
      </c>
      <c r="I62" s="86">
        <f>'Revenue Analysis - Barn'!I62+'Revenue Analysis - Chapel'!I62</f>
        <v>0</v>
      </c>
      <c r="J62" s="10"/>
      <c r="K62" s="10">
        <f t="shared" ref="K62:M62" si="36">IFERROR(G62/G31,0)</f>
        <v>0</v>
      </c>
      <c r="L62" s="10">
        <f t="shared" si="36"/>
        <v>0</v>
      </c>
      <c r="M62" s="10">
        <f t="shared" si="36"/>
        <v>0</v>
      </c>
      <c r="N62" s="10"/>
      <c r="O62" s="10">
        <v>0</v>
      </c>
      <c r="P62" s="172">
        <f t="array" ref="P62">INDEX('WH Rev &amp; Events Data'!44:44,MATCH(P$8,'WH Rev &amp; Events Data'!$8:$8,0))</f>
        <v>2.9437465241635685</v>
      </c>
      <c r="Q62" s="172">
        <f t="array" ref="Q62">INDEX('WH Rev &amp; Events Data'!44:44,MATCH(Q$8,'WH Rev &amp; Events Data'!$8:$8,0))</f>
        <v>2.9437465241635685</v>
      </c>
      <c r="R62" s="172">
        <f t="array" ref="R62">INDEX('WH Rev &amp; Events Data'!44:44,MATCH(R$8,'WH Rev &amp; Events Data'!$8:$8,0))</f>
        <v>3.0830680593080717</v>
      </c>
      <c r="S62" s="10"/>
      <c r="T62" s="25"/>
    </row>
    <row r="63" spans="1:26" ht="15.75" customHeight="1">
      <c r="C63" s="8" t="s">
        <v>215</v>
      </c>
      <c r="D63" s="159"/>
      <c r="E63" s="159"/>
      <c r="F63" s="159"/>
      <c r="G63" s="86">
        <f>'Revenue Analysis - Barn'!G63+'Revenue Analysis - Chapel'!G63</f>
        <v>0</v>
      </c>
      <c r="H63" s="86">
        <f>'Revenue Analysis - Barn'!H63+'Revenue Analysis - Chapel'!H63</f>
        <v>0</v>
      </c>
      <c r="I63" s="86">
        <f>'Revenue Analysis - Barn'!I63+'Revenue Analysis - Chapel'!I63</f>
        <v>0</v>
      </c>
      <c r="J63" s="10"/>
      <c r="K63" s="10">
        <f t="shared" ref="K63:M63" si="37">IFERROR(G63/G32,0)</f>
        <v>0</v>
      </c>
      <c r="L63" s="10">
        <f t="shared" si="37"/>
        <v>0</v>
      </c>
      <c r="M63" s="10">
        <f t="shared" si="37"/>
        <v>0</v>
      </c>
      <c r="N63" s="10"/>
      <c r="O63" s="10">
        <v>0</v>
      </c>
      <c r="P63" s="184"/>
      <c r="Q63" s="159"/>
      <c r="R63" s="184"/>
      <c r="S63" s="10"/>
      <c r="T63" s="25"/>
    </row>
    <row r="64" spans="1:26" ht="15.75" customHeight="1">
      <c r="C64" s="8" t="s">
        <v>216</v>
      </c>
      <c r="D64" s="159"/>
      <c r="E64" s="159"/>
      <c r="F64" s="159"/>
      <c r="G64" s="86">
        <f>'Revenue Analysis - Barn'!G64+'Revenue Analysis - Chapel'!G64</f>
        <v>43.145454545454548</v>
      </c>
      <c r="H64" s="86">
        <f>'Revenue Analysis - Barn'!H64+'Revenue Analysis - Chapel'!H64</f>
        <v>10.272727272727273</v>
      </c>
      <c r="I64" s="86">
        <f>'Revenue Analysis - Barn'!I64+'Revenue Analysis - Chapel'!I64</f>
        <v>0</v>
      </c>
      <c r="J64" s="10"/>
      <c r="K64" s="10">
        <f t="shared" ref="K64:M64" si="38">IFERROR(G64/G33,0)</f>
        <v>2.0545454545454547</v>
      </c>
      <c r="L64" s="10">
        <f t="shared" si="38"/>
        <v>2.0545454545454547</v>
      </c>
      <c r="M64" s="10">
        <f t="shared" si="38"/>
        <v>0</v>
      </c>
      <c r="N64" s="10"/>
      <c r="O64" s="10">
        <v>0</v>
      </c>
      <c r="P64" s="172">
        <f t="array" ref="P64">INDEX('WH Rev &amp; Events Data'!34:34,MATCH(P$8,'WH Rev &amp; Events Data'!$8:$8,0))</f>
        <v>1.708426704014939</v>
      </c>
      <c r="Q64" s="172">
        <f t="array" ref="Q64">INDEX('WH Rev &amp; Events Data'!34:34,MATCH(Q$8,'WH Rev &amp; Events Data'!$8:$8,0))</f>
        <v>1.708426704014939</v>
      </c>
      <c r="R64" s="172">
        <f t="array" ref="R64">INDEX('WH Rev &amp; Events Data'!34:34,MATCH(R$8,'WH Rev &amp; Events Data'!$8:$8,0))</f>
        <v>1.6865751837708829</v>
      </c>
      <c r="S64" s="10"/>
      <c r="T64" s="25"/>
    </row>
    <row r="65" spans="1:26" ht="15.75" customHeight="1">
      <c r="C65" s="8" t="s">
        <v>217</v>
      </c>
      <c r="D65" s="159"/>
      <c r="E65" s="159"/>
      <c r="F65" s="159"/>
      <c r="G65" s="86">
        <f>'Revenue Analysis - Barn'!G65+'Revenue Analysis - Chapel'!G65</f>
        <v>59.5</v>
      </c>
      <c r="H65" s="86">
        <f>'Revenue Analysis - Barn'!H65+'Revenue Analysis - Chapel'!H65</f>
        <v>14</v>
      </c>
      <c r="I65" s="86">
        <f>'Revenue Analysis - Barn'!I65+'Revenue Analysis - Chapel'!I65</f>
        <v>0</v>
      </c>
      <c r="J65" s="10"/>
      <c r="K65" s="10">
        <f t="shared" ref="K65:M65" si="39">IFERROR(G65/G34,0)</f>
        <v>3.5</v>
      </c>
      <c r="L65" s="10">
        <f t="shared" si="39"/>
        <v>3.5</v>
      </c>
      <c r="M65" s="10">
        <f t="shared" si="39"/>
        <v>0</v>
      </c>
      <c r="N65" s="10"/>
      <c r="O65" s="10">
        <v>0</v>
      </c>
      <c r="P65" s="172">
        <f t="array" ref="P65">INDEX('WH Rev &amp; Events Data'!35:35,MATCH(P$8,'WH Rev &amp; Events Data'!$8:$8,0))</f>
        <v>3.3282028621908126</v>
      </c>
      <c r="Q65" s="172">
        <f t="array" ref="Q65">INDEX('WH Rev &amp; Events Data'!35:35,MATCH(Q$8,'WH Rev &amp; Events Data'!$8:$8,0))</f>
        <v>3.3282028621908126</v>
      </c>
      <c r="R65" s="172">
        <f t="array" ref="R65">INDEX('WH Rev &amp; Events Data'!35:35,MATCH(R$8,'WH Rev &amp; Events Data'!$8:$8,0))</f>
        <v>3.2563305925473429</v>
      </c>
      <c r="S65" s="10"/>
      <c r="T65" s="25"/>
    </row>
    <row r="66" spans="1:26" ht="15.75" customHeight="1">
      <c r="C66" s="8" t="s">
        <v>218</v>
      </c>
      <c r="D66" s="159"/>
      <c r="E66" s="159"/>
      <c r="F66" s="159"/>
      <c r="G66" s="86">
        <f>'Revenue Analysis - Barn'!G66+'Revenue Analysis - Chapel'!G66</f>
        <v>22.107272727272729</v>
      </c>
      <c r="H66" s="86">
        <f>'Revenue Analysis - Barn'!H66+'Revenue Analysis - Chapel'!H66</f>
        <v>6.3163636363636364</v>
      </c>
      <c r="I66" s="86">
        <f>'Revenue Analysis - Barn'!I66+'Revenue Analysis - Chapel'!I66</f>
        <v>0</v>
      </c>
      <c r="J66" s="10"/>
      <c r="K66" s="10">
        <f t="shared" ref="K66:M66" si="40">IFERROR(G66/G35,0)</f>
        <v>1.5790909090909093</v>
      </c>
      <c r="L66" s="10">
        <f t="shared" si="40"/>
        <v>1.5790909090909091</v>
      </c>
      <c r="M66" s="10">
        <f t="shared" si="40"/>
        <v>0</v>
      </c>
      <c r="N66" s="10"/>
      <c r="O66" s="10">
        <v>0</v>
      </c>
      <c r="P66" s="172">
        <f t="array" ref="P66">INDEX('WH Rev &amp; Events Data'!36:36,MATCH(P$8,'WH Rev &amp; Events Data'!$8:$8,0))</f>
        <v>1.1263107754010697</v>
      </c>
      <c r="Q66" s="172">
        <f t="array" ref="Q66">INDEX('WH Rev &amp; Events Data'!36:36,MATCH(Q$8,'WH Rev &amp; Events Data'!$8:$8,0))</f>
        <v>1.1263107754010697</v>
      </c>
      <c r="R66" s="172">
        <f t="array" ref="R66">INDEX('WH Rev &amp; Events Data'!36:36,MATCH(R$8,'WH Rev &amp; Events Data'!$8:$8,0))</f>
        <v>1.1287598361876396</v>
      </c>
      <c r="S66" s="10"/>
      <c r="T66" s="25"/>
    </row>
    <row r="67" spans="1:26" ht="15.75" customHeight="1">
      <c r="C67" s="8" t="s">
        <v>219</v>
      </c>
      <c r="D67" s="159"/>
      <c r="E67" s="159"/>
      <c r="F67" s="159"/>
      <c r="G67" s="86">
        <f>'Revenue Analysis - Barn'!G67+'Revenue Analysis - Chapel'!G67</f>
        <v>0</v>
      </c>
      <c r="H67" s="86">
        <f>'Revenue Analysis - Barn'!H67+'Revenue Analysis - Chapel'!H67</f>
        <v>3.3342730827067673</v>
      </c>
      <c r="I67" s="86">
        <f>'Revenue Analysis - Barn'!I67+'Revenue Analysis - Chapel'!I67</f>
        <v>0</v>
      </c>
      <c r="J67" s="10"/>
      <c r="K67" s="10">
        <f t="shared" ref="K67:M67" si="41">IFERROR(G67/G36,0)</f>
        <v>0</v>
      </c>
      <c r="L67" s="10">
        <f t="shared" si="41"/>
        <v>0.83356827067669181</v>
      </c>
      <c r="M67" s="10">
        <f t="shared" si="41"/>
        <v>0</v>
      </c>
      <c r="N67" s="10"/>
      <c r="O67" s="10">
        <v>0</v>
      </c>
      <c r="P67" s="172">
        <f t="array" ref="P67">INDEX('WH Rev &amp; Events Data'!37:37,MATCH(P$8,'WH Rev &amp; Events Data'!$8:$8,0))</f>
        <v>0.83356827067669181</v>
      </c>
      <c r="Q67" s="172">
        <f t="array" ref="Q67">INDEX('WH Rev &amp; Events Data'!37:37,MATCH(Q$8,'WH Rev &amp; Events Data'!$8:$8,0))</f>
        <v>0.83356827067669181</v>
      </c>
      <c r="R67" s="172">
        <f t="array" ref="R67">INDEX('WH Rev &amp; Events Data'!37:37,MATCH(R$8,'WH Rev &amp; Events Data'!$8:$8,0))</f>
        <v>0.79107037180910111</v>
      </c>
      <c r="S67" s="10"/>
      <c r="T67" s="25"/>
    </row>
    <row r="68" spans="1:26" ht="15.75" customHeight="1">
      <c r="C68" s="8" t="s">
        <v>220</v>
      </c>
      <c r="D68" s="159"/>
      <c r="E68" s="159"/>
      <c r="F68" s="159"/>
      <c r="G68" s="86">
        <f>'Revenue Analysis - Barn'!G68+'Revenue Analysis - Chapel'!G68</f>
        <v>62.88333333333334</v>
      </c>
      <c r="H68" s="86">
        <f>'Revenue Analysis - Barn'!H68+'Revenue Analysis - Chapel'!H68</f>
        <v>17.966666666666669</v>
      </c>
      <c r="I68" s="86">
        <f>'Revenue Analysis - Barn'!I68+'Revenue Analysis - Chapel'!I68</f>
        <v>0</v>
      </c>
      <c r="J68" s="10"/>
      <c r="K68" s="10">
        <f t="shared" ref="K68:M68" si="42">IFERROR(G68/G37,0)</f>
        <v>4.4916666666666671</v>
      </c>
      <c r="L68" s="10">
        <f t="shared" si="42"/>
        <v>4.4916666666666671</v>
      </c>
      <c r="M68" s="10">
        <f t="shared" si="42"/>
        <v>0</v>
      </c>
      <c r="N68" s="10"/>
      <c r="O68" s="10">
        <v>0</v>
      </c>
      <c r="P68" s="172">
        <f t="array" ref="P68">INDEX('WH Rev &amp; Events Data'!38:38,MATCH(P$8,'WH Rev &amp; Events Data'!$8:$8,0))</f>
        <v>1.1415724390243904</v>
      </c>
      <c r="Q68" s="172">
        <f t="array" ref="Q68">INDEX('WH Rev &amp; Events Data'!38:38,MATCH(Q$8,'WH Rev &amp; Events Data'!$8:$8,0))</f>
        <v>1.1415724390243904</v>
      </c>
      <c r="R68" s="172">
        <f t="array" ref="R68">INDEX('WH Rev &amp; Events Data'!38:38,MATCH(R$8,'WH Rev &amp; Events Data'!$8:$8,0))</f>
        <v>1.11056736996337</v>
      </c>
      <c r="S68" s="10"/>
      <c r="T68" s="25"/>
    </row>
    <row r="69" spans="1:26" ht="15.75" customHeight="1">
      <c r="C69" s="8" t="s">
        <v>8</v>
      </c>
      <c r="D69" s="159"/>
      <c r="E69" s="159"/>
      <c r="F69" s="159"/>
      <c r="G69" s="86">
        <f>'Revenue Analysis - Barn'!G69+'Revenue Analysis - Chapel'!G69</f>
        <v>0</v>
      </c>
      <c r="H69" s="86">
        <f>'Revenue Analysis - Barn'!H69+'Revenue Analysis - Chapel'!H69</f>
        <v>0</v>
      </c>
      <c r="I69" s="86">
        <f>'Revenue Analysis - Barn'!I69+'Revenue Analysis - Chapel'!I69</f>
        <v>0</v>
      </c>
      <c r="J69" s="10"/>
      <c r="K69" s="10">
        <f t="shared" ref="K69:M69" si="43">IFERROR(G69/G38,0)</f>
        <v>0</v>
      </c>
      <c r="L69" s="10">
        <f t="shared" si="43"/>
        <v>0</v>
      </c>
      <c r="M69" s="10">
        <f t="shared" si="43"/>
        <v>0</v>
      </c>
      <c r="N69" s="10"/>
      <c r="O69" s="10">
        <v>0</v>
      </c>
      <c r="P69" s="172">
        <f t="array" ref="P69">INDEX('WH Rev &amp; Events Data'!39:39,MATCH(P$8,'WH Rev &amp; Events Data'!$8:$8,0))</f>
        <v>0.78271323420074335</v>
      </c>
      <c r="Q69" s="172">
        <f t="array" ref="Q69">INDEX('WH Rev &amp; Events Data'!39:39,MATCH(Q$8,'WH Rev &amp; Events Data'!$8:$8,0))</f>
        <v>0.78271323420074335</v>
      </c>
      <c r="R69" s="172">
        <f t="array" ref="R69">INDEX('WH Rev &amp; Events Data'!39:39,MATCH(R$8,'WH Rev &amp; Events Data'!$8:$8,0))</f>
        <v>0.66640874464579902</v>
      </c>
      <c r="S69" s="10"/>
      <c r="T69" s="171"/>
    </row>
    <row r="70" spans="1:26" ht="4.5" customHeight="1">
      <c r="C70" s="1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26" ht="15.75" customHeight="1">
      <c r="A71" s="17"/>
      <c r="B71" s="17"/>
      <c r="C71" s="185" t="s">
        <v>228</v>
      </c>
      <c r="D71" s="145">
        <f t="shared" ref="D71:I71" si="44">SUM(D60:D70)</f>
        <v>1050.3499999999999</v>
      </c>
      <c r="E71" s="145">
        <f t="shared" si="44"/>
        <v>910</v>
      </c>
      <c r="F71" s="145">
        <f t="shared" si="44"/>
        <v>899.75</v>
      </c>
      <c r="G71" s="145">
        <f t="shared" si="44"/>
        <v>1251.2777272727274</v>
      </c>
      <c r="H71" s="145">
        <f t="shared" si="44"/>
        <v>336.29836399179771</v>
      </c>
      <c r="I71" s="145">
        <f t="shared" si="44"/>
        <v>0</v>
      </c>
      <c r="J71" s="80"/>
      <c r="K71" s="147"/>
      <c r="L71" s="147"/>
      <c r="M71" s="147"/>
      <c r="N71" s="80"/>
      <c r="O71" s="147"/>
      <c r="P71" s="147"/>
      <c r="Q71" s="147"/>
      <c r="R71" s="147"/>
      <c r="S71" s="27"/>
      <c r="T71" s="27"/>
      <c r="U71" s="17"/>
      <c r="V71" s="17"/>
      <c r="W71" s="17"/>
      <c r="X71" s="17"/>
      <c r="Y71" s="17"/>
      <c r="Z71" s="17"/>
    </row>
    <row r="72" spans="1:26" ht="15.75" customHeight="1">
      <c r="A72" s="42"/>
      <c r="B72" s="42"/>
      <c r="C72" s="186" t="s">
        <v>229</v>
      </c>
      <c r="D72" s="187">
        <f t="shared" ref="D72:I72" si="45">IFERROR(D71/D40,0)</f>
        <v>6.8650326797385617</v>
      </c>
      <c r="E72" s="187">
        <f t="shared" si="45"/>
        <v>6.8421052631578947</v>
      </c>
      <c r="F72" s="187">
        <f t="shared" si="45"/>
        <v>6.8683206106870225</v>
      </c>
      <c r="G72" s="187">
        <f t="shared" si="45"/>
        <v>10.256374813710879</v>
      </c>
      <c r="H72" s="187">
        <f t="shared" si="45"/>
        <v>11.209945466393258</v>
      </c>
      <c r="I72" s="187">
        <f t="shared" si="45"/>
        <v>0</v>
      </c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42"/>
      <c r="V72" s="42"/>
      <c r="W72" s="42"/>
      <c r="X72" s="42"/>
      <c r="Y72" s="42"/>
      <c r="Z72" s="42"/>
    </row>
    <row r="73" spans="1:26" ht="15.75" customHeight="1">
      <c r="C73" s="1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26" ht="15.75" customHeight="1">
      <c r="A74" s="3"/>
      <c r="B74" s="3"/>
      <c r="C74" s="33" t="s">
        <v>230</v>
      </c>
      <c r="D74" s="27"/>
      <c r="E74" s="27"/>
      <c r="F74" s="27"/>
      <c r="G74" s="27"/>
      <c r="H74" s="27"/>
      <c r="I74" s="27"/>
      <c r="J74" s="27"/>
      <c r="K74" s="166"/>
      <c r="L74" s="166"/>
      <c r="M74" s="166"/>
      <c r="N74" s="27"/>
      <c r="O74" s="166"/>
      <c r="P74" s="167"/>
      <c r="Q74" s="167"/>
      <c r="R74" s="167"/>
      <c r="S74" s="25"/>
      <c r="T74" s="25"/>
      <c r="U74" s="3"/>
      <c r="V74" s="3"/>
      <c r="W74" s="3"/>
      <c r="X74" s="3"/>
      <c r="Y74" s="3"/>
      <c r="Z74" s="3"/>
    </row>
    <row r="75" spans="1:26" ht="15.75" customHeight="1">
      <c r="C75" s="8" t="s">
        <v>213</v>
      </c>
      <c r="D75" s="159"/>
      <c r="E75" s="159"/>
      <c r="F75" s="159"/>
      <c r="G75" s="86">
        <f>'Revenue Analysis - Barn'!G75+'Revenue Analysis - Chapel'!G75</f>
        <v>170.6842880825198</v>
      </c>
      <c r="H75" s="86">
        <f>'Revenue Analysis - Barn'!H75+'Revenue Analysis - Chapel'!H75</f>
        <v>833.50064468594587</v>
      </c>
      <c r="I75" s="86">
        <f>'Revenue Analysis - Barn'!I75+'Revenue Analysis - Chapel'!I75</f>
        <v>1089.3534720943085</v>
      </c>
      <c r="J75" s="10"/>
      <c r="K75" s="10">
        <f t="shared" ref="K75:M75" si="46">IFERROR(G75/G43,0)</f>
        <v>6.0958674315185641</v>
      </c>
      <c r="L75" s="10">
        <f t="shared" si="46"/>
        <v>6.4115434206611219</v>
      </c>
      <c r="M75" s="10">
        <f t="shared" si="46"/>
        <v>6.4079616005547555</v>
      </c>
      <c r="N75" s="10"/>
      <c r="O75" s="10">
        <v>0</v>
      </c>
      <c r="P75" s="10">
        <f t="shared" ref="P75:R75" si="47">P60</f>
        <v>5.1566798946716235</v>
      </c>
      <c r="Q75" s="10">
        <f t="shared" si="47"/>
        <v>5.1566798946716235</v>
      </c>
      <c r="R75" s="10">
        <f t="shared" si="47"/>
        <v>5.1467523294892921</v>
      </c>
      <c r="S75" s="10"/>
      <c r="T75" s="183"/>
    </row>
    <row r="76" spans="1:26" ht="15.75" customHeight="1">
      <c r="C76" s="8" t="s">
        <v>196</v>
      </c>
      <c r="D76" s="159"/>
      <c r="E76" s="159"/>
      <c r="F76" s="159"/>
      <c r="G76" s="86">
        <f>'Revenue Analysis - Barn'!G76+'Revenue Analysis - Chapel'!G76</f>
        <v>63.233333333333334</v>
      </c>
      <c r="H76" s="86">
        <f>'Revenue Analysis - Barn'!H76+'Revenue Analysis - Chapel'!H76</f>
        <v>440.375</v>
      </c>
      <c r="I76" s="86">
        <f>'Revenue Analysis - Barn'!I76+'Revenue Analysis - Chapel'!I76</f>
        <v>767.83333333333337</v>
      </c>
      <c r="J76" s="10"/>
      <c r="K76" s="10">
        <f t="shared" ref="K76:M76" si="48">IFERROR(G76/G44,0)</f>
        <v>4.5166666666666666</v>
      </c>
      <c r="L76" s="10">
        <f t="shared" si="48"/>
        <v>4.5166666666666666</v>
      </c>
      <c r="M76" s="10">
        <f t="shared" si="48"/>
        <v>4.5166666666666666</v>
      </c>
      <c r="N76" s="10"/>
      <c r="O76" s="10">
        <v>0</v>
      </c>
      <c r="P76" s="10">
        <f t="shared" ref="P76:R76" si="49">P61</f>
        <v>4.9378764250309777</v>
      </c>
      <c r="Q76" s="10">
        <f t="shared" si="49"/>
        <v>4.9378764250309777</v>
      </c>
      <c r="R76" s="10">
        <f t="shared" si="49"/>
        <v>5.0523327479406914</v>
      </c>
      <c r="S76" s="10"/>
      <c r="T76" s="25"/>
    </row>
    <row r="77" spans="1:26" ht="15.75" customHeight="1">
      <c r="C77" s="8" t="s">
        <v>214</v>
      </c>
      <c r="D77" s="159"/>
      <c r="E77" s="159"/>
      <c r="F77" s="159"/>
      <c r="G77" s="86">
        <f>'Revenue Analysis - Barn'!G77+'Revenue Analysis - Chapel'!G77</f>
        <v>0</v>
      </c>
      <c r="H77" s="86">
        <f>'Revenue Analysis - Barn'!H77+'Revenue Analysis - Chapel'!H77</f>
        <v>100.19971192751234</v>
      </c>
      <c r="I77" s="86">
        <f>'Revenue Analysis - Barn'!I77+'Revenue Analysis - Chapel'!I77</f>
        <v>524.12157008237216</v>
      </c>
      <c r="J77" s="10"/>
      <c r="K77" s="10">
        <f t="shared" ref="K77:M77" si="50">IFERROR(G77/G45,0)</f>
        <v>0</v>
      </c>
      <c r="L77" s="10">
        <f t="shared" si="50"/>
        <v>3.0830680593080722</v>
      </c>
      <c r="M77" s="10">
        <f t="shared" si="50"/>
        <v>3.0830680593080717</v>
      </c>
      <c r="N77" s="10"/>
      <c r="O77" s="10">
        <v>0</v>
      </c>
      <c r="P77" s="10">
        <f t="shared" ref="P77:R77" si="51">P62</f>
        <v>2.9437465241635685</v>
      </c>
      <c r="Q77" s="10">
        <f t="shared" si="51"/>
        <v>2.9437465241635685</v>
      </c>
      <c r="R77" s="10">
        <f t="shared" si="51"/>
        <v>3.0830680593080717</v>
      </c>
      <c r="S77" s="10"/>
      <c r="T77" s="25"/>
    </row>
    <row r="78" spans="1:26" ht="15.75" customHeight="1">
      <c r="C78" s="8" t="s">
        <v>215</v>
      </c>
      <c r="D78" s="159"/>
      <c r="E78" s="159"/>
      <c r="F78" s="159"/>
      <c r="G78" s="86">
        <f>'Revenue Analysis - Barn'!G78+'Revenue Analysis - Chapel'!G78</f>
        <v>0</v>
      </c>
      <c r="H78" s="86">
        <f>'Revenue Analysis - Barn'!H78+'Revenue Analysis - Chapel'!H78</f>
        <v>0</v>
      </c>
      <c r="I78" s="86">
        <f>'Revenue Analysis - Barn'!I78+'Revenue Analysis - Chapel'!I78</f>
        <v>0</v>
      </c>
      <c r="J78" s="10"/>
      <c r="K78" s="10">
        <f t="shared" ref="K78:M78" si="52">IFERROR(G78/G46,0)</f>
        <v>0</v>
      </c>
      <c r="L78" s="10">
        <f t="shared" si="52"/>
        <v>0</v>
      </c>
      <c r="M78" s="10">
        <f t="shared" si="52"/>
        <v>0</v>
      </c>
      <c r="N78" s="10"/>
      <c r="O78" s="10">
        <v>0</v>
      </c>
      <c r="P78" s="159"/>
      <c r="Q78" s="159"/>
      <c r="R78" s="159"/>
      <c r="S78" s="10"/>
      <c r="T78" s="25"/>
    </row>
    <row r="79" spans="1:26" ht="15.75" customHeight="1">
      <c r="C79" s="8" t="s">
        <v>216</v>
      </c>
      <c r="D79" s="159"/>
      <c r="E79" s="159"/>
      <c r="F79" s="159"/>
      <c r="G79" s="86">
        <f>'Revenue Analysis - Barn'!G79+'Revenue Analysis - Chapel'!G79</f>
        <v>19.854964804552942</v>
      </c>
      <c r="H79" s="86">
        <f>'Revenue Analysis - Barn'!H79+'Revenue Analysis - Chapel'!H79</f>
        <v>138.27564774599372</v>
      </c>
      <c r="I79" s="86">
        <f>'Revenue Analysis - Barn'!I79+'Revenue Analysis - Chapel'!I79</f>
        <v>241.09600119814291</v>
      </c>
      <c r="J79" s="10"/>
      <c r="K79" s="10">
        <f t="shared" ref="K79:M79" si="53">IFERROR(G79/G47,0)</f>
        <v>2.0545454545454547</v>
      </c>
      <c r="L79" s="10">
        <f t="shared" si="53"/>
        <v>2.0545454545454551</v>
      </c>
      <c r="M79" s="10">
        <f t="shared" si="53"/>
        <v>2.0545454545454551</v>
      </c>
      <c r="N79" s="10"/>
      <c r="O79" s="10">
        <v>0</v>
      </c>
      <c r="P79" s="10">
        <f t="shared" ref="P79:R79" si="54">P64</f>
        <v>1.708426704014939</v>
      </c>
      <c r="Q79" s="10">
        <f t="shared" si="54"/>
        <v>1.708426704014939</v>
      </c>
      <c r="R79" s="10">
        <f t="shared" si="54"/>
        <v>1.6865751837708829</v>
      </c>
      <c r="S79" s="10"/>
      <c r="T79" s="25"/>
    </row>
    <row r="80" spans="1:26" ht="15.75" customHeight="1">
      <c r="C80" s="8" t="s">
        <v>217</v>
      </c>
      <c r="D80" s="159"/>
      <c r="E80" s="159"/>
      <c r="F80" s="159"/>
      <c r="G80" s="86">
        <f>'Revenue Analysis - Barn'!G80+'Revenue Analysis - Chapel'!G80</f>
        <v>26.429324546952227</v>
      </c>
      <c r="H80" s="86">
        <f>'Revenue Analysis - Barn'!H80+'Revenue Analysis - Chapel'!H80</f>
        <v>184.06136738056011</v>
      </c>
      <c r="I80" s="86">
        <f>'Revenue Analysis - Barn'!I80+'Revenue Analysis - Chapel'!I80</f>
        <v>320.92751235584848</v>
      </c>
      <c r="J80" s="10"/>
      <c r="K80" s="10">
        <f t="shared" ref="K80:M80" si="55">IFERROR(G80/G48,0)</f>
        <v>3.5000000000000004</v>
      </c>
      <c r="L80" s="10">
        <f t="shared" si="55"/>
        <v>3.4999999999999996</v>
      </c>
      <c r="M80" s="10">
        <f t="shared" si="55"/>
        <v>3.5</v>
      </c>
      <c r="N80" s="10"/>
      <c r="O80" s="10">
        <v>0</v>
      </c>
      <c r="P80" s="10">
        <f t="shared" ref="P80:R80" si="56">P65</f>
        <v>3.3282028621908126</v>
      </c>
      <c r="Q80" s="10">
        <f t="shared" si="56"/>
        <v>3.3282028621908126</v>
      </c>
      <c r="R80" s="10">
        <f t="shared" si="56"/>
        <v>3.2563305925473429</v>
      </c>
      <c r="S80" s="10"/>
      <c r="T80" s="25"/>
    </row>
    <row r="81" spans="1:26" ht="15.75" customHeight="1">
      <c r="C81" s="8" t="s">
        <v>218</v>
      </c>
      <c r="D81" s="159"/>
      <c r="E81" s="159"/>
      <c r="F81" s="159"/>
      <c r="G81" s="86">
        <f>'Revenue Analysis - Barn'!G81+'Revenue Analysis - Chapel'!G81</f>
        <v>9.7825592331885574</v>
      </c>
      <c r="H81" s="86">
        <f>'Revenue Analysis - Barn'!H81+'Revenue Analysis - Chapel'!H81</f>
        <v>68.128537516848894</v>
      </c>
      <c r="I81" s="86">
        <f>'Revenue Analysis - Barn'!I81+'Revenue Analysis - Chapel'!I81</f>
        <v>118.78821926014678</v>
      </c>
      <c r="J81" s="10"/>
      <c r="K81" s="10">
        <f t="shared" ref="K81:M81" si="57">IFERROR(G81/G49,0)</f>
        <v>1.5790909090909091</v>
      </c>
      <c r="L81" s="10">
        <f t="shared" si="57"/>
        <v>1.5790909090909091</v>
      </c>
      <c r="M81" s="10">
        <f t="shared" si="57"/>
        <v>1.5790909090909093</v>
      </c>
      <c r="N81" s="10"/>
      <c r="O81" s="10">
        <v>0</v>
      </c>
      <c r="P81" s="10">
        <f t="shared" ref="P81:R81" si="58">P66</f>
        <v>1.1263107754010697</v>
      </c>
      <c r="Q81" s="10">
        <f t="shared" si="58"/>
        <v>1.1263107754010697</v>
      </c>
      <c r="R81" s="10">
        <f t="shared" si="58"/>
        <v>1.1287598361876396</v>
      </c>
      <c r="S81" s="10"/>
      <c r="T81" s="25"/>
    </row>
    <row r="82" spans="1:26" ht="15.75" customHeight="1">
      <c r="C82" s="8" t="s">
        <v>219</v>
      </c>
      <c r="D82" s="159"/>
      <c r="E82" s="159"/>
      <c r="F82" s="159"/>
      <c r="G82" s="86">
        <f>'Revenue Analysis - Barn'!G82+'Revenue Analysis - Chapel'!G82</f>
        <v>0</v>
      </c>
      <c r="H82" s="86">
        <f>'Revenue Analysis - Barn'!H82+'Revenue Analysis - Chapel'!H82</f>
        <v>48.254951339881835</v>
      </c>
      <c r="I82" s="86">
        <f>'Revenue Analysis - Barn'!I82+'Revenue Analysis - Chapel'!I82</f>
        <v>84.13683823364012</v>
      </c>
      <c r="J82" s="10"/>
      <c r="K82" s="10">
        <f t="shared" ref="K82:M82" si="59">IFERROR(G82/G50,0)</f>
        <v>0</v>
      </c>
      <c r="L82" s="10">
        <f t="shared" si="59"/>
        <v>0.83356827067669181</v>
      </c>
      <c r="M82" s="10">
        <f t="shared" si="59"/>
        <v>0.83356827067669181</v>
      </c>
      <c r="N82" s="10"/>
      <c r="O82" s="10">
        <v>0</v>
      </c>
      <c r="P82" s="10">
        <f t="shared" ref="P82:R82" si="60">P67</f>
        <v>0.83356827067669181</v>
      </c>
      <c r="Q82" s="10">
        <f t="shared" si="60"/>
        <v>0.83356827067669181</v>
      </c>
      <c r="R82" s="10">
        <f t="shared" si="60"/>
        <v>0.79107037180910111</v>
      </c>
      <c r="S82" s="10"/>
      <c r="T82" s="25"/>
    </row>
    <row r="83" spans="1:26" ht="15.75" customHeight="1">
      <c r="C83" s="8" t="s">
        <v>220</v>
      </c>
      <c r="D83" s="159"/>
      <c r="E83" s="159"/>
      <c r="F83" s="159"/>
      <c r="G83" s="86">
        <f>'Revenue Analysis - Barn'!G83+'Revenue Analysis - Chapel'!G83</f>
        <v>28.281960461285014</v>
      </c>
      <c r="H83" s="86">
        <f>'Revenue Analysis - Barn'!H83+'Revenue Analysis - Chapel'!H83</f>
        <v>196.96365321252063</v>
      </c>
      <c r="I83" s="86">
        <f>'Revenue Analysis - Barn'!I83+'Revenue Analysis - Chapel'!I83</f>
        <v>343.42380560131801</v>
      </c>
      <c r="J83" s="10"/>
      <c r="K83" s="10">
        <f t="shared" ref="K83:M83" si="61">IFERROR(G83/G51,0)</f>
        <v>4.4916666666666671</v>
      </c>
      <c r="L83" s="10">
        <f t="shared" si="61"/>
        <v>4.491666666666668</v>
      </c>
      <c r="M83" s="10">
        <f t="shared" si="61"/>
        <v>4.4916666666666671</v>
      </c>
      <c r="N83" s="10"/>
      <c r="O83" s="10">
        <v>0</v>
      </c>
      <c r="P83" s="10">
        <f t="shared" ref="P83:R83" si="62">P68</f>
        <v>1.1415724390243904</v>
      </c>
      <c r="Q83" s="10">
        <f t="shared" si="62"/>
        <v>1.1415724390243904</v>
      </c>
      <c r="R83" s="10">
        <f t="shared" si="62"/>
        <v>1.11056736996337</v>
      </c>
      <c r="S83" s="10"/>
      <c r="T83" s="25"/>
    </row>
    <row r="84" spans="1:26" ht="15.75" customHeight="1">
      <c r="C84" s="8" t="s">
        <v>8</v>
      </c>
      <c r="D84" s="159"/>
      <c r="E84" s="159"/>
      <c r="F84" s="159"/>
      <c r="G84" s="86">
        <f>'Revenue Analysis - Barn'!G84+'Revenue Analysis - Chapel'!G84</f>
        <v>0</v>
      </c>
      <c r="H84" s="86">
        <f>'Revenue Analysis - Barn'!H84+'Revenue Analysis - Chapel'!H84</f>
        <v>0</v>
      </c>
      <c r="I84" s="86">
        <f>'Revenue Analysis - Barn'!I84+'Revenue Analysis - Chapel'!I84</f>
        <v>0</v>
      </c>
      <c r="J84" s="10"/>
      <c r="K84" s="10">
        <f t="shared" ref="K84:M84" si="63">IFERROR(G84/G52,0)</f>
        <v>0</v>
      </c>
      <c r="L84" s="10">
        <f t="shared" si="63"/>
        <v>0</v>
      </c>
      <c r="M84" s="10">
        <f t="shared" si="63"/>
        <v>0</v>
      </c>
      <c r="N84" s="10"/>
      <c r="O84" s="10">
        <v>0</v>
      </c>
      <c r="P84" s="10">
        <f t="shared" ref="P84:R84" si="64">P69</f>
        <v>0.78271323420074335</v>
      </c>
      <c r="Q84" s="10">
        <f t="shared" si="64"/>
        <v>0.78271323420074335</v>
      </c>
      <c r="R84" s="10">
        <f t="shared" si="64"/>
        <v>0.66640874464579902</v>
      </c>
      <c r="S84" s="10"/>
      <c r="T84" s="171"/>
    </row>
    <row r="85" spans="1:26" ht="15.75" customHeight="1">
      <c r="C85" s="8" t="s">
        <v>123</v>
      </c>
      <c r="D85" s="159"/>
      <c r="E85" s="159"/>
      <c r="F85" s="159"/>
      <c r="G85" s="86">
        <f>'Revenue Analysis - Barn'!G85+'Revenue Analysis - Chapel'!G85</f>
        <v>37.550543378154359</v>
      </c>
      <c r="H85" s="86">
        <f>'Revenue Analysis - Barn'!H85+'Revenue Analysis - Chapel'!H85</f>
        <v>183.3701418309081</v>
      </c>
      <c r="I85" s="86">
        <f>'Revenue Analysis - Barn'!I85+'Revenue Analysis - Chapel'!I85</f>
        <v>239.65776386074785</v>
      </c>
      <c r="J85" s="10"/>
      <c r="K85" s="10">
        <f t="shared" ref="K85:M85" si="65">IFERROR(G85/G53,0)</f>
        <v>0</v>
      </c>
      <c r="L85" s="10">
        <f t="shared" si="65"/>
        <v>0</v>
      </c>
      <c r="M85" s="10">
        <f t="shared" si="65"/>
        <v>0</v>
      </c>
      <c r="N85" s="10"/>
      <c r="O85" s="10">
        <v>0</v>
      </c>
      <c r="P85" s="10">
        <f t="array" ref="P85">INDEX('WH Rev &amp; Events Data'!45:45,MATCH(P$8,'WH Rev &amp; Events Data'!$8:$8,0))</f>
        <v>3.7752801363073107</v>
      </c>
      <c r="Q85" s="10">
        <f t="array" ref="Q85">INDEX('WH Rev &amp; Events Data'!45:45,MATCH(Q$8,'WH Rev &amp; Events Data'!$8:$8,0))</f>
        <v>3.7752801363073107</v>
      </c>
      <c r="R85" s="10">
        <f t="array" ref="R85">INDEX('WH Rev &amp; Events Data'!45:45,MATCH(R$8,'WH Rev &amp; Events Data'!$8:$8,0))</f>
        <v>3.7751450741350894</v>
      </c>
      <c r="S85" s="10"/>
      <c r="T85" s="171"/>
    </row>
    <row r="86" spans="1:26" ht="15.75" customHeight="1">
      <c r="C86" s="17"/>
      <c r="D86" s="25"/>
      <c r="E86" s="25"/>
      <c r="F86" s="25"/>
      <c r="G86" s="188"/>
      <c r="H86" s="188"/>
      <c r="I86" s="188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26" ht="15.75" customHeight="1">
      <c r="A87" s="17"/>
      <c r="B87" s="17"/>
      <c r="C87" s="185" t="s">
        <v>231</v>
      </c>
      <c r="D87" s="145">
        <f t="shared" ref="D87:I87" si="66">SUM(D75:D86)</f>
        <v>0</v>
      </c>
      <c r="E87" s="145">
        <f t="shared" si="66"/>
        <v>0</v>
      </c>
      <c r="F87" s="145">
        <f t="shared" si="66"/>
        <v>0</v>
      </c>
      <c r="G87" s="145">
        <f t="shared" si="66"/>
        <v>355.81697383998625</v>
      </c>
      <c r="H87" s="145">
        <f t="shared" si="66"/>
        <v>2193.1296556401712</v>
      </c>
      <c r="I87" s="145">
        <f t="shared" si="66"/>
        <v>3729.3385160198586</v>
      </c>
      <c r="J87" s="80"/>
      <c r="K87" s="147"/>
      <c r="L87" s="147"/>
      <c r="M87" s="147"/>
      <c r="N87" s="80"/>
      <c r="O87" s="147"/>
      <c r="P87" s="147"/>
      <c r="Q87" s="147"/>
      <c r="R87" s="147"/>
      <c r="S87" s="27"/>
      <c r="T87" s="27"/>
      <c r="U87" s="17"/>
      <c r="V87" s="17"/>
      <c r="W87" s="17"/>
      <c r="X87" s="17"/>
      <c r="Y87" s="17"/>
      <c r="Z87" s="17"/>
    </row>
    <row r="88" spans="1:26" ht="15.75" customHeight="1">
      <c r="A88" s="42"/>
      <c r="B88" s="42"/>
      <c r="C88" s="186" t="s">
        <v>232</v>
      </c>
      <c r="D88" s="187">
        <f t="shared" ref="D88:I88" si="67">IFERROR(D87/D54,0)</f>
        <v>0</v>
      </c>
      <c r="E88" s="187">
        <f t="shared" si="67"/>
        <v>0</v>
      </c>
      <c r="F88" s="187">
        <f t="shared" si="67"/>
        <v>0</v>
      </c>
      <c r="G88" s="187">
        <f t="shared" si="67"/>
        <v>12.707749065713795</v>
      </c>
      <c r="H88" s="187">
        <f t="shared" si="67"/>
        <v>16.870228120309008</v>
      </c>
      <c r="I88" s="187">
        <f t="shared" si="67"/>
        <v>21.937285388352109</v>
      </c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42"/>
      <c r="V88" s="42"/>
      <c r="W88" s="42"/>
      <c r="X88" s="42"/>
      <c r="Y88" s="42"/>
      <c r="Z88" s="42"/>
    </row>
    <row r="89" spans="1:26" ht="15.75" customHeight="1">
      <c r="C89" s="1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26" ht="15.75" customHeight="1">
      <c r="C90" s="189" t="s">
        <v>224</v>
      </c>
      <c r="D90" s="190">
        <f t="shared" ref="D90:I90" si="68">D71+D87</f>
        <v>1050.3499999999999</v>
      </c>
      <c r="E90" s="190">
        <f t="shared" si="68"/>
        <v>910</v>
      </c>
      <c r="F90" s="190">
        <f t="shared" si="68"/>
        <v>899.75</v>
      </c>
      <c r="G90" s="190">
        <f t="shared" si="68"/>
        <v>1607.0947011127137</v>
      </c>
      <c r="H90" s="190">
        <f t="shared" si="68"/>
        <v>2529.4280196319687</v>
      </c>
      <c r="I90" s="190">
        <f t="shared" si="68"/>
        <v>3729.3385160198586</v>
      </c>
      <c r="J90" s="191"/>
      <c r="K90" s="191"/>
      <c r="L90" s="191"/>
      <c r="M90" s="191"/>
      <c r="N90" s="191"/>
      <c r="O90" s="191"/>
      <c r="P90" s="191"/>
      <c r="Q90" s="191"/>
      <c r="R90" s="191"/>
      <c r="S90" s="25"/>
      <c r="T90" s="25"/>
    </row>
    <row r="91" spans="1:26" ht="15.75" customHeight="1">
      <c r="C91" s="1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26" ht="15.75" customHeight="1">
      <c r="A92" s="42"/>
      <c r="B92" s="42"/>
      <c r="C92" s="56" t="s">
        <v>233</v>
      </c>
      <c r="D92" s="183"/>
      <c r="E92" s="183"/>
      <c r="F92" s="183"/>
      <c r="G92" s="83">
        <f t="shared" ref="G92:I92" si="69">G16</f>
        <v>923.625</v>
      </c>
      <c r="H92" s="83">
        <f t="shared" si="69"/>
        <v>248.27500000000001</v>
      </c>
      <c r="I92" s="83">
        <f t="shared" si="69"/>
        <v>0</v>
      </c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42"/>
      <c r="V92" s="42"/>
      <c r="W92" s="42"/>
      <c r="X92" s="42"/>
      <c r="Y92" s="42"/>
      <c r="Z92" s="42"/>
    </row>
    <row r="93" spans="1:26" ht="15.75" customHeight="1">
      <c r="A93" s="42"/>
      <c r="B93" s="42"/>
      <c r="C93" s="56" t="s">
        <v>234</v>
      </c>
      <c r="D93" s="183"/>
      <c r="E93" s="183"/>
      <c r="F93" s="183"/>
      <c r="G93" s="83">
        <f t="shared" ref="G93:I93" si="70">SUM(G$75:G$84)+(G71-G16)</f>
        <v>645.91915773455923</v>
      </c>
      <c r="H93" s="83">
        <f t="shared" si="70"/>
        <v>2097.7828778010612</v>
      </c>
      <c r="I93" s="83">
        <f t="shared" si="70"/>
        <v>3489.6807521591109</v>
      </c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42"/>
      <c r="V93" s="42"/>
      <c r="W93" s="42"/>
      <c r="X93" s="42"/>
      <c r="Y93" s="42"/>
      <c r="Z93" s="42"/>
    </row>
    <row r="94" spans="1:26" ht="15.75" customHeight="1">
      <c r="C94" s="8"/>
      <c r="D94" s="25"/>
      <c r="E94" s="25"/>
      <c r="F94" s="25"/>
      <c r="G94" s="7"/>
      <c r="H94" s="7"/>
      <c r="I94" s="7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26" ht="15.75" customHeight="1">
      <c r="C95" s="8"/>
      <c r="D95" s="25"/>
      <c r="E95" s="25"/>
      <c r="F95" s="25"/>
      <c r="G95" s="7"/>
      <c r="H95" s="7"/>
      <c r="I95" s="7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26" ht="15.75" customHeight="1">
      <c r="C96" s="20" t="s">
        <v>235</v>
      </c>
    </row>
    <row r="97" spans="3:10" ht="15.75" customHeight="1">
      <c r="C97" s="3" t="s">
        <v>33</v>
      </c>
      <c r="D97" s="7">
        <f t="shared" ref="D97:I97" si="71">D19-D90</f>
        <v>0</v>
      </c>
      <c r="E97" s="7">
        <f t="shared" si="71"/>
        <v>0</v>
      </c>
      <c r="F97" s="7">
        <f t="shared" si="71"/>
        <v>0</v>
      </c>
      <c r="G97" s="7">
        <f t="shared" si="71"/>
        <v>0</v>
      </c>
      <c r="H97" s="7">
        <f t="shared" si="71"/>
        <v>0</v>
      </c>
      <c r="I97" s="7">
        <f t="shared" si="71"/>
        <v>0</v>
      </c>
    </row>
    <row r="98" spans="3:10" ht="15.75" customHeight="1">
      <c r="C98" s="3" t="s">
        <v>2</v>
      </c>
      <c r="D98" s="25">
        <f t="shared" ref="D98:I98" si="72">D13-D56</f>
        <v>0</v>
      </c>
      <c r="E98" s="25">
        <f t="shared" si="72"/>
        <v>0</v>
      </c>
      <c r="F98" s="25">
        <f t="shared" si="72"/>
        <v>0</v>
      </c>
      <c r="G98" s="25">
        <f t="shared" si="72"/>
        <v>0</v>
      </c>
      <c r="H98" s="25">
        <f t="shared" si="72"/>
        <v>0</v>
      </c>
      <c r="I98" s="25">
        <f t="shared" si="72"/>
        <v>0</v>
      </c>
    </row>
    <row r="99" spans="3:10" ht="15.75" customHeight="1"/>
    <row r="100" spans="3:10" ht="15.75" customHeight="1">
      <c r="G100" s="7"/>
      <c r="H100" s="7"/>
      <c r="I100" s="7"/>
      <c r="J100" s="7"/>
    </row>
    <row r="101" spans="3:10" ht="15.75" customHeight="1">
      <c r="G101" s="7"/>
      <c r="H101" s="7"/>
      <c r="I101" s="7"/>
      <c r="J101" s="7"/>
    </row>
    <row r="102" spans="3:10" ht="15.75" customHeight="1">
      <c r="G102" s="7"/>
      <c r="H102" s="7"/>
      <c r="I102" s="7"/>
      <c r="J102" s="7"/>
    </row>
    <row r="103" spans="3:10" ht="15.75" customHeight="1">
      <c r="G103" s="7"/>
      <c r="H103" s="7"/>
      <c r="I103" s="7"/>
      <c r="J103" s="7"/>
    </row>
    <row r="104" spans="3:10" ht="15.75" customHeight="1">
      <c r="G104" s="7"/>
      <c r="H104" s="7"/>
      <c r="I104" s="7"/>
      <c r="J104" s="7"/>
    </row>
    <row r="105" spans="3:10" ht="15.75" customHeight="1">
      <c r="G105" s="7"/>
      <c r="H105" s="7"/>
      <c r="I105" s="7"/>
      <c r="J105" s="7"/>
    </row>
    <row r="106" spans="3:10" ht="15.75" customHeight="1">
      <c r="G106" s="7"/>
      <c r="H106" s="7"/>
      <c r="I106" s="7"/>
      <c r="J106" s="7"/>
    </row>
    <row r="107" spans="3:10" ht="15.75" customHeight="1">
      <c r="G107" s="7"/>
      <c r="H107" s="7"/>
      <c r="I107" s="7"/>
      <c r="J107" s="7"/>
    </row>
    <row r="108" spans="3:10" ht="15.75" customHeight="1">
      <c r="G108" s="7"/>
      <c r="H108" s="7"/>
      <c r="I108" s="7"/>
      <c r="J108" s="7"/>
    </row>
    <row r="109" spans="3:10" ht="15.75" customHeight="1"/>
    <row r="110" spans="3:10" ht="15.75" customHeight="1"/>
    <row r="111" spans="3:10" ht="15.75" customHeight="1"/>
    <row r="112" spans="3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K27:M27"/>
    <mergeCell ref="K58:M58"/>
    <mergeCell ref="D6:I6"/>
    <mergeCell ref="K6:M6"/>
    <mergeCell ref="O6:R6"/>
    <mergeCell ref="D7:F7"/>
    <mergeCell ref="G7:I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AN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2.54296875" defaultRowHeight="15" customHeight="1" outlineLevelRow="1"/>
  <cols>
    <col min="1" max="2" width="1.54296875" customWidth="1"/>
    <col min="3" max="3" width="31.1796875" customWidth="1"/>
    <col min="4" max="9" width="12.7265625" customWidth="1"/>
    <col min="10" max="10" width="1.7265625" customWidth="1"/>
    <col min="11" max="13" width="10.7265625" customWidth="1"/>
    <col min="14" max="14" width="1.7265625" customWidth="1"/>
    <col min="15" max="18" width="12.7265625" customWidth="1"/>
    <col min="19" max="19" width="1.7265625" customWidth="1"/>
    <col min="20" max="20" width="9.1796875" customWidth="1"/>
    <col min="21" max="40" width="8.54296875" customWidth="1"/>
  </cols>
  <sheetData>
    <row r="1" spans="3:20" ht="14.5">
      <c r="T1" s="171"/>
    </row>
    <row r="2" spans="3:20" ht="4.5" customHeight="1">
      <c r="T2" s="171"/>
    </row>
    <row r="3" spans="3:20" ht="14.5">
      <c r="C3" s="17" t="str">
        <f>Checks!$C$3</f>
        <v>Firefly Lane</v>
      </c>
      <c r="T3" s="171"/>
    </row>
    <row r="4" spans="3:20" ht="14.5">
      <c r="C4" s="3" t="s">
        <v>236</v>
      </c>
      <c r="T4" s="171"/>
    </row>
    <row r="5" spans="3:20" ht="14.5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T5" s="171"/>
    </row>
    <row r="6" spans="3:20" ht="14.5">
      <c r="C6" s="148" t="s">
        <v>42</v>
      </c>
      <c r="D6" s="516" t="str">
        <f>$C$3</f>
        <v>Firefly Lane</v>
      </c>
      <c r="E6" s="514"/>
      <c r="F6" s="514"/>
      <c r="G6" s="514"/>
      <c r="H6" s="514"/>
      <c r="I6" s="515"/>
      <c r="K6" s="513" t="s">
        <v>199</v>
      </c>
      <c r="L6" s="514"/>
      <c r="M6" s="515"/>
      <c r="O6" s="513" t="s">
        <v>200</v>
      </c>
      <c r="P6" s="514"/>
      <c r="Q6" s="514"/>
      <c r="R6" s="515"/>
      <c r="T6" s="171"/>
    </row>
    <row r="7" spans="3:20" ht="14.5">
      <c r="C7" s="19"/>
      <c r="D7" s="516" t="s">
        <v>201</v>
      </c>
      <c r="E7" s="514"/>
      <c r="F7" s="515"/>
      <c r="G7" s="516" t="s">
        <v>83</v>
      </c>
      <c r="H7" s="514"/>
      <c r="I7" s="515"/>
      <c r="K7" s="1"/>
      <c r="L7" s="1"/>
      <c r="M7" s="1"/>
      <c r="O7" s="1"/>
      <c r="P7" s="1" t="s">
        <v>202</v>
      </c>
      <c r="Q7" s="1" t="s">
        <v>203</v>
      </c>
      <c r="R7" s="1"/>
      <c r="T7" s="171"/>
    </row>
    <row r="8" spans="3:20" ht="14.5">
      <c r="C8" s="19"/>
      <c r="D8" s="19">
        <f>Checks!$D$11</f>
        <v>2024</v>
      </c>
      <c r="E8" s="19">
        <f>Checks!$D$12</f>
        <v>2025</v>
      </c>
      <c r="F8" s="19" t="str">
        <f>Checks!$D$13</f>
        <v>LTM Apr-26</v>
      </c>
      <c r="G8" s="19" t="s">
        <v>20</v>
      </c>
      <c r="H8" s="19" t="s">
        <v>21</v>
      </c>
      <c r="I8" s="19" t="s">
        <v>22</v>
      </c>
      <c r="K8" s="2" t="s">
        <v>20</v>
      </c>
      <c r="L8" s="2" t="s">
        <v>21</v>
      </c>
      <c r="M8" s="2" t="s">
        <v>22</v>
      </c>
      <c r="O8" s="2" t="str">
        <f>C3</f>
        <v>Firefly Lane</v>
      </c>
      <c r="P8" s="149" t="str">
        <f>'Adj. P&amp;L'!CN1</f>
        <v>DFW</v>
      </c>
      <c r="Q8" s="149" t="s">
        <v>204</v>
      </c>
      <c r="R8" s="149" t="s">
        <v>205</v>
      </c>
      <c r="T8" s="171"/>
    </row>
    <row r="9" spans="3:20" ht="4.5" customHeight="1">
      <c r="K9" s="68"/>
      <c r="L9" s="68"/>
      <c r="M9" s="68"/>
      <c r="O9" s="68"/>
      <c r="P9" s="68"/>
      <c r="Q9" s="68"/>
      <c r="R9" s="68"/>
      <c r="T9" s="171"/>
    </row>
    <row r="10" spans="3:20" ht="14.5">
      <c r="C10" s="20" t="s">
        <v>2</v>
      </c>
      <c r="K10" s="68"/>
      <c r="L10" s="68"/>
      <c r="M10" s="68"/>
      <c r="O10" s="68"/>
      <c r="P10" s="68"/>
      <c r="Q10" s="68"/>
      <c r="R10" s="68"/>
      <c r="T10" s="171"/>
    </row>
    <row r="11" spans="3:20" ht="14.5">
      <c r="C11" s="8" t="s">
        <v>206</v>
      </c>
      <c r="D11" s="84">
        <f>'Events Summary'!$D$10</f>
        <v>54</v>
      </c>
      <c r="E11" s="84">
        <f>'Events Summary'!$D$11</f>
        <v>47</v>
      </c>
      <c r="F11" s="84">
        <f>'Events Summary'!$D$12</f>
        <v>40</v>
      </c>
      <c r="G11" s="84">
        <f>'Events Summary'!$D$14</f>
        <v>35</v>
      </c>
      <c r="H11" s="84">
        <f>'Events Summary'!$D$15</f>
        <v>7</v>
      </c>
      <c r="I11" s="117">
        <v>0</v>
      </c>
      <c r="K11" s="68"/>
      <c r="L11" s="68"/>
      <c r="M11" s="68"/>
      <c r="O11" s="68"/>
      <c r="P11" s="68"/>
      <c r="Q11" s="68"/>
      <c r="R11" s="68"/>
      <c r="T11" s="171"/>
    </row>
    <row r="12" spans="3:20" ht="14.5">
      <c r="C12" s="8" t="s">
        <v>207</v>
      </c>
      <c r="D12" s="150"/>
      <c r="E12" s="150"/>
      <c r="F12" s="150"/>
      <c r="G12" s="25">
        <f t="shared" ref="G12:I12" si="0">G13-G11</f>
        <v>15</v>
      </c>
      <c r="H12" s="25">
        <f t="shared" si="0"/>
        <v>53</v>
      </c>
      <c r="I12" s="25">
        <f t="shared" si="0"/>
        <v>70</v>
      </c>
      <c r="K12" s="68"/>
      <c r="L12" s="68"/>
      <c r="M12" s="68"/>
      <c r="O12" s="68"/>
      <c r="P12" s="151"/>
      <c r="Q12" s="68"/>
      <c r="R12" s="68"/>
      <c r="T12" s="171"/>
    </row>
    <row r="13" spans="3:20" ht="14.5">
      <c r="C13" s="152" t="s">
        <v>195</v>
      </c>
      <c r="D13" s="192">
        <f t="shared" ref="D13:F13" si="1">SUM(D11:D12)</f>
        <v>54</v>
      </c>
      <c r="E13" s="192">
        <f t="shared" si="1"/>
        <v>47</v>
      </c>
      <c r="F13" s="192">
        <f t="shared" si="1"/>
        <v>40</v>
      </c>
      <c r="G13" s="193">
        <v>50</v>
      </c>
      <c r="H13" s="193">
        <v>60</v>
      </c>
      <c r="I13" s="193">
        <v>70</v>
      </c>
      <c r="K13" s="68"/>
      <c r="L13" s="68"/>
      <c r="M13" s="68"/>
      <c r="O13" s="68"/>
      <c r="P13" s="84">
        <f t="array" ref="P13">INDEX('WH Rev &amp; Events Data'!13:13,MATCH(P$8,'WH Rev &amp; Events Data'!$8:$8,0))</f>
        <v>1614</v>
      </c>
      <c r="Q13" s="84">
        <f t="array" ref="Q13">INDEX('WH Rev &amp; Events Data'!13:13,MATCH(Q$8,'WH Rev &amp; Events Data'!$8:$8,0))</f>
        <v>1614</v>
      </c>
      <c r="R13" s="84">
        <f t="array" ref="R13">INDEX('WH Rev &amp; Events Data'!13:13,MATCH(R$8,'WH Rev &amp; Events Data'!$8:$8,0))</f>
        <v>3035</v>
      </c>
      <c r="T13" s="171"/>
    </row>
    <row r="14" spans="3:20" ht="4.5" customHeight="1">
      <c r="K14" s="68"/>
      <c r="L14" s="68"/>
      <c r="M14" s="68"/>
      <c r="O14" s="68"/>
      <c r="P14" s="68"/>
      <c r="Q14" s="68"/>
      <c r="R14" s="68"/>
      <c r="T14" s="171"/>
    </row>
    <row r="15" spans="3:20" ht="14.5">
      <c r="C15" s="20" t="s">
        <v>33</v>
      </c>
      <c r="K15" s="68"/>
      <c r="L15" s="68"/>
      <c r="M15" s="68"/>
      <c r="O15" s="68"/>
      <c r="P15" s="68"/>
      <c r="Q15" s="68"/>
      <c r="R15" s="68"/>
      <c r="T15" s="171"/>
    </row>
    <row r="16" spans="3:20" ht="14.5">
      <c r="C16" s="8" t="s">
        <v>206</v>
      </c>
      <c r="D16" s="86">
        <f>('Events Summary'!$E$10)/1000</f>
        <v>345.6</v>
      </c>
      <c r="E16" s="86">
        <f>('Events Summary'!$E$11)/1000</f>
        <v>304.5</v>
      </c>
      <c r="F16" s="86">
        <f>('Events Summary'!$E$12)/1000</f>
        <v>249.25</v>
      </c>
      <c r="G16" s="86">
        <f>('Events Summary'!$E$14)/1000</f>
        <v>231.67500000000001</v>
      </c>
      <c r="H16" s="86">
        <f>('Events Summary'!$E$15)/1000</f>
        <v>51.5</v>
      </c>
      <c r="I16" s="137">
        <v>0</v>
      </c>
      <c r="K16" s="68"/>
      <c r="L16" s="68"/>
      <c r="M16" s="68"/>
      <c r="O16" s="68"/>
      <c r="P16" s="68"/>
      <c r="Q16" s="68"/>
      <c r="R16" s="68"/>
      <c r="T16" s="171"/>
    </row>
    <row r="17" spans="1:40" ht="14.5">
      <c r="C17" s="8" t="s">
        <v>208</v>
      </c>
      <c r="D17" s="137"/>
      <c r="E17" s="137"/>
      <c r="F17" s="137"/>
      <c r="G17" s="7">
        <f t="shared" ref="G17:I17" si="2">G71-G16</f>
        <v>94.760303030302964</v>
      </c>
      <c r="H17" s="7">
        <f t="shared" si="2"/>
        <v>21.492204634313055</v>
      </c>
      <c r="I17" s="7">
        <f t="shared" si="2"/>
        <v>0</v>
      </c>
      <c r="K17" s="68"/>
      <c r="L17" s="68"/>
      <c r="M17" s="68"/>
      <c r="O17" s="68"/>
      <c r="P17" s="68"/>
      <c r="Q17" s="68"/>
      <c r="R17" s="68"/>
      <c r="T17" s="171"/>
    </row>
    <row r="18" spans="1:40" ht="14.5">
      <c r="C18" s="8" t="s">
        <v>209</v>
      </c>
      <c r="D18" s="157"/>
      <c r="E18" s="157"/>
      <c r="F18" s="157"/>
      <c r="G18" s="7">
        <f t="shared" ref="G18:I18" si="3">G87</f>
        <v>183.14332266307451</v>
      </c>
      <c r="H18" s="7">
        <f t="shared" si="3"/>
        <v>860.43708605485631</v>
      </c>
      <c r="I18" s="7">
        <f t="shared" si="3"/>
        <v>1491.4262362725524</v>
      </c>
      <c r="K18" s="68"/>
      <c r="L18" s="68"/>
      <c r="M18" s="68"/>
      <c r="O18" s="68"/>
      <c r="P18" s="68"/>
      <c r="Q18" s="68"/>
      <c r="R18" s="68"/>
      <c r="T18" s="171"/>
    </row>
    <row r="19" spans="1:40" ht="14.5">
      <c r="A19" s="17"/>
      <c r="B19" s="17"/>
      <c r="C19" s="152" t="s">
        <v>195</v>
      </c>
      <c r="D19" s="158">
        <f t="shared" ref="D19:I19" si="4">SUM(D16:D18)</f>
        <v>345.6</v>
      </c>
      <c r="E19" s="158">
        <f t="shared" si="4"/>
        <v>304.5</v>
      </c>
      <c r="F19" s="158">
        <f t="shared" si="4"/>
        <v>249.25</v>
      </c>
      <c r="G19" s="134">
        <f t="shared" si="4"/>
        <v>509.57862569337749</v>
      </c>
      <c r="H19" s="134">
        <f t="shared" si="4"/>
        <v>933.42929068916942</v>
      </c>
      <c r="I19" s="134">
        <f t="shared" si="4"/>
        <v>1491.4262362725524</v>
      </c>
      <c r="J19" s="17"/>
      <c r="K19" s="154"/>
      <c r="L19" s="154"/>
      <c r="M19" s="154"/>
      <c r="N19" s="17"/>
      <c r="O19" s="154"/>
      <c r="P19" s="154"/>
      <c r="Q19" s="154"/>
      <c r="R19" s="154"/>
      <c r="S19" s="17"/>
      <c r="T19" s="171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ht="4.5" customHeight="1">
      <c r="K20" s="68"/>
      <c r="L20" s="68"/>
      <c r="M20" s="68"/>
      <c r="O20" s="68"/>
      <c r="P20" s="68"/>
      <c r="Q20" s="68"/>
      <c r="R20" s="68"/>
      <c r="T20" s="171"/>
    </row>
    <row r="21" spans="1:40" ht="15.75" customHeight="1">
      <c r="C21" s="20" t="s">
        <v>167</v>
      </c>
      <c r="K21" s="68"/>
      <c r="L21" s="68"/>
      <c r="M21" s="68"/>
      <c r="O21" s="68"/>
      <c r="P21" s="68"/>
      <c r="Q21" s="68"/>
      <c r="R21" s="68"/>
      <c r="T21" s="171"/>
    </row>
    <row r="22" spans="1:40" ht="15.75" customHeight="1">
      <c r="C22" s="8" t="s">
        <v>206</v>
      </c>
      <c r="D22" s="10">
        <f t="shared" ref="D22:I22" si="5">IFERROR(D16/D11,0)</f>
        <v>6.4</v>
      </c>
      <c r="E22" s="10">
        <f t="shared" si="5"/>
        <v>6.4787234042553195</v>
      </c>
      <c r="F22" s="10">
        <f t="shared" si="5"/>
        <v>6.2312500000000002</v>
      </c>
      <c r="G22" s="10">
        <f t="shared" si="5"/>
        <v>6.6192857142857147</v>
      </c>
      <c r="H22" s="10">
        <f t="shared" si="5"/>
        <v>7.3571428571428568</v>
      </c>
      <c r="I22" s="10">
        <f t="shared" si="5"/>
        <v>0</v>
      </c>
      <c r="K22" s="68"/>
      <c r="L22" s="68"/>
      <c r="M22" s="68"/>
      <c r="O22" s="68"/>
      <c r="P22" s="68"/>
      <c r="Q22" s="68"/>
      <c r="R22" s="68"/>
      <c r="T22" s="171"/>
    </row>
    <row r="23" spans="1:40" ht="15.75" customHeight="1">
      <c r="C23" s="8" t="s">
        <v>208</v>
      </c>
      <c r="D23" s="159"/>
      <c r="E23" s="159"/>
      <c r="F23" s="159"/>
      <c r="G23" s="10">
        <f t="shared" ref="G23:I23" si="6">IFERROR(G17/G11,0)</f>
        <v>2.7074372294372275</v>
      </c>
      <c r="H23" s="10">
        <f t="shared" si="6"/>
        <v>3.0703149477590079</v>
      </c>
      <c r="I23" s="10">
        <f t="shared" si="6"/>
        <v>0</v>
      </c>
      <c r="K23" s="68"/>
      <c r="L23" s="68"/>
      <c r="M23" s="68"/>
      <c r="O23" s="68"/>
      <c r="P23" s="68"/>
      <c r="Q23" s="68"/>
      <c r="R23" s="68"/>
      <c r="T23" s="171"/>
    </row>
    <row r="24" spans="1:40" ht="15.75" customHeight="1">
      <c r="C24" s="8" t="s">
        <v>209</v>
      </c>
      <c r="D24" s="159"/>
      <c r="E24" s="159"/>
      <c r="F24" s="159"/>
      <c r="G24" s="10">
        <f t="shared" ref="G24:I24" si="7">IFERROR(G18/G12,0)</f>
        <v>12.209554844204968</v>
      </c>
      <c r="H24" s="10">
        <f t="shared" si="7"/>
        <v>16.234662001035026</v>
      </c>
      <c r="I24" s="10">
        <f t="shared" si="7"/>
        <v>21.306089089607891</v>
      </c>
      <c r="K24" s="68"/>
      <c r="L24" s="68"/>
      <c r="M24" s="68"/>
      <c r="O24" s="68"/>
      <c r="P24" s="68"/>
      <c r="Q24" s="68"/>
      <c r="R24" s="68"/>
      <c r="T24" s="171"/>
    </row>
    <row r="25" spans="1:40" ht="15.75" customHeight="1">
      <c r="C25" s="152" t="s">
        <v>195</v>
      </c>
      <c r="D25" s="160">
        <f t="shared" ref="D25:I25" si="8">IFERROR(D19/D13,0)</f>
        <v>6.4</v>
      </c>
      <c r="E25" s="160">
        <f t="shared" si="8"/>
        <v>6.4787234042553195</v>
      </c>
      <c r="F25" s="160">
        <f t="shared" si="8"/>
        <v>6.2312500000000002</v>
      </c>
      <c r="G25" s="161">
        <f t="shared" si="8"/>
        <v>10.19157251386755</v>
      </c>
      <c r="H25" s="161">
        <f t="shared" si="8"/>
        <v>15.55715484481949</v>
      </c>
      <c r="I25" s="161">
        <f t="shared" si="8"/>
        <v>21.306089089607891</v>
      </c>
      <c r="K25" s="68"/>
      <c r="L25" s="68"/>
      <c r="M25" s="68"/>
      <c r="O25" s="68"/>
      <c r="P25" s="68"/>
      <c r="Q25" s="68"/>
      <c r="R25" s="68"/>
      <c r="T25" s="171"/>
    </row>
    <row r="26" spans="1:40" ht="15.75" customHeight="1">
      <c r="T26" s="171"/>
    </row>
    <row r="27" spans="1:40" ht="15.75" customHeight="1" outlineLevel="1">
      <c r="C27" s="162" t="s">
        <v>210</v>
      </c>
      <c r="D27" s="163"/>
      <c r="E27" s="163"/>
      <c r="F27" s="163"/>
      <c r="G27" s="163"/>
      <c r="H27" s="163"/>
      <c r="I27" s="163"/>
      <c r="J27" s="163"/>
      <c r="K27" s="518" t="s">
        <v>211</v>
      </c>
      <c r="L27" s="514"/>
      <c r="M27" s="515"/>
      <c r="N27" s="163"/>
      <c r="O27" s="164"/>
      <c r="P27" s="165"/>
      <c r="Q27" s="165"/>
      <c r="R27" s="165"/>
      <c r="S27" s="25"/>
      <c r="T27" s="171"/>
    </row>
    <row r="28" spans="1:40" ht="15.75" customHeight="1" outlineLevel="1">
      <c r="A28" s="3"/>
      <c r="B28" s="3"/>
      <c r="C28" s="33" t="s">
        <v>212</v>
      </c>
      <c r="D28" s="27"/>
      <c r="E28" s="27"/>
      <c r="F28" s="27"/>
      <c r="G28" s="27"/>
      <c r="H28" s="27"/>
      <c r="I28" s="27"/>
      <c r="J28" s="27"/>
      <c r="K28" s="166"/>
      <c r="L28" s="166"/>
      <c r="M28" s="166"/>
      <c r="N28" s="27"/>
      <c r="O28" s="166"/>
      <c r="P28" s="167"/>
      <c r="Q28" s="167"/>
      <c r="R28" s="167"/>
      <c r="S28" s="25"/>
      <c r="T28" s="171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.75" customHeight="1" outlineLevel="1">
      <c r="C29" s="8" t="s">
        <v>213</v>
      </c>
      <c r="D29" s="183">
        <f t="shared" ref="D29:F29" si="9">D11</f>
        <v>54</v>
      </c>
      <c r="E29" s="183">
        <f t="shared" si="9"/>
        <v>47</v>
      </c>
      <c r="F29" s="183">
        <f t="shared" si="9"/>
        <v>40</v>
      </c>
      <c r="G29" s="25">
        <f t="shared" ref="G29:I29" si="10">ROUND(G$11*K29,0)</f>
        <v>35</v>
      </c>
      <c r="H29" s="25">
        <f t="shared" si="10"/>
        <v>7</v>
      </c>
      <c r="I29" s="25">
        <f t="shared" si="10"/>
        <v>0</v>
      </c>
      <c r="J29" s="25"/>
      <c r="K29" s="194">
        <v>1</v>
      </c>
      <c r="L29" s="194">
        <v>1</v>
      </c>
      <c r="M29" s="194">
        <v>1</v>
      </c>
      <c r="N29" s="25"/>
      <c r="O29" s="168"/>
      <c r="P29" s="168"/>
      <c r="Q29" s="168"/>
      <c r="R29" s="98"/>
      <c r="S29" s="25"/>
      <c r="T29" s="171"/>
    </row>
    <row r="30" spans="1:40" ht="15.75" customHeight="1" outlineLevel="1">
      <c r="C30" s="8" t="s">
        <v>196</v>
      </c>
      <c r="D30" s="169"/>
      <c r="E30" s="169"/>
      <c r="F30" s="169"/>
      <c r="G30" s="25">
        <f t="shared" ref="G30:I30" si="11">ROUND(G$11*K30,0)</f>
        <v>9</v>
      </c>
      <c r="H30" s="25">
        <f t="shared" si="11"/>
        <v>2</v>
      </c>
      <c r="I30" s="25">
        <f t="shared" si="11"/>
        <v>0</v>
      </c>
      <c r="J30" s="25"/>
      <c r="K30" s="194">
        <v>0.25</v>
      </c>
      <c r="L30" s="194">
        <v>0.25</v>
      </c>
      <c r="M30" s="194">
        <v>0.25</v>
      </c>
      <c r="N30" s="25"/>
      <c r="O30" s="170">
        <v>0</v>
      </c>
      <c r="P30" s="170">
        <v>0</v>
      </c>
      <c r="Q30" s="170">
        <v>0</v>
      </c>
      <c r="R30" s="170">
        <v>0</v>
      </c>
      <c r="S30" s="25"/>
      <c r="T30" s="195" t="s">
        <v>237</v>
      </c>
    </row>
    <row r="31" spans="1:40" ht="15.75" customHeight="1" outlineLevel="1">
      <c r="C31" s="8" t="s">
        <v>214</v>
      </c>
      <c r="D31" s="169"/>
      <c r="E31" s="169"/>
      <c r="F31" s="169"/>
      <c r="G31" s="25">
        <f t="shared" ref="G31:I31" si="12">ROUND(G$11*K31,0)</f>
        <v>0</v>
      </c>
      <c r="H31" s="25">
        <f t="shared" si="12"/>
        <v>0</v>
      </c>
      <c r="I31" s="25">
        <f t="shared" si="12"/>
        <v>0</v>
      </c>
      <c r="J31" s="25"/>
      <c r="K31" s="194">
        <v>0</v>
      </c>
      <c r="L31" s="194">
        <v>0</v>
      </c>
      <c r="M31" s="194">
        <v>0</v>
      </c>
      <c r="N31" s="25"/>
      <c r="O31" s="170">
        <v>0</v>
      </c>
      <c r="P31" s="170">
        <v>0</v>
      </c>
      <c r="Q31" s="170">
        <v>0</v>
      </c>
      <c r="R31" s="170">
        <v>0</v>
      </c>
      <c r="S31" s="25"/>
      <c r="T31" s="195" t="s">
        <v>238</v>
      </c>
    </row>
    <row r="32" spans="1:40" ht="15.75" customHeight="1" outlineLevel="1">
      <c r="C32" s="8" t="s">
        <v>215</v>
      </c>
      <c r="D32" s="169"/>
      <c r="E32" s="169"/>
      <c r="F32" s="169"/>
      <c r="G32" s="25">
        <f t="shared" ref="G32:I32" si="13">ROUND(G$11*K32,0)</f>
        <v>0</v>
      </c>
      <c r="H32" s="25">
        <f t="shared" si="13"/>
        <v>0</v>
      </c>
      <c r="I32" s="25">
        <f t="shared" si="13"/>
        <v>0</v>
      </c>
      <c r="J32" s="25"/>
      <c r="K32" s="194">
        <v>0</v>
      </c>
      <c r="L32" s="194">
        <v>0</v>
      </c>
      <c r="M32" s="194">
        <v>0</v>
      </c>
      <c r="N32" s="25"/>
      <c r="O32" s="170">
        <v>0</v>
      </c>
      <c r="P32" s="170">
        <v>0</v>
      </c>
      <c r="Q32" s="170">
        <v>0</v>
      </c>
      <c r="R32" s="170">
        <v>0</v>
      </c>
      <c r="S32" s="25"/>
      <c r="T32" s="171"/>
    </row>
    <row r="33" spans="1:40" ht="15.75" customHeight="1" outlineLevel="1">
      <c r="C33" s="8" t="s">
        <v>216</v>
      </c>
      <c r="D33" s="169"/>
      <c r="E33" s="169"/>
      <c r="F33" s="169"/>
      <c r="G33" s="25">
        <f t="shared" ref="G33:I33" si="14">ROUND(G$11*K33,0)</f>
        <v>6</v>
      </c>
      <c r="H33" s="25">
        <f t="shared" si="14"/>
        <v>1</v>
      </c>
      <c r="I33" s="25">
        <f t="shared" si="14"/>
        <v>0</v>
      </c>
      <c r="J33" s="25"/>
      <c r="K33" s="194">
        <f t="shared" ref="K33:M33" si="15">$R33*0.25</f>
        <v>0.17257001647446457</v>
      </c>
      <c r="L33" s="194">
        <f t="shared" si="15"/>
        <v>0.17257001647446457</v>
      </c>
      <c r="M33" s="194">
        <f t="shared" si="15"/>
        <v>0.17257001647446457</v>
      </c>
      <c r="N33" s="25"/>
      <c r="O33" s="170">
        <v>0</v>
      </c>
      <c r="P33" s="170">
        <f t="array" ref="P33">INDEX('WH Rev &amp; Events Data'!27:27,MATCH(P$8,'WH Rev &amp; Events Data'!$8:$8,0))</f>
        <v>0.66356877323420072</v>
      </c>
      <c r="Q33" s="170">
        <f t="array" ref="Q33">INDEX('WH Rev &amp; Events Data'!27:27,MATCH(Q$8,'WH Rev &amp; Events Data'!$8:$8,0))</f>
        <v>0.66356877323420072</v>
      </c>
      <c r="R33" s="170">
        <f t="array" ref="R33">INDEX('WH Rev &amp; Events Data'!27:27,MATCH(R$8,'WH Rev &amp; Events Data'!$8:$8,0))</f>
        <v>0.69028006589785829</v>
      </c>
      <c r="S33" s="25"/>
      <c r="T33" s="195" t="s">
        <v>239</v>
      </c>
    </row>
    <row r="34" spans="1:40" ht="15.75" customHeight="1" outlineLevel="1">
      <c r="C34" s="8" t="s">
        <v>217</v>
      </c>
      <c r="D34" s="169"/>
      <c r="E34" s="169"/>
      <c r="F34" s="169"/>
      <c r="G34" s="25">
        <f t="shared" ref="G34:I34" si="16">ROUND(G$11*K34,0)</f>
        <v>5</v>
      </c>
      <c r="H34" s="25">
        <f t="shared" si="16"/>
        <v>1</v>
      </c>
      <c r="I34" s="25">
        <f t="shared" si="16"/>
        <v>0</v>
      </c>
      <c r="J34" s="25"/>
      <c r="K34" s="194">
        <f t="shared" ref="K34:M34" si="17">$R34*0.25</f>
        <v>0.13484349258649095</v>
      </c>
      <c r="L34" s="194">
        <f t="shared" si="17"/>
        <v>0.13484349258649095</v>
      </c>
      <c r="M34" s="194">
        <f t="shared" si="17"/>
        <v>0.13484349258649095</v>
      </c>
      <c r="N34" s="25"/>
      <c r="O34" s="170">
        <v>0</v>
      </c>
      <c r="P34" s="170">
        <f t="array" ref="P34">INDEX('WH Rev &amp; Events Data'!28:28,MATCH(P$8,'WH Rev &amp; Events Data'!$8:$8,0))</f>
        <v>0.52602230483271373</v>
      </c>
      <c r="Q34" s="170">
        <f t="array" ref="Q34">INDEX('WH Rev &amp; Events Data'!28:28,MATCH(Q$8,'WH Rev &amp; Events Data'!$8:$8,0))</f>
        <v>0.52602230483271373</v>
      </c>
      <c r="R34" s="170">
        <f t="array" ref="R34">INDEX('WH Rev &amp; Events Data'!28:28,MATCH(R$8,'WH Rev &amp; Events Data'!$8:$8,0))</f>
        <v>0.53937397034596379</v>
      </c>
      <c r="S34" s="25"/>
      <c r="T34" s="195" t="s">
        <v>239</v>
      </c>
    </row>
    <row r="35" spans="1:40" ht="15.75" customHeight="1" outlineLevel="1">
      <c r="C35" s="8" t="s">
        <v>218</v>
      </c>
      <c r="D35" s="169"/>
      <c r="E35" s="169"/>
      <c r="F35" s="169"/>
      <c r="G35" s="25">
        <f t="shared" ref="G35:I35" si="18">ROUND(G$11*K35,0)</f>
        <v>4</v>
      </c>
      <c r="H35" s="25">
        <f t="shared" si="18"/>
        <v>1</v>
      </c>
      <c r="I35" s="25">
        <f t="shared" si="18"/>
        <v>0</v>
      </c>
      <c r="J35" s="25"/>
      <c r="K35" s="194">
        <f t="shared" ref="K35:M35" si="19">$R35*0.25</f>
        <v>0.11062602965403624</v>
      </c>
      <c r="L35" s="194">
        <f t="shared" si="19"/>
        <v>0.11062602965403624</v>
      </c>
      <c r="M35" s="194">
        <f t="shared" si="19"/>
        <v>0.11062602965403624</v>
      </c>
      <c r="N35" s="25"/>
      <c r="O35" s="170">
        <v>0</v>
      </c>
      <c r="P35" s="170">
        <f t="array" ref="P35">INDEX('WH Rev &amp; Events Data'!29:29,MATCH(P$8,'WH Rev &amp; Events Data'!$8:$8,0))</f>
        <v>0.46344485749690212</v>
      </c>
      <c r="Q35" s="170">
        <f t="array" ref="Q35">INDEX('WH Rev &amp; Events Data'!29:29,MATCH(Q$8,'WH Rev &amp; Events Data'!$8:$8,0))</f>
        <v>0.46344485749690212</v>
      </c>
      <c r="R35" s="170">
        <f t="array" ref="R35">INDEX('WH Rev &amp; Events Data'!29:29,MATCH(R$8,'WH Rev &amp; Events Data'!$8:$8,0))</f>
        <v>0.44250411861614497</v>
      </c>
      <c r="S35" s="25"/>
      <c r="T35" s="195" t="s">
        <v>239</v>
      </c>
    </row>
    <row r="36" spans="1:40" ht="15.75" customHeight="1" outlineLevel="1">
      <c r="C36" s="8" t="s">
        <v>219</v>
      </c>
      <c r="D36" s="169"/>
      <c r="E36" s="169"/>
      <c r="F36" s="169"/>
      <c r="G36" s="25">
        <f t="shared" ref="G36:I36" si="20">ROUND(G$11*K36,0)</f>
        <v>0</v>
      </c>
      <c r="H36" s="25">
        <f t="shared" si="20"/>
        <v>1</v>
      </c>
      <c r="I36" s="25">
        <f t="shared" si="20"/>
        <v>0</v>
      </c>
      <c r="J36" s="25"/>
      <c r="K36" s="194">
        <v>0</v>
      </c>
      <c r="L36" s="194">
        <f t="shared" ref="L36:M36" si="21">$R36*0.25</f>
        <v>0.14843492586490939</v>
      </c>
      <c r="M36" s="194">
        <f t="shared" si="21"/>
        <v>0.14843492586490939</v>
      </c>
      <c r="N36" s="25"/>
      <c r="O36" s="170">
        <v>0</v>
      </c>
      <c r="P36" s="170">
        <f t="array" ref="P36">INDEX('WH Rev &amp; Events Data'!30:30,MATCH(P$8,'WH Rev &amp; Events Data'!$8:$8,0))</f>
        <v>0.57682775712515488</v>
      </c>
      <c r="Q36" s="170">
        <f t="array" ref="Q36">INDEX('WH Rev &amp; Events Data'!30:30,MATCH(Q$8,'WH Rev &amp; Events Data'!$8:$8,0))</f>
        <v>0.57682775712515488</v>
      </c>
      <c r="R36" s="170">
        <f t="array" ref="R36">INDEX('WH Rev &amp; Events Data'!30:30,MATCH(R$8,'WH Rev &amp; Events Data'!$8:$8,0))</f>
        <v>0.59373970345963756</v>
      </c>
      <c r="S36" s="25"/>
      <c r="T36" s="195" t="s">
        <v>240</v>
      </c>
    </row>
    <row r="37" spans="1:40" ht="15.75" customHeight="1" outlineLevel="1">
      <c r="C37" s="8" t="s">
        <v>220</v>
      </c>
      <c r="D37" s="169"/>
      <c r="E37" s="169"/>
      <c r="F37" s="169"/>
      <c r="G37" s="25">
        <f t="shared" ref="G37:I37" si="22">ROUND(G$11*K37,0)</f>
        <v>4</v>
      </c>
      <c r="H37" s="25">
        <f t="shared" si="22"/>
        <v>1</v>
      </c>
      <c r="I37" s="25">
        <f t="shared" si="22"/>
        <v>0</v>
      </c>
      <c r="J37" s="25"/>
      <c r="K37" s="194">
        <f t="shared" ref="K37:M37" si="23">$R37*0.25</f>
        <v>0.11243822075782538</v>
      </c>
      <c r="L37" s="194">
        <f t="shared" si="23"/>
        <v>0.11243822075782538</v>
      </c>
      <c r="M37" s="194">
        <f t="shared" si="23"/>
        <v>0.11243822075782538</v>
      </c>
      <c r="N37" s="25"/>
      <c r="O37" s="170">
        <v>0</v>
      </c>
      <c r="P37" s="170">
        <f t="array" ref="P37">INDEX('WH Rev &amp; Events Data'!31:31,MATCH(P$8,'WH Rev &amp; Events Data'!$8:$8,0))</f>
        <v>0.45724907063197023</v>
      </c>
      <c r="Q37" s="170">
        <f t="array" ref="Q37">INDEX('WH Rev &amp; Events Data'!31:31,MATCH(Q$8,'WH Rev &amp; Events Data'!$8:$8,0))</f>
        <v>0.45724907063197023</v>
      </c>
      <c r="R37" s="170">
        <f t="array" ref="R37">INDEX('WH Rev &amp; Events Data'!31:31,MATCH(R$8,'WH Rev &amp; Events Data'!$8:$8,0))</f>
        <v>0.44975288303130151</v>
      </c>
      <c r="S37" s="25"/>
      <c r="T37" s="195" t="s">
        <v>239</v>
      </c>
    </row>
    <row r="38" spans="1:40" ht="15.75" customHeight="1" outlineLevel="1">
      <c r="C38" s="8" t="s">
        <v>8</v>
      </c>
      <c r="D38" s="169"/>
      <c r="E38" s="169"/>
      <c r="F38" s="169"/>
      <c r="G38" s="25">
        <f t="shared" ref="G38:I38" si="24">ROUND(G$11*K38,0)</f>
        <v>0</v>
      </c>
      <c r="H38" s="25">
        <f t="shared" si="24"/>
        <v>0</v>
      </c>
      <c r="I38" s="25">
        <f t="shared" si="24"/>
        <v>0</v>
      </c>
      <c r="J38" s="25"/>
      <c r="K38" s="194">
        <v>0</v>
      </c>
      <c r="L38" s="194">
        <v>0</v>
      </c>
      <c r="M38" s="194">
        <v>0</v>
      </c>
      <c r="N38" s="25"/>
      <c r="O38" s="168"/>
      <c r="P38" s="168"/>
      <c r="Q38" s="168"/>
      <c r="R38" s="168"/>
      <c r="S38" s="25"/>
      <c r="T38" s="171"/>
    </row>
    <row r="39" spans="1:40" ht="4.5" customHeight="1" outlineLevel="1"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72"/>
      <c r="S39" s="10"/>
      <c r="T39" s="171"/>
    </row>
    <row r="40" spans="1:40" ht="15.75" customHeight="1">
      <c r="A40" s="17"/>
      <c r="B40" s="17"/>
      <c r="C40" s="173" t="s">
        <v>221</v>
      </c>
      <c r="D40" s="174">
        <f t="shared" ref="D40:I40" si="25">D11</f>
        <v>54</v>
      </c>
      <c r="E40" s="174">
        <f t="shared" si="25"/>
        <v>47</v>
      </c>
      <c r="F40" s="174">
        <f t="shared" si="25"/>
        <v>40</v>
      </c>
      <c r="G40" s="174">
        <f t="shared" si="25"/>
        <v>35</v>
      </c>
      <c r="H40" s="174">
        <f t="shared" si="25"/>
        <v>7</v>
      </c>
      <c r="I40" s="174">
        <f t="shared" si="25"/>
        <v>0</v>
      </c>
      <c r="J40" s="174"/>
      <c r="K40" s="175"/>
      <c r="L40" s="175"/>
      <c r="M40" s="175"/>
      <c r="N40" s="174"/>
      <c r="O40" s="175"/>
      <c r="P40" s="175"/>
      <c r="Q40" s="175"/>
      <c r="R40" s="175"/>
      <c r="S40" s="27"/>
      <c r="T40" s="171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ht="15.75" customHeight="1">
      <c r="C41" s="1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171"/>
    </row>
    <row r="42" spans="1:40" ht="15.75" customHeight="1" outlineLevel="1">
      <c r="A42" s="3"/>
      <c r="B42" s="3"/>
      <c r="C42" s="33" t="s">
        <v>222</v>
      </c>
      <c r="D42" s="27"/>
      <c r="E42" s="27"/>
      <c r="F42" s="27"/>
      <c r="G42" s="27"/>
      <c r="H42" s="27"/>
      <c r="I42" s="27"/>
      <c r="J42" s="27"/>
      <c r="K42" s="166"/>
      <c r="L42" s="166"/>
      <c r="M42" s="166"/>
      <c r="N42" s="27"/>
      <c r="O42" s="166"/>
      <c r="P42" s="167"/>
      <c r="Q42" s="167"/>
      <c r="R42" s="167"/>
      <c r="S42" s="25"/>
      <c r="T42" s="171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5.75" customHeight="1" outlineLevel="1">
      <c r="C43" s="8" t="s">
        <v>213</v>
      </c>
      <c r="D43" s="183">
        <f t="shared" ref="D43:F43" si="26">D12</f>
        <v>0</v>
      </c>
      <c r="E43" s="183">
        <f t="shared" si="26"/>
        <v>0</v>
      </c>
      <c r="F43" s="183">
        <f t="shared" si="26"/>
        <v>0</v>
      </c>
      <c r="G43" s="25">
        <f t="shared" ref="G43:I43" si="27">G$12*K43</f>
        <v>15</v>
      </c>
      <c r="H43" s="25">
        <f t="shared" si="27"/>
        <v>53</v>
      </c>
      <c r="I43" s="25">
        <f t="shared" si="27"/>
        <v>70</v>
      </c>
      <c r="J43" s="25"/>
      <c r="K43" s="194">
        <v>1</v>
      </c>
      <c r="L43" s="194">
        <v>1</v>
      </c>
      <c r="M43" s="194">
        <v>1</v>
      </c>
      <c r="N43" s="25"/>
      <c r="O43" s="168"/>
      <c r="P43" s="168"/>
      <c r="Q43" s="168"/>
      <c r="R43" s="98"/>
      <c r="S43" s="25"/>
      <c r="T43" s="171"/>
    </row>
    <row r="44" spans="1:40" ht="15.75" customHeight="1" outlineLevel="1">
      <c r="C44" s="8" t="s">
        <v>196</v>
      </c>
      <c r="D44" s="169"/>
      <c r="E44" s="169"/>
      <c r="F44" s="169"/>
      <c r="G44" s="25">
        <f t="shared" ref="G44:I44" si="28">G$12*K44</f>
        <v>7.5</v>
      </c>
      <c r="H44" s="25">
        <f t="shared" si="28"/>
        <v>39.75</v>
      </c>
      <c r="I44" s="25">
        <f t="shared" si="28"/>
        <v>70</v>
      </c>
      <c r="J44" s="25"/>
      <c r="K44" s="194">
        <v>0.5</v>
      </c>
      <c r="L44" s="194">
        <v>0.75</v>
      </c>
      <c r="M44" s="194">
        <v>1</v>
      </c>
      <c r="N44" s="25"/>
      <c r="O44" s="10">
        <v>0</v>
      </c>
      <c r="P44" s="10">
        <v>0</v>
      </c>
      <c r="Q44" s="10">
        <v>0</v>
      </c>
      <c r="R44" s="10">
        <v>0</v>
      </c>
      <c r="S44" s="25"/>
      <c r="T44" s="195" t="s">
        <v>241</v>
      </c>
    </row>
    <row r="45" spans="1:40" ht="15.75" customHeight="1" outlineLevel="1">
      <c r="C45" s="8" t="s">
        <v>214</v>
      </c>
      <c r="D45" s="169"/>
      <c r="E45" s="169"/>
      <c r="F45" s="169"/>
      <c r="G45" s="25">
        <f t="shared" ref="G45:I45" si="29">G$12*K45</f>
        <v>0</v>
      </c>
      <c r="H45" s="25">
        <f t="shared" si="29"/>
        <v>13.25</v>
      </c>
      <c r="I45" s="25">
        <f t="shared" si="29"/>
        <v>70</v>
      </c>
      <c r="J45" s="25"/>
      <c r="K45" s="194">
        <v>0</v>
      </c>
      <c r="L45" s="194">
        <v>0.25</v>
      </c>
      <c r="M45" s="194">
        <v>1</v>
      </c>
      <c r="N45" s="25"/>
      <c r="O45" s="10">
        <v>0</v>
      </c>
      <c r="P45" s="10">
        <v>0</v>
      </c>
      <c r="Q45" s="10">
        <v>0</v>
      </c>
      <c r="R45" s="10">
        <v>0</v>
      </c>
      <c r="S45" s="25"/>
      <c r="T45" s="195" t="s">
        <v>238</v>
      </c>
    </row>
    <row r="46" spans="1:40" ht="15.75" customHeight="1" outlineLevel="1">
      <c r="C46" s="8" t="s">
        <v>215</v>
      </c>
      <c r="D46" s="169"/>
      <c r="E46" s="169"/>
      <c r="F46" s="169"/>
      <c r="G46" s="25">
        <f t="shared" ref="G46:I46" si="30">G$12*K46</f>
        <v>0</v>
      </c>
      <c r="H46" s="25">
        <f t="shared" si="30"/>
        <v>0</v>
      </c>
      <c r="I46" s="25">
        <f t="shared" si="30"/>
        <v>0</v>
      </c>
      <c r="J46" s="25"/>
      <c r="K46" s="194">
        <v>0</v>
      </c>
      <c r="L46" s="194">
        <v>0</v>
      </c>
      <c r="M46" s="194">
        <v>0</v>
      </c>
      <c r="N46" s="25"/>
      <c r="O46" s="10">
        <v>0</v>
      </c>
      <c r="P46" s="10">
        <v>0</v>
      </c>
      <c r="Q46" s="10">
        <v>0</v>
      </c>
      <c r="R46" s="10">
        <v>0</v>
      </c>
      <c r="S46" s="25"/>
      <c r="T46" s="171"/>
    </row>
    <row r="47" spans="1:40" ht="15.75" customHeight="1" outlineLevel="1">
      <c r="C47" s="8" t="s">
        <v>216</v>
      </c>
      <c r="D47" s="169"/>
      <c r="E47" s="169"/>
      <c r="F47" s="169"/>
      <c r="G47" s="25">
        <f t="shared" ref="G47:I47" si="31">G$12*K47</f>
        <v>5.1771004942339367</v>
      </c>
      <c r="H47" s="25">
        <f t="shared" si="31"/>
        <v>27.438632619439868</v>
      </c>
      <c r="I47" s="25">
        <f t="shared" si="31"/>
        <v>48.319604612850078</v>
      </c>
      <c r="J47" s="25"/>
      <c r="K47" s="194">
        <f t="shared" ref="K47:K49" si="32">$R47*0.5</f>
        <v>0.34514003294892914</v>
      </c>
      <c r="L47" s="194">
        <f t="shared" ref="L47:L51" si="33">$R47*0.75</f>
        <v>0.51771004942339371</v>
      </c>
      <c r="M47" s="194">
        <f t="shared" ref="M47:M51" si="34">$R47*1</f>
        <v>0.69028006589785829</v>
      </c>
      <c r="N47" s="25"/>
      <c r="O47" s="69">
        <f t="shared" ref="O47:R47" si="35">O33</f>
        <v>0</v>
      </c>
      <c r="P47" s="69">
        <f t="shared" si="35"/>
        <v>0.66356877323420072</v>
      </c>
      <c r="Q47" s="69">
        <f t="shared" si="35"/>
        <v>0.66356877323420072</v>
      </c>
      <c r="R47" s="69">
        <f t="shared" si="35"/>
        <v>0.69028006589785829</v>
      </c>
      <c r="S47" s="25"/>
      <c r="T47" s="195" t="s">
        <v>241</v>
      </c>
    </row>
    <row r="48" spans="1:40" ht="15.75" customHeight="1" outlineLevel="1">
      <c r="C48" s="8" t="s">
        <v>217</v>
      </c>
      <c r="D48" s="169"/>
      <c r="E48" s="169"/>
      <c r="F48" s="169"/>
      <c r="G48" s="25">
        <f t="shared" ref="G48:I48" si="36">G$12*K48</f>
        <v>4.0453047775947288</v>
      </c>
      <c r="H48" s="25">
        <f t="shared" si="36"/>
        <v>21.440115321252058</v>
      </c>
      <c r="I48" s="25">
        <f t="shared" si="36"/>
        <v>37.756177924217468</v>
      </c>
      <c r="J48" s="25"/>
      <c r="K48" s="194">
        <f t="shared" si="32"/>
        <v>0.2696869851729819</v>
      </c>
      <c r="L48" s="194">
        <f t="shared" si="33"/>
        <v>0.40453047775947282</v>
      </c>
      <c r="M48" s="194">
        <f t="shared" si="34"/>
        <v>0.53937397034596379</v>
      </c>
      <c r="N48" s="25"/>
      <c r="O48" s="69">
        <f t="shared" ref="O48:R48" si="37">O34</f>
        <v>0</v>
      </c>
      <c r="P48" s="69">
        <f t="shared" si="37"/>
        <v>0.52602230483271373</v>
      </c>
      <c r="Q48" s="69">
        <f t="shared" si="37"/>
        <v>0.52602230483271373</v>
      </c>
      <c r="R48" s="69">
        <f t="shared" si="37"/>
        <v>0.53937397034596379</v>
      </c>
      <c r="S48" s="25"/>
      <c r="T48" s="195" t="s">
        <v>241</v>
      </c>
    </row>
    <row r="49" spans="1:40" ht="15.75" customHeight="1" outlineLevel="1">
      <c r="C49" s="8" t="s">
        <v>218</v>
      </c>
      <c r="D49" s="169"/>
      <c r="E49" s="169"/>
      <c r="F49" s="169"/>
      <c r="G49" s="25">
        <f t="shared" ref="G49:I49" si="38">G$12*K49</f>
        <v>3.3187808896210873</v>
      </c>
      <c r="H49" s="25">
        <f t="shared" si="38"/>
        <v>17.589538714991765</v>
      </c>
      <c r="I49" s="25">
        <f t="shared" si="38"/>
        <v>30.975288303130149</v>
      </c>
      <c r="J49" s="25"/>
      <c r="K49" s="194">
        <f t="shared" si="32"/>
        <v>0.22125205930807249</v>
      </c>
      <c r="L49" s="194">
        <f t="shared" si="33"/>
        <v>0.33187808896210874</v>
      </c>
      <c r="M49" s="194">
        <f t="shared" si="34"/>
        <v>0.44250411861614497</v>
      </c>
      <c r="N49" s="25"/>
      <c r="O49" s="69">
        <f t="shared" ref="O49:R49" si="39">O35</f>
        <v>0</v>
      </c>
      <c r="P49" s="69">
        <f t="shared" si="39"/>
        <v>0.46344485749690212</v>
      </c>
      <c r="Q49" s="69">
        <f t="shared" si="39"/>
        <v>0.46344485749690212</v>
      </c>
      <c r="R49" s="69">
        <f t="shared" si="39"/>
        <v>0.44250411861614497</v>
      </c>
      <c r="S49" s="25"/>
      <c r="T49" s="195" t="s">
        <v>241</v>
      </c>
    </row>
    <row r="50" spans="1:40" ht="15.75" customHeight="1" outlineLevel="1">
      <c r="C50" s="8" t="s">
        <v>219</v>
      </c>
      <c r="D50" s="169"/>
      <c r="E50" s="169"/>
      <c r="F50" s="169"/>
      <c r="G50" s="25">
        <f t="shared" ref="G50:I50" si="40">G$12*K50</f>
        <v>0</v>
      </c>
      <c r="H50" s="25">
        <f t="shared" si="40"/>
        <v>23.601153212520593</v>
      </c>
      <c r="I50" s="25">
        <f t="shared" si="40"/>
        <v>41.56177924217463</v>
      </c>
      <c r="J50" s="25"/>
      <c r="K50" s="11">
        <v>0</v>
      </c>
      <c r="L50" s="194">
        <f t="shared" si="33"/>
        <v>0.4453047775947282</v>
      </c>
      <c r="M50" s="194">
        <f t="shared" si="34"/>
        <v>0.59373970345963756</v>
      </c>
      <c r="N50" s="25"/>
      <c r="O50" s="69">
        <f t="shared" ref="O50:R50" si="41">O36</f>
        <v>0</v>
      </c>
      <c r="P50" s="69">
        <f t="shared" si="41"/>
        <v>0.57682775712515488</v>
      </c>
      <c r="Q50" s="69">
        <f t="shared" si="41"/>
        <v>0.57682775712515488</v>
      </c>
      <c r="R50" s="69">
        <f t="shared" si="41"/>
        <v>0.59373970345963756</v>
      </c>
      <c r="S50" s="25"/>
      <c r="T50" s="195" t="s">
        <v>242</v>
      </c>
    </row>
    <row r="51" spans="1:40" ht="15.75" customHeight="1" outlineLevel="1">
      <c r="C51" s="8" t="s">
        <v>220</v>
      </c>
      <c r="D51" s="169"/>
      <c r="E51" s="169"/>
      <c r="F51" s="169"/>
      <c r="G51" s="25">
        <f t="shared" ref="G51:I51" si="42">G$12*K51</f>
        <v>3.3731466227347613</v>
      </c>
      <c r="H51" s="25">
        <f t="shared" si="42"/>
        <v>17.877677100494235</v>
      </c>
      <c r="I51" s="25">
        <f t="shared" si="42"/>
        <v>31.482701812191106</v>
      </c>
      <c r="J51" s="25"/>
      <c r="K51" s="194">
        <f>$R51*0.5</f>
        <v>0.22487644151565075</v>
      </c>
      <c r="L51" s="194">
        <f t="shared" si="33"/>
        <v>0.33731466227347612</v>
      </c>
      <c r="M51" s="194">
        <f t="shared" si="34"/>
        <v>0.44975288303130151</v>
      </c>
      <c r="N51" s="25"/>
      <c r="O51" s="69">
        <f t="shared" ref="O51:R51" si="43">O37</f>
        <v>0</v>
      </c>
      <c r="P51" s="69">
        <f t="shared" si="43"/>
        <v>0.45724907063197023</v>
      </c>
      <c r="Q51" s="69">
        <f t="shared" si="43"/>
        <v>0.45724907063197023</v>
      </c>
      <c r="R51" s="69">
        <f t="shared" si="43"/>
        <v>0.44975288303130151</v>
      </c>
      <c r="S51" s="25"/>
      <c r="T51" s="195" t="s">
        <v>241</v>
      </c>
    </row>
    <row r="52" spans="1:40" ht="15.75" customHeight="1" outlineLevel="1">
      <c r="C52" s="8" t="s">
        <v>8</v>
      </c>
      <c r="D52" s="169"/>
      <c r="E52" s="169"/>
      <c r="F52" s="169"/>
      <c r="G52" s="25">
        <f t="shared" ref="G52:I52" si="44">G$12*K52</f>
        <v>0</v>
      </c>
      <c r="H52" s="25">
        <f t="shared" si="44"/>
        <v>0</v>
      </c>
      <c r="I52" s="25">
        <f t="shared" si="44"/>
        <v>0</v>
      </c>
      <c r="J52" s="25"/>
      <c r="K52" s="194">
        <v>0</v>
      </c>
      <c r="L52" s="194">
        <v>0</v>
      </c>
      <c r="M52" s="194">
        <v>0</v>
      </c>
      <c r="N52" s="25"/>
      <c r="O52" s="168"/>
      <c r="P52" s="168"/>
      <c r="Q52" s="168"/>
      <c r="R52" s="168"/>
      <c r="S52" s="25"/>
      <c r="T52" s="171"/>
    </row>
    <row r="53" spans="1:40" ht="4.5" customHeight="1" outlineLevel="1"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72"/>
      <c r="S53" s="10"/>
      <c r="T53" s="171"/>
    </row>
    <row r="54" spans="1:40" ht="15.75" customHeight="1">
      <c r="A54" s="17"/>
      <c r="B54" s="17"/>
      <c r="C54" s="173" t="s">
        <v>223</v>
      </c>
      <c r="D54" s="174">
        <f t="shared" ref="D54:I54" si="45">D12</f>
        <v>0</v>
      </c>
      <c r="E54" s="174">
        <f t="shared" si="45"/>
        <v>0</v>
      </c>
      <c r="F54" s="174">
        <f t="shared" si="45"/>
        <v>0</v>
      </c>
      <c r="G54" s="174">
        <f t="shared" si="45"/>
        <v>15</v>
      </c>
      <c r="H54" s="174">
        <f t="shared" si="45"/>
        <v>53</v>
      </c>
      <c r="I54" s="174">
        <f t="shared" si="45"/>
        <v>70</v>
      </c>
      <c r="J54" s="174"/>
      <c r="K54" s="175"/>
      <c r="L54" s="175"/>
      <c r="M54" s="175"/>
      <c r="N54" s="174"/>
      <c r="O54" s="174"/>
      <c r="P54" s="174"/>
      <c r="Q54" s="174"/>
      <c r="R54" s="174"/>
      <c r="S54" s="27"/>
      <c r="T54" s="171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spans="1:40" ht="15.75" customHeight="1">
      <c r="C55" s="1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171"/>
    </row>
    <row r="56" spans="1:40" ht="15.75" customHeight="1">
      <c r="C56" s="176" t="s">
        <v>224</v>
      </c>
      <c r="D56" s="177">
        <f t="shared" ref="D56:I56" si="46">D40+D54</f>
        <v>54</v>
      </c>
      <c r="E56" s="177">
        <f t="shared" si="46"/>
        <v>47</v>
      </c>
      <c r="F56" s="177">
        <f t="shared" si="46"/>
        <v>40</v>
      </c>
      <c r="G56" s="177">
        <f t="shared" si="46"/>
        <v>50</v>
      </c>
      <c r="H56" s="177">
        <f t="shared" si="46"/>
        <v>60</v>
      </c>
      <c r="I56" s="177">
        <f t="shared" si="46"/>
        <v>70</v>
      </c>
      <c r="J56" s="178"/>
      <c r="K56" s="178"/>
      <c r="L56" s="178"/>
      <c r="M56" s="178"/>
      <c r="N56" s="178"/>
      <c r="O56" s="178"/>
      <c r="P56" s="178"/>
      <c r="Q56" s="178"/>
      <c r="R56" s="178"/>
      <c r="S56" s="25"/>
      <c r="T56" s="171"/>
    </row>
    <row r="57" spans="1:40" ht="15.75" customHeight="1">
      <c r="C57" s="1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171"/>
    </row>
    <row r="58" spans="1:40" ht="15.75" customHeight="1">
      <c r="C58" s="179" t="s">
        <v>225</v>
      </c>
      <c r="D58" s="180"/>
      <c r="E58" s="180"/>
      <c r="F58" s="180"/>
      <c r="G58" s="180"/>
      <c r="H58" s="180"/>
      <c r="I58" s="180"/>
      <c r="J58" s="180"/>
      <c r="K58" s="519" t="s">
        <v>226</v>
      </c>
      <c r="L58" s="514"/>
      <c r="M58" s="515"/>
      <c r="N58" s="180"/>
      <c r="O58" s="181"/>
      <c r="P58" s="182"/>
      <c r="Q58" s="182"/>
      <c r="R58" s="182"/>
      <c r="S58" s="25"/>
      <c r="T58" s="171"/>
    </row>
    <row r="59" spans="1:40" ht="15.75" customHeight="1">
      <c r="A59" s="3"/>
      <c r="B59" s="3"/>
      <c r="C59" s="33" t="s">
        <v>227</v>
      </c>
      <c r="D59" s="27"/>
      <c r="E59" s="27"/>
      <c r="F59" s="27"/>
      <c r="G59" s="27"/>
      <c r="H59" s="27"/>
      <c r="I59" s="27"/>
      <c r="J59" s="27"/>
      <c r="K59" s="166"/>
      <c r="L59" s="166"/>
      <c r="M59" s="166"/>
      <c r="N59" s="27"/>
      <c r="O59" s="166"/>
      <c r="P59" s="167"/>
      <c r="Q59" s="167"/>
      <c r="R59" s="167"/>
      <c r="S59" s="25"/>
      <c r="T59" s="171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15.75" customHeight="1">
      <c r="C60" s="8" t="s">
        <v>213</v>
      </c>
      <c r="D60" s="7">
        <f t="shared" ref="D60:F60" si="47">D16</f>
        <v>345.6</v>
      </c>
      <c r="E60" s="7">
        <f t="shared" si="47"/>
        <v>304.5</v>
      </c>
      <c r="F60" s="7">
        <f t="shared" si="47"/>
        <v>249.25</v>
      </c>
      <c r="G60" s="7">
        <f t="shared" ref="G60:I60" si="48">G29*K60</f>
        <v>231.67500000000001</v>
      </c>
      <c r="H60" s="7">
        <f t="shared" si="48"/>
        <v>51.5</v>
      </c>
      <c r="I60" s="7">
        <f t="shared" si="48"/>
        <v>0</v>
      </c>
      <c r="J60" s="10"/>
      <c r="K60" s="10">
        <f t="shared" ref="K60:M60" si="49">G22</f>
        <v>6.6192857142857147</v>
      </c>
      <c r="L60" s="10">
        <f t="shared" si="49"/>
        <v>7.3571428571428568</v>
      </c>
      <c r="M60" s="10">
        <f t="shared" si="49"/>
        <v>0</v>
      </c>
      <c r="N60" s="10"/>
      <c r="O60" s="10">
        <f t="shared" ref="O60:O69" si="50">O75</f>
        <v>0</v>
      </c>
      <c r="P60" s="172">
        <f t="array" ref="P60">INDEX('WH Rev &amp; Events Data'!42:42,MATCH(P$8,'WH Rev &amp; Events Data'!$8:$8,0))</f>
        <v>5.1566798946716235</v>
      </c>
      <c r="Q60" s="172">
        <f t="array" ref="Q60">INDEX('WH Rev &amp; Events Data'!42:42,MATCH(Q$8,'WH Rev &amp; Events Data'!$8:$8,0))</f>
        <v>5.1566798946716235</v>
      </c>
      <c r="R60" s="172">
        <f t="array" ref="R60">INDEX('WH Rev &amp; Events Data'!42:42,MATCH(R$8,'WH Rev &amp; Events Data'!$8:$8,0))</f>
        <v>5.1467523294892921</v>
      </c>
      <c r="S60" s="10"/>
      <c r="T60" s="171"/>
    </row>
    <row r="61" spans="1:40" ht="15.75" customHeight="1">
      <c r="C61" s="8" t="s">
        <v>196</v>
      </c>
      <c r="D61" s="159"/>
      <c r="E61" s="159"/>
      <c r="F61" s="159"/>
      <c r="G61" s="7">
        <f t="shared" ref="G61:I61" si="51">G30*K61</f>
        <v>40.65</v>
      </c>
      <c r="H61" s="7">
        <f t="shared" si="51"/>
        <v>9.0333333333333332</v>
      </c>
      <c r="I61" s="7">
        <f t="shared" si="51"/>
        <v>0</v>
      </c>
      <c r="J61" s="10"/>
      <c r="K61" s="10">
        <f t="shared" ref="K61:M61" si="52">K76</f>
        <v>4.5166666666666666</v>
      </c>
      <c r="L61" s="10">
        <f t="shared" si="52"/>
        <v>4.5166666666666666</v>
      </c>
      <c r="M61" s="10">
        <f t="shared" si="52"/>
        <v>4.5166666666666666</v>
      </c>
      <c r="N61" s="10"/>
      <c r="O61" s="10">
        <f t="shared" si="50"/>
        <v>4.5166666666666666</v>
      </c>
      <c r="P61" s="172">
        <f t="array" ref="P61">INDEX('WH Rev &amp; Events Data'!43:43,MATCH(P$8,'WH Rev &amp; Events Data'!$8:$8,0))</f>
        <v>4.9378764250309777</v>
      </c>
      <c r="Q61" s="172">
        <f t="array" ref="Q61">INDEX('WH Rev &amp; Events Data'!43:43,MATCH(Q$8,'WH Rev &amp; Events Data'!$8:$8,0))</f>
        <v>4.9378764250309777</v>
      </c>
      <c r="R61" s="172">
        <f t="array" ref="R61">INDEX('WH Rev &amp; Events Data'!43:43,MATCH(R$8,'WH Rev &amp; Events Data'!$8:$8,0))</f>
        <v>5.0523327479406914</v>
      </c>
      <c r="S61" s="10"/>
      <c r="T61" s="195" t="s">
        <v>243</v>
      </c>
    </row>
    <row r="62" spans="1:40" ht="15.75" customHeight="1">
      <c r="C62" s="8" t="s">
        <v>214</v>
      </c>
      <c r="D62" s="159"/>
      <c r="E62" s="159"/>
      <c r="F62" s="159"/>
      <c r="G62" s="7">
        <f t="shared" ref="G62:I62" si="53">G31*K62</f>
        <v>0</v>
      </c>
      <c r="H62" s="7">
        <f t="shared" si="53"/>
        <v>0</v>
      </c>
      <c r="I62" s="7">
        <f t="shared" si="53"/>
        <v>0</v>
      </c>
      <c r="J62" s="10"/>
      <c r="K62" s="10">
        <f t="shared" ref="K62:M62" si="54">K77</f>
        <v>0</v>
      </c>
      <c r="L62" s="10">
        <f t="shared" si="54"/>
        <v>3.0830680593080717</v>
      </c>
      <c r="M62" s="10">
        <f t="shared" si="54"/>
        <v>3.0830680593080717</v>
      </c>
      <c r="N62" s="10"/>
      <c r="O62" s="10">
        <f t="shared" si="50"/>
        <v>0</v>
      </c>
      <c r="P62" s="172">
        <f t="array" ref="P62">INDEX('WH Rev &amp; Events Data'!44:44,MATCH(P$8,'WH Rev &amp; Events Data'!$8:$8,0))</f>
        <v>2.9437465241635685</v>
      </c>
      <c r="Q62" s="172">
        <f t="array" ref="Q62">INDEX('WH Rev &amp; Events Data'!44:44,MATCH(Q$8,'WH Rev &amp; Events Data'!$8:$8,0))</f>
        <v>2.9437465241635685</v>
      </c>
      <c r="R62" s="172">
        <f t="array" ref="R62">INDEX('WH Rev &amp; Events Data'!44:44,MATCH(R$8,'WH Rev &amp; Events Data'!$8:$8,0))</f>
        <v>3.0830680593080717</v>
      </c>
      <c r="S62" s="10"/>
      <c r="T62" s="171"/>
    </row>
    <row r="63" spans="1:40" ht="15.75" customHeight="1">
      <c r="C63" s="8" t="s">
        <v>215</v>
      </c>
      <c r="D63" s="159"/>
      <c r="E63" s="159"/>
      <c r="F63" s="159"/>
      <c r="G63" s="7">
        <f t="shared" ref="G63:I63" si="55">G32*K63</f>
        <v>0</v>
      </c>
      <c r="H63" s="7">
        <f t="shared" si="55"/>
        <v>0</v>
      </c>
      <c r="I63" s="7">
        <f t="shared" si="55"/>
        <v>0</v>
      </c>
      <c r="J63" s="10"/>
      <c r="K63" s="10">
        <f t="shared" ref="K63:M63" si="56">K78</f>
        <v>0</v>
      </c>
      <c r="L63" s="10">
        <f t="shared" si="56"/>
        <v>0</v>
      </c>
      <c r="M63" s="10">
        <f t="shared" si="56"/>
        <v>0</v>
      </c>
      <c r="N63" s="10"/>
      <c r="O63" s="10">
        <f t="shared" si="50"/>
        <v>0</v>
      </c>
      <c r="P63" s="184"/>
      <c r="Q63" s="159"/>
      <c r="R63" s="184"/>
      <c r="S63" s="10"/>
      <c r="T63" s="171"/>
    </row>
    <row r="64" spans="1:40" ht="15.75" customHeight="1">
      <c r="C64" s="8" t="s">
        <v>216</v>
      </c>
      <c r="D64" s="159"/>
      <c r="E64" s="159"/>
      <c r="F64" s="159"/>
      <c r="G64" s="7">
        <f t="shared" ref="G64:I64" si="57">G33*K64</f>
        <v>12.327272727272728</v>
      </c>
      <c r="H64" s="7">
        <f t="shared" si="57"/>
        <v>2.0545454545454547</v>
      </c>
      <c r="I64" s="7">
        <f t="shared" si="57"/>
        <v>0</v>
      </c>
      <c r="J64" s="10"/>
      <c r="K64" s="10">
        <f t="shared" ref="K64:M64" si="58">K79</f>
        <v>2.0545454545454547</v>
      </c>
      <c r="L64" s="10">
        <f t="shared" si="58"/>
        <v>2.0545454545454547</v>
      </c>
      <c r="M64" s="10">
        <f t="shared" si="58"/>
        <v>2.0545454545454547</v>
      </c>
      <c r="N64" s="10"/>
      <c r="O64" s="10">
        <f t="shared" si="50"/>
        <v>2.0545454545454547</v>
      </c>
      <c r="P64" s="172">
        <f t="array" ref="P64">INDEX('WH Rev &amp; Events Data'!34:34,MATCH(P$8,'WH Rev &amp; Events Data'!$8:$8,0))</f>
        <v>1.708426704014939</v>
      </c>
      <c r="Q64" s="172">
        <f t="array" ref="Q64">INDEX('WH Rev &amp; Events Data'!34:34,MATCH(Q$8,'WH Rev &amp; Events Data'!$8:$8,0))</f>
        <v>1.708426704014939</v>
      </c>
      <c r="R64" s="172">
        <f t="array" ref="R64">INDEX('WH Rev &amp; Events Data'!34:34,MATCH(R$8,'WH Rev &amp; Events Data'!$8:$8,0))</f>
        <v>1.6865751837708829</v>
      </c>
      <c r="S64" s="10"/>
      <c r="T64" s="195" t="s">
        <v>243</v>
      </c>
    </row>
    <row r="65" spans="1:40" ht="15.75" customHeight="1">
      <c r="C65" s="8" t="s">
        <v>217</v>
      </c>
      <c r="D65" s="159"/>
      <c r="E65" s="159"/>
      <c r="F65" s="159"/>
      <c r="G65" s="7">
        <f t="shared" ref="G65:I65" si="59">G34*K65</f>
        <v>17.5</v>
      </c>
      <c r="H65" s="7">
        <f t="shared" si="59"/>
        <v>3.5</v>
      </c>
      <c r="I65" s="7">
        <f t="shared" si="59"/>
        <v>0</v>
      </c>
      <c r="J65" s="10"/>
      <c r="K65" s="10">
        <f t="shared" ref="K65:M65" si="60">K80</f>
        <v>3.5</v>
      </c>
      <c r="L65" s="10">
        <f t="shared" si="60"/>
        <v>3.5</v>
      </c>
      <c r="M65" s="10">
        <f t="shared" si="60"/>
        <v>3.5</v>
      </c>
      <c r="N65" s="10"/>
      <c r="O65" s="10">
        <f t="shared" si="50"/>
        <v>3.5</v>
      </c>
      <c r="P65" s="172">
        <f t="array" ref="P65">INDEX('WH Rev &amp; Events Data'!35:35,MATCH(P$8,'WH Rev &amp; Events Data'!$8:$8,0))</f>
        <v>3.3282028621908126</v>
      </c>
      <c r="Q65" s="172">
        <f t="array" ref="Q65">INDEX('WH Rev &amp; Events Data'!35:35,MATCH(Q$8,'WH Rev &amp; Events Data'!$8:$8,0))</f>
        <v>3.3282028621908126</v>
      </c>
      <c r="R65" s="172">
        <f t="array" ref="R65">INDEX('WH Rev &amp; Events Data'!35:35,MATCH(R$8,'WH Rev &amp; Events Data'!$8:$8,0))</f>
        <v>3.2563305925473429</v>
      </c>
      <c r="S65" s="10"/>
      <c r="T65" s="195" t="s">
        <v>243</v>
      </c>
    </row>
    <row r="66" spans="1:40" ht="15.75" customHeight="1">
      <c r="C66" s="8" t="s">
        <v>218</v>
      </c>
      <c r="D66" s="159"/>
      <c r="E66" s="159"/>
      <c r="F66" s="159"/>
      <c r="G66" s="7">
        <f t="shared" ref="G66:I66" si="61">G35*K66</f>
        <v>6.3163636363636364</v>
      </c>
      <c r="H66" s="7">
        <f t="shared" si="61"/>
        <v>1.5790909090909091</v>
      </c>
      <c r="I66" s="7">
        <f t="shared" si="61"/>
        <v>0</v>
      </c>
      <c r="J66" s="10"/>
      <c r="K66" s="10">
        <f t="shared" ref="K66:M66" si="62">K81</f>
        <v>1.5790909090909091</v>
      </c>
      <c r="L66" s="10">
        <f t="shared" si="62"/>
        <v>1.5790909090909091</v>
      </c>
      <c r="M66" s="10">
        <f t="shared" si="62"/>
        <v>1.5790909090909091</v>
      </c>
      <c r="N66" s="10"/>
      <c r="O66" s="10">
        <f t="shared" si="50"/>
        <v>1.5790909090909091</v>
      </c>
      <c r="P66" s="172">
        <f t="array" ref="P66">INDEX('WH Rev &amp; Events Data'!36:36,MATCH(P$8,'WH Rev &amp; Events Data'!$8:$8,0))</f>
        <v>1.1263107754010697</v>
      </c>
      <c r="Q66" s="172">
        <f t="array" ref="Q66">INDEX('WH Rev &amp; Events Data'!36:36,MATCH(Q$8,'WH Rev &amp; Events Data'!$8:$8,0))</f>
        <v>1.1263107754010697</v>
      </c>
      <c r="R66" s="172">
        <f t="array" ref="R66">INDEX('WH Rev &amp; Events Data'!36:36,MATCH(R$8,'WH Rev &amp; Events Data'!$8:$8,0))</f>
        <v>1.1287598361876396</v>
      </c>
      <c r="S66" s="10"/>
      <c r="T66" s="195" t="s">
        <v>243</v>
      </c>
    </row>
    <row r="67" spans="1:40" ht="15.75" customHeight="1">
      <c r="C67" s="8" t="s">
        <v>219</v>
      </c>
      <c r="D67" s="159"/>
      <c r="E67" s="159"/>
      <c r="F67" s="159"/>
      <c r="G67" s="7">
        <f t="shared" ref="G67:I67" si="63">G36*K67</f>
        <v>0</v>
      </c>
      <c r="H67" s="7">
        <f t="shared" si="63"/>
        <v>0.83356827067669181</v>
      </c>
      <c r="I67" s="7">
        <f t="shared" si="63"/>
        <v>0</v>
      </c>
      <c r="J67" s="10"/>
      <c r="K67" s="10">
        <f t="shared" ref="K67:M67" si="64">K82</f>
        <v>0</v>
      </c>
      <c r="L67" s="10">
        <f t="shared" si="64"/>
        <v>0.83356827067669181</v>
      </c>
      <c r="M67" s="10">
        <f t="shared" si="64"/>
        <v>0.83356827067669181</v>
      </c>
      <c r="N67" s="10"/>
      <c r="O67" s="10">
        <f t="shared" si="50"/>
        <v>0</v>
      </c>
      <c r="P67" s="172">
        <f t="array" ref="P67">INDEX('WH Rev &amp; Events Data'!37:37,MATCH(P$8,'WH Rev &amp; Events Data'!$8:$8,0))</f>
        <v>0.83356827067669181</v>
      </c>
      <c r="Q67" s="172">
        <f t="array" ref="Q67">INDEX('WH Rev &amp; Events Data'!37:37,MATCH(Q$8,'WH Rev &amp; Events Data'!$8:$8,0))</f>
        <v>0.83356827067669181</v>
      </c>
      <c r="R67" s="172">
        <f t="array" ref="R67">INDEX('WH Rev &amp; Events Data'!37:37,MATCH(R$8,'WH Rev &amp; Events Data'!$8:$8,0))</f>
        <v>0.79107037180910111</v>
      </c>
      <c r="S67" s="10"/>
      <c r="T67" s="171"/>
    </row>
    <row r="68" spans="1:40" ht="15.75" customHeight="1">
      <c r="C68" s="8" t="s">
        <v>220</v>
      </c>
      <c r="D68" s="159"/>
      <c r="E68" s="159"/>
      <c r="F68" s="159"/>
      <c r="G68" s="7">
        <f t="shared" ref="G68:I68" si="65">G37*K68</f>
        <v>17.966666666666669</v>
      </c>
      <c r="H68" s="7">
        <f t="shared" si="65"/>
        <v>4.4916666666666671</v>
      </c>
      <c r="I68" s="7">
        <f t="shared" si="65"/>
        <v>0</v>
      </c>
      <c r="J68" s="10"/>
      <c r="K68" s="10">
        <f t="shared" ref="K68:M68" si="66">K83</f>
        <v>4.4916666666666671</v>
      </c>
      <c r="L68" s="10">
        <f t="shared" si="66"/>
        <v>4.4916666666666671</v>
      </c>
      <c r="M68" s="10">
        <f t="shared" si="66"/>
        <v>4.4916666666666671</v>
      </c>
      <c r="N68" s="10"/>
      <c r="O68" s="10">
        <f t="shared" si="50"/>
        <v>4.4916666666666671</v>
      </c>
      <c r="P68" s="172">
        <f t="array" ref="P68">INDEX('WH Rev &amp; Events Data'!38:38,MATCH(P$8,'WH Rev &amp; Events Data'!$8:$8,0))</f>
        <v>1.1415724390243904</v>
      </c>
      <c r="Q68" s="172">
        <f t="array" ref="Q68">INDEX('WH Rev &amp; Events Data'!38:38,MATCH(Q$8,'WH Rev &amp; Events Data'!$8:$8,0))</f>
        <v>1.1415724390243904</v>
      </c>
      <c r="R68" s="172">
        <f t="array" ref="R68">INDEX('WH Rev &amp; Events Data'!38:38,MATCH(R$8,'WH Rev &amp; Events Data'!$8:$8,0))</f>
        <v>1.11056736996337</v>
      </c>
      <c r="S68" s="10"/>
      <c r="T68" s="195" t="s">
        <v>243</v>
      </c>
    </row>
    <row r="69" spans="1:40" ht="15.75" customHeight="1">
      <c r="C69" s="8" t="s">
        <v>8</v>
      </c>
      <c r="D69" s="159"/>
      <c r="E69" s="159"/>
      <c r="F69" s="159"/>
      <c r="G69" s="7">
        <f t="shared" ref="G69:I69" si="67">G38*K69</f>
        <v>0</v>
      </c>
      <c r="H69" s="7">
        <f t="shared" si="67"/>
        <v>0</v>
      </c>
      <c r="I69" s="7">
        <f t="shared" si="67"/>
        <v>0</v>
      </c>
      <c r="J69" s="10"/>
      <c r="K69" s="10">
        <f t="shared" ref="K69:M69" si="68">K84</f>
        <v>0</v>
      </c>
      <c r="L69" s="10">
        <f t="shared" si="68"/>
        <v>0</v>
      </c>
      <c r="M69" s="10">
        <f t="shared" si="68"/>
        <v>0</v>
      </c>
      <c r="N69" s="10"/>
      <c r="O69" s="10">
        <f t="shared" si="50"/>
        <v>0</v>
      </c>
      <c r="P69" s="172">
        <f t="array" ref="P69">INDEX('WH Rev &amp; Events Data'!39:39,MATCH(P$8,'WH Rev &amp; Events Data'!$8:$8,0))</f>
        <v>0.78271323420074335</v>
      </c>
      <c r="Q69" s="172">
        <f t="array" ref="Q69">INDEX('WH Rev &amp; Events Data'!39:39,MATCH(Q$8,'WH Rev &amp; Events Data'!$8:$8,0))</f>
        <v>0.78271323420074335</v>
      </c>
      <c r="R69" s="172">
        <f t="array" ref="R69">INDEX('WH Rev &amp; Events Data'!39:39,MATCH(R$8,'WH Rev &amp; Events Data'!$8:$8,0))</f>
        <v>0.66640874464579902</v>
      </c>
      <c r="S69" s="10"/>
      <c r="T69" s="171"/>
    </row>
    <row r="70" spans="1:40" ht="4.5" customHeight="1">
      <c r="C70" s="1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171"/>
    </row>
    <row r="71" spans="1:40" ht="15.75" customHeight="1">
      <c r="A71" s="17"/>
      <c r="B71" s="17"/>
      <c r="C71" s="185" t="s">
        <v>228</v>
      </c>
      <c r="D71" s="145">
        <f t="shared" ref="D71:I71" si="69">SUM(D60:D70)</f>
        <v>345.6</v>
      </c>
      <c r="E71" s="145">
        <f t="shared" si="69"/>
        <v>304.5</v>
      </c>
      <c r="F71" s="145">
        <f t="shared" si="69"/>
        <v>249.25</v>
      </c>
      <c r="G71" s="145">
        <f t="shared" si="69"/>
        <v>326.43530303030298</v>
      </c>
      <c r="H71" s="145">
        <f t="shared" si="69"/>
        <v>72.992204634313055</v>
      </c>
      <c r="I71" s="145">
        <f t="shared" si="69"/>
        <v>0</v>
      </c>
      <c r="J71" s="80"/>
      <c r="K71" s="147"/>
      <c r="L71" s="147"/>
      <c r="M71" s="147"/>
      <c r="N71" s="80"/>
      <c r="O71" s="147"/>
      <c r="P71" s="147"/>
      <c r="Q71" s="147"/>
      <c r="R71" s="147"/>
      <c r="S71" s="27"/>
      <c r="T71" s="171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spans="1:40" ht="15.75" customHeight="1">
      <c r="A72" s="42"/>
      <c r="B72" s="42"/>
      <c r="C72" s="186" t="s">
        <v>229</v>
      </c>
      <c r="D72" s="187">
        <f t="shared" ref="D72:I72" si="70">IFERROR(D71/D40,0)</f>
        <v>6.4</v>
      </c>
      <c r="E72" s="187">
        <f t="shared" si="70"/>
        <v>6.4787234042553195</v>
      </c>
      <c r="F72" s="187">
        <f t="shared" si="70"/>
        <v>6.2312500000000002</v>
      </c>
      <c r="G72" s="187">
        <f t="shared" si="70"/>
        <v>9.3267229437229417</v>
      </c>
      <c r="H72" s="187">
        <f t="shared" si="70"/>
        <v>10.427457804901865</v>
      </c>
      <c r="I72" s="187">
        <f t="shared" si="70"/>
        <v>0</v>
      </c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71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 spans="1:40" ht="15.75" customHeight="1">
      <c r="C73" s="1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171"/>
    </row>
    <row r="74" spans="1:40" ht="15.75" customHeight="1">
      <c r="A74" s="3"/>
      <c r="B74" s="3"/>
      <c r="C74" s="33" t="s">
        <v>230</v>
      </c>
      <c r="D74" s="27"/>
      <c r="E74" s="27"/>
      <c r="F74" s="27"/>
      <c r="G74" s="27"/>
      <c r="H74" s="27"/>
      <c r="I74" s="27"/>
      <c r="J74" s="27"/>
      <c r="K74" s="166"/>
      <c r="L74" s="166"/>
      <c r="M74" s="166"/>
      <c r="N74" s="27"/>
      <c r="O74" s="166"/>
      <c r="P74" s="167"/>
      <c r="Q74" s="167"/>
      <c r="R74" s="167"/>
      <c r="S74" s="25"/>
      <c r="T74" s="171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15.75" customHeight="1">
      <c r="C75" s="8" t="s">
        <v>213</v>
      </c>
      <c r="D75" s="159"/>
      <c r="E75" s="159"/>
      <c r="F75" s="159"/>
      <c r="G75" s="7">
        <f t="shared" ref="G75:I75" si="71">G43*K75</f>
        <v>85.312672683735499</v>
      </c>
      <c r="H75" s="7">
        <f t="shared" si="71"/>
        <v>312.20114201510404</v>
      </c>
      <c r="I75" s="7">
        <f t="shared" si="71"/>
        <v>412.34113096334499</v>
      </c>
      <c r="J75" s="10"/>
      <c r="K75" s="172">
        <f>Averages!$D$30/1000/(1+K85)</f>
        <v>5.6875115122490332</v>
      </c>
      <c r="L75" s="172">
        <f>Averages!$F$30/1000/(1+L85)</f>
        <v>5.8905875851906426</v>
      </c>
      <c r="M75" s="10">
        <f>L75</f>
        <v>5.8905875851906426</v>
      </c>
      <c r="N75" s="10"/>
      <c r="O75" s="10">
        <v>0</v>
      </c>
      <c r="P75" s="10">
        <f t="shared" ref="P75:R75" si="72">P60</f>
        <v>5.1566798946716235</v>
      </c>
      <c r="Q75" s="10">
        <f t="shared" si="72"/>
        <v>5.1566798946716235</v>
      </c>
      <c r="R75" s="10">
        <f t="shared" si="72"/>
        <v>5.1467523294892921</v>
      </c>
      <c r="S75" s="10"/>
      <c r="T75" s="171"/>
    </row>
    <row r="76" spans="1:40" ht="15.75" customHeight="1">
      <c r="C76" s="8" t="s">
        <v>196</v>
      </c>
      <c r="D76" s="159"/>
      <c r="E76" s="159"/>
      <c r="F76" s="159"/>
      <c r="G76" s="7">
        <f t="shared" ref="G76:I76" si="73">G44*K76</f>
        <v>33.875</v>
      </c>
      <c r="H76" s="7">
        <f t="shared" si="73"/>
        <v>179.53749999999999</v>
      </c>
      <c r="I76" s="7">
        <f t="shared" si="73"/>
        <v>316.16666666666669</v>
      </c>
      <c r="J76" s="10"/>
      <c r="K76" s="196">
        <f t="shared" ref="K76:M76" si="74">$O76</f>
        <v>4.5166666666666666</v>
      </c>
      <c r="L76" s="196">
        <f t="shared" si="74"/>
        <v>4.5166666666666666</v>
      </c>
      <c r="M76" s="196">
        <f t="shared" si="74"/>
        <v>4.5166666666666666</v>
      </c>
      <c r="N76" s="10"/>
      <c r="O76" s="172">
        <f>Averages!$C$3/1000</f>
        <v>4.5166666666666666</v>
      </c>
      <c r="P76" s="10">
        <f t="shared" ref="P76:R76" si="75">P61</f>
        <v>4.9378764250309777</v>
      </c>
      <c r="Q76" s="10">
        <f t="shared" si="75"/>
        <v>4.9378764250309777</v>
      </c>
      <c r="R76" s="10">
        <f t="shared" si="75"/>
        <v>5.0523327479406914</v>
      </c>
      <c r="S76" s="10"/>
      <c r="T76" s="195" t="s">
        <v>243</v>
      </c>
    </row>
    <row r="77" spans="1:40" ht="15.75" customHeight="1">
      <c r="C77" s="8" t="s">
        <v>214</v>
      </c>
      <c r="D77" s="159"/>
      <c r="E77" s="159"/>
      <c r="F77" s="159"/>
      <c r="G77" s="7">
        <f t="shared" ref="G77:I77" si="76">G45*K77</f>
        <v>0</v>
      </c>
      <c r="H77" s="7">
        <f t="shared" si="76"/>
        <v>40.85065178583195</v>
      </c>
      <c r="I77" s="7">
        <f t="shared" si="76"/>
        <v>215.81476415156502</v>
      </c>
      <c r="J77" s="10"/>
      <c r="K77" s="197">
        <v>0</v>
      </c>
      <c r="L77" s="196">
        <f t="shared" ref="L77:M77" si="77">$R77</f>
        <v>3.0830680593080717</v>
      </c>
      <c r="M77" s="196">
        <f t="shared" si="77"/>
        <v>3.0830680593080717</v>
      </c>
      <c r="N77" s="10"/>
      <c r="O77" s="10">
        <v>0</v>
      </c>
      <c r="P77" s="10">
        <f t="shared" ref="P77:R77" si="78">P62</f>
        <v>2.9437465241635685</v>
      </c>
      <c r="Q77" s="10">
        <f t="shared" si="78"/>
        <v>2.9437465241635685</v>
      </c>
      <c r="R77" s="10">
        <f t="shared" si="78"/>
        <v>3.0830680593080717</v>
      </c>
      <c r="S77" s="10"/>
      <c r="T77" s="171"/>
    </row>
    <row r="78" spans="1:40" ht="15.75" customHeight="1">
      <c r="C78" s="8" t="s">
        <v>215</v>
      </c>
      <c r="D78" s="159"/>
      <c r="E78" s="159"/>
      <c r="F78" s="159"/>
      <c r="G78" s="7">
        <f t="shared" ref="G78:I78" si="79">G46*K78</f>
        <v>0</v>
      </c>
      <c r="H78" s="7">
        <f t="shared" si="79"/>
        <v>0</v>
      </c>
      <c r="I78" s="7">
        <f t="shared" si="79"/>
        <v>0</v>
      </c>
      <c r="J78" s="10"/>
      <c r="K78" s="197">
        <v>0</v>
      </c>
      <c r="L78" s="197">
        <v>0</v>
      </c>
      <c r="M78" s="197">
        <v>0</v>
      </c>
      <c r="N78" s="10"/>
      <c r="O78" s="10">
        <v>0</v>
      </c>
      <c r="P78" s="159"/>
      <c r="Q78" s="159"/>
      <c r="R78" s="159"/>
      <c r="S78" s="10"/>
      <c r="T78" s="171"/>
    </row>
    <row r="79" spans="1:40" ht="15.75" customHeight="1">
      <c r="C79" s="8" t="s">
        <v>216</v>
      </c>
      <c r="D79" s="159"/>
      <c r="E79" s="159"/>
      <c r="F79" s="159"/>
      <c r="G79" s="7">
        <f t="shared" ref="G79:I79" si="80">G47*K79</f>
        <v>10.636588288153362</v>
      </c>
      <c r="H79" s="7">
        <f t="shared" si="80"/>
        <v>56.373917927212823</v>
      </c>
      <c r="I79" s="7">
        <f t="shared" si="80"/>
        <v>99.274824022764719</v>
      </c>
      <c r="J79" s="10"/>
      <c r="K79" s="196">
        <f t="shared" ref="K79:M79" si="81">$O79</f>
        <v>2.0545454545454547</v>
      </c>
      <c r="L79" s="196">
        <f t="shared" si="81"/>
        <v>2.0545454545454547</v>
      </c>
      <c r="M79" s="196">
        <f t="shared" si="81"/>
        <v>2.0545454545454547</v>
      </c>
      <c r="N79" s="10"/>
      <c r="O79" s="172">
        <f>Averages!$C$7/1000</f>
        <v>2.0545454545454547</v>
      </c>
      <c r="P79" s="10">
        <f t="shared" ref="P79:R79" si="82">P64</f>
        <v>1.708426704014939</v>
      </c>
      <c r="Q79" s="10">
        <f t="shared" si="82"/>
        <v>1.708426704014939</v>
      </c>
      <c r="R79" s="10">
        <f t="shared" si="82"/>
        <v>1.6865751837708829</v>
      </c>
      <c r="S79" s="10"/>
      <c r="T79" s="195" t="s">
        <v>243</v>
      </c>
    </row>
    <row r="80" spans="1:40" ht="15.75" customHeight="1">
      <c r="C80" s="8" t="s">
        <v>217</v>
      </c>
      <c r="D80" s="159"/>
      <c r="E80" s="159"/>
      <c r="F80" s="159"/>
      <c r="G80" s="7">
        <f t="shared" ref="G80:I80" si="83">G48*K80</f>
        <v>14.15856672158155</v>
      </c>
      <c r="H80" s="7">
        <f t="shared" si="83"/>
        <v>75.040403624382208</v>
      </c>
      <c r="I80" s="7">
        <f t="shared" si="83"/>
        <v>132.14662273476114</v>
      </c>
      <c r="J80" s="10"/>
      <c r="K80" s="196">
        <f t="shared" ref="K80:M80" si="84">$O80</f>
        <v>3.5</v>
      </c>
      <c r="L80" s="196">
        <f t="shared" si="84"/>
        <v>3.5</v>
      </c>
      <c r="M80" s="196">
        <f t="shared" si="84"/>
        <v>3.5</v>
      </c>
      <c r="N80" s="10"/>
      <c r="O80" s="172">
        <f>Averages!$C$6/1000</f>
        <v>3.5</v>
      </c>
      <c r="P80" s="10">
        <f t="shared" ref="P80:R80" si="85">P65</f>
        <v>3.3282028621908126</v>
      </c>
      <c r="Q80" s="10">
        <f t="shared" si="85"/>
        <v>3.3282028621908126</v>
      </c>
      <c r="R80" s="10">
        <f t="shared" si="85"/>
        <v>3.2563305925473429</v>
      </c>
      <c r="S80" s="10"/>
      <c r="T80" s="195" t="s">
        <v>243</v>
      </c>
    </row>
    <row r="81" spans="1:40" ht="15.75" customHeight="1">
      <c r="C81" s="8" t="s">
        <v>218</v>
      </c>
      <c r="D81" s="159"/>
      <c r="E81" s="159"/>
      <c r="F81" s="159"/>
      <c r="G81" s="7">
        <f t="shared" ref="G81:I81" si="86">G49*K81</f>
        <v>5.2406567320652986</v>
      </c>
      <c r="H81" s="7">
        <f t="shared" si="86"/>
        <v>27.775480679946085</v>
      </c>
      <c r="I81" s="7">
        <f t="shared" si="86"/>
        <v>48.912796165942794</v>
      </c>
      <c r="J81" s="10"/>
      <c r="K81" s="196">
        <f t="shared" ref="K81:M81" si="87">$O81</f>
        <v>1.5790909090909091</v>
      </c>
      <c r="L81" s="196">
        <f t="shared" si="87"/>
        <v>1.5790909090909091</v>
      </c>
      <c r="M81" s="196">
        <f t="shared" si="87"/>
        <v>1.5790909090909091</v>
      </c>
      <c r="N81" s="10"/>
      <c r="O81" s="172">
        <f>Averages!$C$5/1000</f>
        <v>1.5790909090909091</v>
      </c>
      <c r="P81" s="10">
        <f t="shared" ref="P81:R81" si="88">P66</f>
        <v>1.1263107754010697</v>
      </c>
      <c r="Q81" s="10">
        <f t="shared" si="88"/>
        <v>1.1263107754010697</v>
      </c>
      <c r="R81" s="10">
        <f t="shared" si="88"/>
        <v>1.1287598361876396</v>
      </c>
      <c r="S81" s="10"/>
      <c r="T81" s="195" t="s">
        <v>243</v>
      </c>
    </row>
    <row r="82" spans="1:40" ht="15.75" customHeight="1">
      <c r="C82" s="8" t="s">
        <v>219</v>
      </c>
      <c r="D82" s="159"/>
      <c r="E82" s="159"/>
      <c r="F82" s="159"/>
      <c r="G82" s="7">
        <f t="shared" ref="G82:I82" si="89">G50*K82</f>
        <v>0</v>
      </c>
      <c r="H82" s="7">
        <f t="shared" si="89"/>
        <v>19.673172469336439</v>
      </c>
      <c r="I82" s="7">
        <f t="shared" si="89"/>
        <v>34.644580449145934</v>
      </c>
      <c r="J82" s="10"/>
      <c r="K82" s="196">
        <f t="shared" ref="K82:M82" si="90">O82</f>
        <v>0</v>
      </c>
      <c r="L82" s="196">
        <f t="shared" si="90"/>
        <v>0.83356827067669181</v>
      </c>
      <c r="M82" s="196">
        <f t="shared" si="90"/>
        <v>0.83356827067669181</v>
      </c>
      <c r="N82" s="10"/>
      <c r="O82" s="10">
        <v>0</v>
      </c>
      <c r="P82" s="10">
        <f t="shared" ref="P82:R82" si="91">P67</f>
        <v>0.83356827067669181</v>
      </c>
      <c r="Q82" s="10">
        <f t="shared" si="91"/>
        <v>0.83356827067669181</v>
      </c>
      <c r="R82" s="10">
        <f t="shared" si="91"/>
        <v>0.79107037180910111</v>
      </c>
      <c r="S82" s="10"/>
      <c r="T82" s="171"/>
    </row>
    <row r="83" spans="1:40" ht="15.75" customHeight="1">
      <c r="C83" s="8" t="s">
        <v>220</v>
      </c>
      <c r="D83" s="159"/>
      <c r="E83" s="159"/>
      <c r="F83" s="159"/>
      <c r="G83" s="7">
        <f t="shared" ref="G83:I83" si="92">G51*K83</f>
        <v>15.151050247116972</v>
      </c>
      <c r="H83" s="7">
        <f t="shared" si="92"/>
        <v>80.300566309719954</v>
      </c>
      <c r="I83" s="7">
        <f t="shared" si="92"/>
        <v>141.40980230642506</v>
      </c>
      <c r="J83" s="10"/>
      <c r="K83" s="196">
        <f t="shared" ref="K83:M83" si="93">$O83</f>
        <v>4.4916666666666671</v>
      </c>
      <c r="L83" s="196">
        <f t="shared" si="93"/>
        <v>4.4916666666666671</v>
      </c>
      <c r="M83" s="196">
        <f t="shared" si="93"/>
        <v>4.4916666666666671</v>
      </c>
      <c r="N83" s="10"/>
      <c r="O83" s="172">
        <f>Averages!$C$4/1000</f>
        <v>4.4916666666666671</v>
      </c>
      <c r="P83" s="10">
        <f t="shared" ref="P83:R83" si="94">P68</f>
        <v>1.1415724390243904</v>
      </c>
      <c r="Q83" s="10">
        <f t="shared" si="94"/>
        <v>1.1415724390243904</v>
      </c>
      <c r="R83" s="10">
        <f t="shared" si="94"/>
        <v>1.11056736996337</v>
      </c>
      <c r="S83" s="10"/>
      <c r="T83" s="195" t="s">
        <v>243</v>
      </c>
    </row>
    <row r="84" spans="1:40" ht="15.75" customHeight="1">
      <c r="C84" s="8" t="s">
        <v>8</v>
      </c>
      <c r="D84" s="159"/>
      <c r="E84" s="159"/>
      <c r="F84" s="159"/>
      <c r="G84" s="7">
        <f t="shared" ref="G84:I84" si="95">G52*K84</f>
        <v>0</v>
      </c>
      <c r="H84" s="7">
        <f t="shared" si="95"/>
        <v>0</v>
      </c>
      <c r="I84" s="7">
        <f t="shared" si="95"/>
        <v>0</v>
      </c>
      <c r="J84" s="10"/>
      <c r="K84" s="196"/>
      <c r="L84" s="196"/>
      <c r="M84" s="196"/>
      <c r="N84" s="10"/>
      <c r="O84" s="10">
        <v>0</v>
      </c>
      <c r="P84" s="10">
        <f t="shared" ref="P84:R84" si="96">P69</f>
        <v>0.78271323420074335</v>
      </c>
      <c r="Q84" s="10">
        <f t="shared" si="96"/>
        <v>0.78271323420074335</v>
      </c>
      <c r="R84" s="10">
        <f t="shared" si="96"/>
        <v>0.66640874464579902</v>
      </c>
      <c r="S84" s="10"/>
      <c r="T84" s="171"/>
    </row>
    <row r="85" spans="1:40" ht="15.75" customHeight="1">
      <c r="C85" s="8" t="s">
        <v>123</v>
      </c>
      <c r="D85" s="159"/>
      <c r="E85" s="159"/>
      <c r="F85" s="159"/>
      <c r="G85" s="7">
        <f t="shared" ref="G85:I85" si="97">K85*G75</f>
        <v>18.76878799042181</v>
      </c>
      <c r="H85" s="7">
        <f t="shared" si="97"/>
        <v>68.68425124332289</v>
      </c>
      <c r="I85" s="7">
        <f t="shared" si="97"/>
        <v>90.715048811935901</v>
      </c>
      <c r="J85" s="10"/>
      <c r="K85" s="194">
        <v>0.22</v>
      </c>
      <c r="L85" s="194">
        <v>0.22</v>
      </c>
      <c r="M85" s="194">
        <v>0.22</v>
      </c>
      <c r="N85" s="10"/>
      <c r="O85" s="10">
        <v>0</v>
      </c>
      <c r="P85" s="10">
        <f t="array" ref="P85">INDEX('WH Rev &amp; Events Data'!45:45,MATCH(P$8,'WH Rev &amp; Events Data'!$8:$8,0))</f>
        <v>3.7752801363073107</v>
      </c>
      <c r="Q85" s="10">
        <f t="array" ref="Q85">INDEX('WH Rev &amp; Events Data'!45:45,MATCH(Q$8,'WH Rev &amp; Events Data'!$8:$8,0))</f>
        <v>3.7752801363073107</v>
      </c>
      <c r="R85" s="10">
        <f t="array" ref="R85">INDEX('WH Rev &amp; Events Data'!45:45,MATCH(R$8,'WH Rev &amp; Events Data'!$8:$8,0))</f>
        <v>3.7751450741350894</v>
      </c>
      <c r="S85" s="10"/>
      <c r="T85" s="171"/>
    </row>
    <row r="86" spans="1:40" ht="15.75" customHeight="1">
      <c r="C86" s="17"/>
      <c r="D86" s="25"/>
      <c r="E86" s="25"/>
      <c r="F86" s="25"/>
      <c r="G86" s="188"/>
      <c r="H86" s="188"/>
      <c r="I86" s="188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195" t="s">
        <v>244</v>
      </c>
    </row>
    <row r="87" spans="1:40" ht="15.75" customHeight="1">
      <c r="A87" s="17"/>
      <c r="B87" s="17"/>
      <c r="C87" s="185" t="s">
        <v>231</v>
      </c>
      <c r="D87" s="145">
        <f t="shared" ref="D87:I87" si="98">SUM(D75:D86)</f>
        <v>0</v>
      </c>
      <c r="E87" s="145">
        <f t="shared" si="98"/>
        <v>0</v>
      </c>
      <c r="F87" s="145">
        <f t="shared" si="98"/>
        <v>0</v>
      </c>
      <c r="G87" s="145">
        <f t="shared" si="98"/>
        <v>183.14332266307451</v>
      </c>
      <c r="H87" s="145">
        <f t="shared" si="98"/>
        <v>860.43708605485631</v>
      </c>
      <c r="I87" s="145">
        <f t="shared" si="98"/>
        <v>1491.4262362725524</v>
      </c>
      <c r="J87" s="80"/>
      <c r="K87" s="147"/>
      <c r="L87" s="147"/>
      <c r="M87" s="147"/>
      <c r="N87" s="80"/>
      <c r="O87" s="147"/>
      <c r="P87" s="147"/>
      <c r="Q87" s="147"/>
      <c r="R87" s="147"/>
      <c r="S87" s="27"/>
      <c r="T87" s="171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:40" ht="15.75" customHeight="1">
      <c r="A88" s="42"/>
      <c r="B88" s="42"/>
      <c r="C88" s="186" t="s">
        <v>232</v>
      </c>
      <c r="D88" s="187">
        <f t="shared" ref="D88:I88" si="99">IFERROR(D87/D54,0)</f>
        <v>0</v>
      </c>
      <c r="E88" s="187">
        <f t="shared" si="99"/>
        <v>0</v>
      </c>
      <c r="F88" s="187">
        <f t="shared" si="99"/>
        <v>0</v>
      </c>
      <c r="G88" s="187">
        <f t="shared" si="99"/>
        <v>12.209554844204968</v>
      </c>
      <c r="H88" s="187">
        <f t="shared" si="99"/>
        <v>16.234662001035026</v>
      </c>
      <c r="I88" s="187">
        <f t="shared" si="99"/>
        <v>21.306089089607891</v>
      </c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71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</row>
    <row r="89" spans="1:40" ht="15.75" customHeight="1">
      <c r="C89" s="1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171"/>
    </row>
    <row r="90" spans="1:40" ht="15.75" customHeight="1">
      <c r="C90" s="189" t="s">
        <v>224</v>
      </c>
      <c r="D90" s="190">
        <f t="shared" ref="D90:I90" si="100">D71+D87</f>
        <v>345.6</v>
      </c>
      <c r="E90" s="190">
        <f t="shared" si="100"/>
        <v>304.5</v>
      </c>
      <c r="F90" s="190">
        <f t="shared" si="100"/>
        <v>249.25</v>
      </c>
      <c r="G90" s="190">
        <f t="shared" si="100"/>
        <v>509.57862569337749</v>
      </c>
      <c r="H90" s="190">
        <f t="shared" si="100"/>
        <v>933.42929068916942</v>
      </c>
      <c r="I90" s="190">
        <f t="shared" si="100"/>
        <v>1491.4262362725524</v>
      </c>
      <c r="J90" s="191"/>
      <c r="K90" s="191"/>
      <c r="L90" s="191"/>
      <c r="M90" s="191"/>
      <c r="N90" s="191"/>
      <c r="O90" s="191"/>
      <c r="P90" s="191"/>
      <c r="Q90" s="191"/>
      <c r="R90" s="191"/>
      <c r="S90" s="25"/>
      <c r="T90" s="171"/>
    </row>
    <row r="91" spans="1:40" ht="15.75" customHeight="1">
      <c r="C91" s="1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171"/>
    </row>
    <row r="92" spans="1:40" ht="15.75" customHeight="1">
      <c r="A92" s="42"/>
      <c r="B92" s="42"/>
      <c r="C92" s="56" t="s">
        <v>233</v>
      </c>
      <c r="D92" s="183"/>
      <c r="E92" s="183"/>
      <c r="F92" s="183"/>
      <c r="G92" s="83">
        <f t="shared" ref="G92:I92" si="101">G16</f>
        <v>231.67500000000001</v>
      </c>
      <c r="H92" s="83">
        <f t="shared" si="101"/>
        <v>51.5</v>
      </c>
      <c r="I92" s="83">
        <f t="shared" si="101"/>
        <v>0</v>
      </c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71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</row>
    <row r="93" spans="1:40" ht="15.75" customHeight="1">
      <c r="A93" s="42"/>
      <c r="B93" s="42"/>
      <c r="C93" s="56" t="s">
        <v>234</v>
      </c>
      <c r="D93" s="183"/>
      <c r="E93" s="183"/>
      <c r="F93" s="183"/>
      <c r="G93" s="83">
        <f t="shared" ref="G93:I93" si="102">SUM(G$75:G$84)+(G71-G16)</f>
        <v>259.13483770295568</v>
      </c>
      <c r="H93" s="83">
        <f t="shared" si="102"/>
        <v>813.24503944584649</v>
      </c>
      <c r="I93" s="83">
        <f t="shared" si="102"/>
        <v>1400.7111874606164</v>
      </c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71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</row>
    <row r="94" spans="1:40" ht="15.75" customHeight="1">
      <c r="C94" s="8"/>
      <c r="D94" s="25"/>
      <c r="E94" s="25"/>
      <c r="F94" s="25"/>
      <c r="G94" s="7"/>
      <c r="H94" s="7"/>
      <c r="I94" s="7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171"/>
    </row>
    <row r="95" spans="1:40" ht="15.75" customHeight="1">
      <c r="C95" s="8"/>
      <c r="D95" s="25"/>
      <c r="E95" s="25"/>
      <c r="F95" s="25"/>
      <c r="G95" s="7"/>
      <c r="H95" s="7"/>
      <c r="I95" s="7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171"/>
    </row>
    <row r="96" spans="1:40" ht="15.75" customHeight="1">
      <c r="C96" s="20" t="s">
        <v>235</v>
      </c>
      <c r="T96" s="171"/>
    </row>
    <row r="97" spans="3:20" ht="15.75" customHeight="1">
      <c r="C97" s="3" t="s">
        <v>33</v>
      </c>
      <c r="D97" s="7">
        <f t="shared" ref="D97:I97" si="103">D19-D90</f>
        <v>0</v>
      </c>
      <c r="E97" s="7">
        <f t="shared" si="103"/>
        <v>0</v>
      </c>
      <c r="F97" s="7">
        <f t="shared" si="103"/>
        <v>0</v>
      </c>
      <c r="G97" s="7">
        <f t="shared" si="103"/>
        <v>0</v>
      </c>
      <c r="H97" s="7">
        <f t="shared" si="103"/>
        <v>0</v>
      </c>
      <c r="I97" s="7">
        <f t="shared" si="103"/>
        <v>0</v>
      </c>
      <c r="T97" s="171"/>
    </row>
    <row r="98" spans="3:20" ht="15.75" customHeight="1">
      <c r="C98" s="3" t="s">
        <v>2</v>
      </c>
      <c r="D98" s="25">
        <f t="shared" ref="D98:I98" si="104">D13-D56</f>
        <v>0</v>
      </c>
      <c r="E98" s="25">
        <f t="shared" si="104"/>
        <v>0</v>
      </c>
      <c r="F98" s="25">
        <f t="shared" si="104"/>
        <v>0</v>
      </c>
      <c r="G98" s="25">
        <f t="shared" si="104"/>
        <v>0</v>
      </c>
      <c r="H98" s="25">
        <f t="shared" si="104"/>
        <v>0</v>
      </c>
      <c r="I98" s="25">
        <f t="shared" si="104"/>
        <v>0</v>
      </c>
      <c r="T98" s="171"/>
    </row>
    <row r="99" spans="3:20" ht="15.75" customHeight="1">
      <c r="T99" s="171"/>
    </row>
    <row r="100" spans="3:20" ht="15.75" customHeight="1">
      <c r="G100" s="7"/>
      <c r="H100" s="7"/>
      <c r="I100" s="7"/>
      <c r="J100" s="7"/>
      <c r="T100" s="171"/>
    </row>
    <row r="101" spans="3:20" ht="15.75" customHeight="1">
      <c r="G101" s="7"/>
      <c r="H101" s="7"/>
      <c r="I101" s="7"/>
      <c r="J101" s="7"/>
      <c r="T101" s="171"/>
    </row>
    <row r="102" spans="3:20" ht="15.75" customHeight="1">
      <c r="G102" s="7"/>
      <c r="H102" s="7"/>
      <c r="I102" s="7"/>
      <c r="J102" s="7"/>
      <c r="T102" s="171"/>
    </row>
    <row r="103" spans="3:20" ht="15.75" customHeight="1">
      <c r="G103" s="7"/>
      <c r="H103" s="7"/>
      <c r="I103" s="7"/>
      <c r="J103" s="7"/>
      <c r="T103" s="171"/>
    </row>
    <row r="104" spans="3:20" ht="15.75" customHeight="1">
      <c r="G104" s="7"/>
      <c r="H104" s="7"/>
      <c r="I104" s="7"/>
      <c r="J104" s="7"/>
      <c r="T104" s="171"/>
    </row>
    <row r="105" spans="3:20" ht="15.75" customHeight="1">
      <c r="G105" s="7"/>
      <c r="H105" s="7"/>
      <c r="I105" s="7"/>
      <c r="J105" s="7"/>
      <c r="T105" s="171"/>
    </row>
    <row r="106" spans="3:20" ht="15.75" customHeight="1">
      <c r="G106" s="7"/>
      <c r="H106" s="7"/>
      <c r="I106" s="7"/>
      <c r="J106" s="7"/>
      <c r="T106" s="171"/>
    </row>
    <row r="107" spans="3:20" ht="15.75" customHeight="1">
      <c r="G107" s="7"/>
      <c r="H107" s="7"/>
      <c r="I107" s="7"/>
      <c r="J107" s="7"/>
      <c r="T107" s="171"/>
    </row>
    <row r="108" spans="3:20" ht="15.75" customHeight="1">
      <c r="G108" s="7"/>
      <c r="H108" s="7"/>
      <c r="I108" s="7"/>
      <c r="J108" s="7"/>
      <c r="T108" s="171"/>
    </row>
    <row r="109" spans="3:20" ht="15.75" customHeight="1">
      <c r="T109" s="171"/>
    </row>
    <row r="110" spans="3:20" ht="15.75" customHeight="1">
      <c r="T110" s="171"/>
    </row>
    <row r="111" spans="3:20" ht="15.75" customHeight="1">
      <c r="T111" s="171"/>
    </row>
    <row r="112" spans="3:20" ht="15.75" customHeight="1">
      <c r="T112" s="171"/>
    </row>
    <row r="113" spans="20:20" ht="15.75" customHeight="1">
      <c r="T113" s="171"/>
    </row>
    <row r="114" spans="20:20" ht="15.75" customHeight="1">
      <c r="T114" s="171"/>
    </row>
    <row r="115" spans="20:20" ht="15.75" customHeight="1">
      <c r="T115" s="171"/>
    </row>
    <row r="116" spans="20:20" ht="15.75" customHeight="1">
      <c r="T116" s="171"/>
    </row>
    <row r="117" spans="20:20" ht="15.75" customHeight="1">
      <c r="T117" s="171"/>
    </row>
    <row r="118" spans="20:20" ht="15.75" customHeight="1">
      <c r="T118" s="171"/>
    </row>
    <row r="119" spans="20:20" ht="15.75" customHeight="1">
      <c r="T119" s="171"/>
    </row>
    <row r="120" spans="20:20" ht="15.75" customHeight="1">
      <c r="T120" s="171"/>
    </row>
    <row r="121" spans="20:20" ht="15.75" customHeight="1">
      <c r="T121" s="171"/>
    </row>
    <row r="122" spans="20:20" ht="15.75" customHeight="1">
      <c r="T122" s="171"/>
    </row>
    <row r="123" spans="20:20" ht="15.75" customHeight="1">
      <c r="T123" s="171"/>
    </row>
    <row r="124" spans="20:20" ht="15.75" customHeight="1">
      <c r="T124" s="171"/>
    </row>
    <row r="125" spans="20:20" ht="15.75" customHeight="1">
      <c r="T125" s="171"/>
    </row>
    <row r="126" spans="20:20" ht="15.75" customHeight="1">
      <c r="T126" s="171"/>
    </row>
    <row r="127" spans="20:20" ht="15.75" customHeight="1">
      <c r="T127" s="171"/>
    </row>
    <row r="128" spans="20:20" ht="15.75" customHeight="1">
      <c r="T128" s="171"/>
    </row>
    <row r="129" spans="20:20" ht="15.75" customHeight="1">
      <c r="T129" s="171"/>
    </row>
    <row r="130" spans="20:20" ht="15.75" customHeight="1">
      <c r="T130" s="171"/>
    </row>
    <row r="131" spans="20:20" ht="15.75" customHeight="1">
      <c r="T131" s="171"/>
    </row>
    <row r="132" spans="20:20" ht="15.75" customHeight="1">
      <c r="T132" s="171"/>
    </row>
    <row r="133" spans="20:20" ht="15.75" customHeight="1">
      <c r="T133" s="171"/>
    </row>
    <row r="134" spans="20:20" ht="15.75" customHeight="1">
      <c r="T134" s="171"/>
    </row>
    <row r="135" spans="20:20" ht="15.75" customHeight="1">
      <c r="T135" s="171"/>
    </row>
    <row r="136" spans="20:20" ht="15.75" customHeight="1">
      <c r="T136" s="171"/>
    </row>
    <row r="137" spans="20:20" ht="15.75" customHeight="1">
      <c r="T137" s="171"/>
    </row>
    <row r="138" spans="20:20" ht="15.75" customHeight="1">
      <c r="T138" s="171"/>
    </row>
    <row r="139" spans="20:20" ht="15.75" customHeight="1">
      <c r="T139" s="171"/>
    </row>
    <row r="140" spans="20:20" ht="15.75" customHeight="1">
      <c r="T140" s="171"/>
    </row>
    <row r="141" spans="20:20" ht="15.75" customHeight="1">
      <c r="T141" s="171"/>
    </row>
    <row r="142" spans="20:20" ht="15.75" customHeight="1">
      <c r="T142" s="171"/>
    </row>
    <row r="143" spans="20:20" ht="15.75" customHeight="1">
      <c r="T143" s="171"/>
    </row>
    <row r="144" spans="20:20" ht="15.75" customHeight="1">
      <c r="T144" s="171"/>
    </row>
    <row r="145" spans="20:20" ht="15.75" customHeight="1">
      <c r="T145" s="171"/>
    </row>
    <row r="146" spans="20:20" ht="15.75" customHeight="1">
      <c r="T146" s="171"/>
    </row>
    <row r="147" spans="20:20" ht="15.75" customHeight="1">
      <c r="T147" s="171"/>
    </row>
    <row r="148" spans="20:20" ht="15.75" customHeight="1">
      <c r="T148" s="171"/>
    </row>
    <row r="149" spans="20:20" ht="15.75" customHeight="1">
      <c r="T149" s="171"/>
    </row>
    <row r="150" spans="20:20" ht="15.75" customHeight="1">
      <c r="T150" s="171"/>
    </row>
    <row r="151" spans="20:20" ht="15.75" customHeight="1">
      <c r="T151" s="171"/>
    </row>
    <row r="152" spans="20:20" ht="15.75" customHeight="1">
      <c r="T152" s="171"/>
    </row>
    <row r="153" spans="20:20" ht="15.75" customHeight="1">
      <c r="T153" s="171"/>
    </row>
    <row r="154" spans="20:20" ht="15.75" customHeight="1">
      <c r="T154" s="171"/>
    </row>
    <row r="155" spans="20:20" ht="15.75" customHeight="1">
      <c r="T155" s="171"/>
    </row>
    <row r="156" spans="20:20" ht="15.75" customHeight="1">
      <c r="T156" s="171"/>
    </row>
    <row r="157" spans="20:20" ht="15.75" customHeight="1">
      <c r="T157" s="171"/>
    </row>
    <row r="158" spans="20:20" ht="15.75" customHeight="1">
      <c r="T158" s="171"/>
    </row>
    <row r="159" spans="20:20" ht="15.75" customHeight="1">
      <c r="T159" s="171"/>
    </row>
    <row r="160" spans="20:20" ht="15.75" customHeight="1">
      <c r="T160" s="171"/>
    </row>
    <row r="161" spans="20:20" ht="15.75" customHeight="1">
      <c r="T161" s="171"/>
    </row>
    <row r="162" spans="20:20" ht="15.75" customHeight="1">
      <c r="T162" s="171"/>
    </row>
    <row r="163" spans="20:20" ht="15.75" customHeight="1">
      <c r="T163" s="171"/>
    </row>
    <row r="164" spans="20:20" ht="15.75" customHeight="1">
      <c r="T164" s="171"/>
    </row>
    <row r="165" spans="20:20" ht="15.75" customHeight="1">
      <c r="T165" s="171"/>
    </row>
    <row r="166" spans="20:20" ht="15.75" customHeight="1">
      <c r="T166" s="171"/>
    </row>
    <row r="167" spans="20:20" ht="15.75" customHeight="1">
      <c r="T167" s="171"/>
    </row>
    <row r="168" spans="20:20" ht="15.75" customHeight="1">
      <c r="T168" s="171"/>
    </row>
    <row r="169" spans="20:20" ht="15.75" customHeight="1">
      <c r="T169" s="171"/>
    </row>
    <row r="170" spans="20:20" ht="15.75" customHeight="1">
      <c r="T170" s="171"/>
    </row>
    <row r="171" spans="20:20" ht="15.75" customHeight="1">
      <c r="T171" s="171"/>
    </row>
    <row r="172" spans="20:20" ht="15.75" customHeight="1">
      <c r="T172" s="171"/>
    </row>
    <row r="173" spans="20:20" ht="15.75" customHeight="1">
      <c r="T173" s="171"/>
    </row>
    <row r="174" spans="20:20" ht="15.75" customHeight="1">
      <c r="T174" s="171"/>
    </row>
    <row r="175" spans="20:20" ht="15.75" customHeight="1">
      <c r="T175" s="171"/>
    </row>
    <row r="176" spans="20:20" ht="15.75" customHeight="1">
      <c r="T176" s="171"/>
    </row>
    <row r="177" spans="20:20" ht="15.75" customHeight="1">
      <c r="T177" s="171"/>
    </row>
    <row r="178" spans="20:20" ht="15.75" customHeight="1">
      <c r="T178" s="171"/>
    </row>
    <row r="179" spans="20:20" ht="15.75" customHeight="1">
      <c r="T179" s="171"/>
    </row>
    <row r="180" spans="20:20" ht="15.75" customHeight="1">
      <c r="T180" s="171"/>
    </row>
    <row r="181" spans="20:20" ht="15.75" customHeight="1">
      <c r="T181" s="171"/>
    </row>
    <row r="182" spans="20:20" ht="15.75" customHeight="1">
      <c r="T182" s="171"/>
    </row>
    <row r="183" spans="20:20" ht="15.75" customHeight="1">
      <c r="T183" s="171"/>
    </row>
    <row r="184" spans="20:20" ht="15.75" customHeight="1">
      <c r="T184" s="171"/>
    </row>
    <row r="185" spans="20:20" ht="15.75" customHeight="1">
      <c r="T185" s="171"/>
    </row>
    <row r="186" spans="20:20" ht="15.75" customHeight="1">
      <c r="T186" s="171"/>
    </row>
    <row r="187" spans="20:20" ht="15.75" customHeight="1">
      <c r="T187" s="171"/>
    </row>
    <row r="188" spans="20:20" ht="15.75" customHeight="1">
      <c r="T188" s="171"/>
    </row>
    <row r="189" spans="20:20" ht="15.75" customHeight="1">
      <c r="T189" s="171"/>
    </row>
    <row r="190" spans="20:20" ht="15.75" customHeight="1">
      <c r="T190" s="171"/>
    </row>
    <row r="191" spans="20:20" ht="15.75" customHeight="1">
      <c r="T191" s="171"/>
    </row>
    <row r="192" spans="20:20" ht="15.75" customHeight="1">
      <c r="T192" s="171"/>
    </row>
    <row r="193" spans="20:20" ht="15.75" customHeight="1">
      <c r="T193" s="171"/>
    </row>
    <row r="194" spans="20:20" ht="15.75" customHeight="1">
      <c r="T194" s="171"/>
    </row>
    <row r="195" spans="20:20" ht="15.75" customHeight="1">
      <c r="T195" s="171"/>
    </row>
    <row r="196" spans="20:20" ht="15.75" customHeight="1">
      <c r="T196" s="171"/>
    </row>
    <row r="197" spans="20:20" ht="15.75" customHeight="1">
      <c r="T197" s="171"/>
    </row>
    <row r="198" spans="20:20" ht="15.75" customHeight="1">
      <c r="T198" s="171"/>
    </row>
    <row r="199" spans="20:20" ht="15.75" customHeight="1">
      <c r="T199" s="171"/>
    </row>
    <row r="200" spans="20:20" ht="15.75" customHeight="1">
      <c r="T200" s="171"/>
    </row>
    <row r="201" spans="20:20" ht="15.75" customHeight="1">
      <c r="T201" s="171"/>
    </row>
    <row r="202" spans="20:20" ht="15.75" customHeight="1">
      <c r="T202" s="171"/>
    </row>
    <row r="203" spans="20:20" ht="15.75" customHeight="1">
      <c r="T203" s="171"/>
    </row>
    <row r="204" spans="20:20" ht="15.75" customHeight="1">
      <c r="T204" s="171"/>
    </row>
    <row r="205" spans="20:20" ht="15.75" customHeight="1">
      <c r="T205" s="171"/>
    </row>
    <row r="206" spans="20:20" ht="15.75" customHeight="1">
      <c r="T206" s="171"/>
    </row>
    <row r="207" spans="20:20" ht="15.75" customHeight="1">
      <c r="T207" s="171"/>
    </row>
    <row r="208" spans="20:20" ht="15.75" customHeight="1">
      <c r="T208" s="171"/>
    </row>
    <row r="209" spans="20:20" ht="15.75" customHeight="1">
      <c r="T209" s="171"/>
    </row>
    <row r="210" spans="20:20" ht="15.75" customHeight="1">
      <c r="T210" s="171"/>
    </row>
    <row r="211" spans="20:20" ht="15.75" customHeight="1">
      <c r="T211" s="171"/>
    </row>
    <row r="212" spans="20:20" ht="15.75" customHeight="1">
      <c r="T212" s="171"/>
    </row>
    <row r="213" spans="20:20" ht="15.75" customHeight="1">
      <c r="T213" s="171"/>
    </row>
    <row r="214" spans="20:20" ht="15.75" customHeight="1">
      <c r="T214" s="171"/>
    </row>
    <row r="215" spans="20:20" ht="15.75" customHeight="1">
      <c r="T215" s="171"/>
    </row>
    <row r="216" spans="20:20" ht="15.75" customHeight="1">
      <c r="T216" s="171"/>
    </row>
    <row r="217" spans="20:20" ht="15.75" customHeight="1">
      <c r="T217" s="171"/>
    </row>
    <row r="218" spans="20:20" ht="15.75" customHeight="1">
      <c r="T218" s="171"/>
    </row>
    <row r="219" spans="20:20" ht="15.75" customHeight="1">
      <c r="T219" s="171"/>
    </row>
    <row r="220" spans="20:20" ht="15.75" customHeight="1">
      <c r="T220" s="171"/>
    </row>
    <row r="221" spans="20:20" ht="15.75" customHeight="1">
      <c r="T221" s="171"/>
    </row>
    <row r="222" spans="20:20" ht="15.75" customHeight="1">
      <c r="T222" s="171"/>
    </row>
    <row r="223" spans="20:20" ht="15.75" customHeight="1">
      <c r="T223" s="171"/>
    </row>
    <row r="224" spans="20:20" ht="15.75" customHeight="1">
      <c r="T224" s="171"/>
    </row>
    <row r="225" spans="20:20" ht="15.75" customHeight="1">
      <c r="T225" s="171"/>
    </row>
    <row r="226" spans="20:20" ht="15.75" customHeight="1">
      <c r="T226" s="171"/>
    </row>
    <row r="227" spans="20:20" ht="15.75" customHeight="1">
      <c r="T227" s="171"/>
    </row>
    <row r="228" spans="20:20" ht="15.75" customHeight="1">
      <c r="T228" s="171"/>
    </row>
    <row r="229" spans="20:20" ht="15.75" customHeight="1">
      <c r="T229" s="171"/>
    </row>
    <row r="230" spans="20:20" ht="15.75" customHeight="1">
      <c r="T230" s="171"/>
    </row>
    <row r="231" spans="20:20" ht="15.75" customHeight="1">
      <c r="T231" s="171"/>
    </row>
    <row r="232" spans="20:20" ht="15.75" customHeight="1">
      <c r="T232" s="171"/>
    </row>
    <row r="233" spans="20:20" ht="15.75" customHeight="1">
      <c r="T233" s="171"/>
    </row>
    <row r="234" spans="20:20" ht="15.75" customHeight="1">
      <c r="T234" s="171"/>
    </row>
    <row r="235" spans="20:20" ht="15.75" customHeight="1">
      <c r="T235" s="171"/>
    </row>
    <row r="236" spans="20:20" ht="15.75" customHeight="1">
      <c r="T236" s="171"/>
    </row>
    <row r="237" spans="20:20" ht="15.75" customHeight="1">
      <c r="T237" s="171"/>
    </row>
    <row r="238" spans="20:20" ht="15.75" customHeight="1">
      <c r="T238" s="171"/>
    </row>
    <row r="239" spans="20:20" ht="15.75" customHeight="1">
      <c r="T239" s="171"/>
    </row>
    <row r="240" spans="20:20" ht="15.75" customHeight="1">
      <c r="T240" s="171"/>
    </row>
    <row r="241" spans="20:20" ht="15.75" customHeight="1">
      <c r="T241" s="171"/>
    </row>
    <row r="242" spans="20:20" ht="15.75" customHeight="1">
      <c r="T242" s="171"/>
    </row>
    <row r="243" spans="20:20" ht="15.75" customHeight="1">
      <c r="T243" s="171"/>
    </row>
    <row r="244" spans="20:20" ht="15.75" customHeight="1">
      <c r="T244" s="171"/>
    </row>
    <row r="245" spans="20:20" ht="15.75" customHeight="1">
      <c r="T245" s="171"/>
    </row>
    <row r="246" spans="20:20" ht="15.75" customHeight="1">
      <c r="T246" s="171"/>
    </row>
    <row r="247" spans="20:20" ht="15.75" customHeight="1">
      <c r="T247" s="171"/>
    </row>
    <row r="248" spans="20:20" ht="15.75" customHeight="1">
      <c r="T248" s="171"/>
    </row>
    <row r="249" spans="20:20" ht="15.75" customHeight="1">
      <c r="T249" s="171"/>
    </row>
    <row r="250" spans="20:20" ht="15.75" customHeight="1">
      <c r="T250" s="171"/>
    </row>
    <row r="251" spans="20:20" ht="15.75" customHeight="1">
      <c r="T251" s="171"/>
    </row>
    <row r="252" spans="20:20" ht="15.75" customHeight="1">
      <c r="T252" s="171"/>
    </row>
    <row r="253" spans="20:20" ht="15.75" customHeight="1">
      <c r="T253" s="171"/>
    </row>
    <row r="254" spans="20:20" ht="15.75" customHeight="1">
      <c r="T254" s="171"/>
    </row>
    <row r="255" spans="20:20" ht="15.75" customHeight="1">
      <c r="T255" s="171"/>
    </row>
    <row r="256" spans="20:20" ht="15.75" customHeight="1">
      <c r="T256" s="171"/>
    </row>
    <row r="257" spans="20:20" ht="15.75" customHeight="1">
      <c r="T257" s="171"/>
    </row>
    <row r="258" spans="20:20" ht="15.75" customHeight="1">
      <c r="T258" s="171"/>
    </row>
    <row r="259" spans="20:20" ht="15.75" customHeight="1">
      <c r="T259" s="171"/>
    </row>
    <row r="260" spans="20:20" ht="15.75" customHeight="1">
      <c r="T260" s="171"/>
    </row>
    <row r="261" spans="20:20" ht="15.75" customHeight="1">
      <c r="T261" s="171"/>
    </row>
    <row r="262" spans="20:20" ht="15.75" customHeight="1">
      <c r="T262" s="171"/>
    </row>
    <row r="263" spans="20:20" ht="15.75" customHeight="1">
      <c r="T263" s="171"/>
    </row>
    <row r="264" spans="20:20" ht="15.75" customHeight="1">
      <c r="T264" s="171"/>
    </row>
    <row r="265" spans="20:20" ht="15.75" customHeight="1">
      <c r="T265" s="171"/>
    </row>
    <row r="266" spans="20:20" ht="15.75" customHeight="1">
      <c r="T266" s="171"/>
    </row>
    <row r="267" spans="20:20" ht="15.75" customHeight="1">
      <c r="T267" s="171"/>
    </row>
    <row r="268" spans="20:20" ht="15.75" customHeight="1">
      <c r="T268" s="171"/>
    </row>
    <row r="269" spans="20:20" ht="15.75" customHeight="1">
      <c r="T269" s="171"/>
    </row>
    <row r="270" spans="20:20" ht="15.75" customHeight="1">
      <c r="T270" s="171"/>
    </row>
    <row r="271" spans="20:20" ht="15.75" customHeight="1">
      <c r="T271" s="171"/>
    </row>
    <row r="272" spans="20:20" ht="15.75" customHeight="1">
      <c r="T272" s="171"/>
    </row>
    <row r="273" spans="20:20" ht="15.75" customHeight="1">
      <c r="T273" s="171"/>
    </row>
    <row r="274" spans="20:20" ht="15.75" customHeight="1">
      <c r="T274" s="171"/>
    </row>
    <row r="275" spans="20:20" ht="15.75" customHeight="1">
      <c r="T275" s="171"/>
    </row>
    <row r="276" spans="20:20" ht="15.75" customHeight="1">
      <c r="T276" s="171"/>
    </row>
    <row r="277" spans="20:20" ht="15.75" customHeight="1">
      <c r="T277" s="171"/>
    </row>
    <row r="278" spans="20:20" ht="15.75" customHeight="1">
      <c r="T278" s="171"/>
    </row>
    <row r="279" spans="20:20" ht="15.75" customHeight="1">
      <c r="T279" s="171"/>
    </row>
    <row r="280" spans="20:20" ht="15.75" customHeight="1">
      <c r="T280" s="171"/>
    </row>
    <row r="281" spans="20:20" ht="15.75" customHeight="1">
      <c r="T281" s="171"/>
    </row>
    <row r="282" spans="20:20" ht="15.75" customHeight="1">
      <c r="T282" s="171"/>
    </row>
    <row r="283" spans="20:20" ht="15.75" customHeight="1">
      <c r="T283" s="171"/>
    </row>
    <row r="284" spans="20:20" ht="15.75" customHeight="1">
      <c r="T284" s="171"/>
    </row>
    <row r="285" spans="20:20" ht="15.75" customHeight="1">
      <c r="T285" s="171"/>
    </row>
    <row r="286" spans="20:20" ht="15.75" customHeight="1">
      <c r="T286" s="171"/>
    </row>
    <row r="287" spans="20:20" ht="15.75" customHeight="1">
      <c r="T287" s="171"/>
    </row>
    <row r="288" spans="20:20" ht="15.75" customHeight="1">
      <c r="T288" s="171"/>
    </row>
    <row r="289" spans="20:20" ht="15.75" customHeight="1">
      <c r="T289" s="171"/>
    </row>
    <row r="290" spans="20:20" ht="15.75" customHeight="1">
      <c r="T290" s="171"/>
    </row>
    <row r="291" spans="20:20" ht="15.75" customHeight="1">
      <c r="T291" s="171"/>
    </row>
    <row r="292" spans="20:20" ht="15.75" customHeight="1">
      <c r="T292" s="171"/>
    </row>
    <row r="293" spans="20:20" ht="15.75" customHeight="1">
      <c r="T293" s="171"/>
    </row>
    <row r="294" spans="20:20" ht="15.75" customHeight="1">
      <c r="T294" s="171"/>
    </row>
    <row r="295" spans="20:20" ht="15.75" customHeight="1">
      <c r="T295" s="171"/>
    </row>
    <row r="296" spans="20:20" ht="15.75" customHeight="1">
      <c r="T296" s="171"/>
    </row>
    <row r="297" spans="20:20" ht="15.75" customHeight="1">
      <c r="T297" s="171"/>
    </row>
    <row r="298" spans="20:20" ht="15.75" customHeight="1">
      <c r="T298" s="171"/>
    </row>
    <row r="299" spans="20:20" ht="15.75" customHeight="1">
      <c r="T299" s="171"/>
    </row>
    <row r="300" spans="20:20" ht="15.75" customHeight="1">
      <c r="T300" s="171"/>
    </row>
    <row r="301" spans="20:20" ht="15.75" customHeight="1">
      <c r="T301" s="171"/>
    </row>
    <row r="302" spans="20:20" ht="15.75" customHeight="1">
      <c r="T302" s="171"/>
    </row>
    <row r="303" spans="20:20" ht="15.75" customHeight="1">
      <c r="T303" s="171"/>
    </row>
    <row r="304" spans="20:20" ht="15.75" customHeight="1">
      <c r="T304" s="171"/>
    </row>
    <row r="305" spans="20:20" ht="15.75" customHeight="1">
      <c r="T305" s="171"/>
    </row>
    <row r="306" spans="20:20" ht="15.75" customHeight="1">
      <c r="T306" s="171"/>
    </row>
    <row r="307" spans="20:20" ht="15.75" customHeight="1">
      <c r="T307" s="171"/>
    </row>
    <row r="308" spans="20:20" ht="15.75" customHeight="1">
      <c r="T308" s="171"/>
    </row>
    <row r="309" spans="20:20" ht="15.75" customHeight="1">
      <c r="T309" s="171"/>
    </row>
    <row r="310" spans="20:20" ht="15.75" customHeight="1">
      <c r="T310" s="171"/>
    </row>
    <row r="311" spans="20:20" ht="15.75" customHeight="1">
      <c r="T311" s="171"/>
    </row>
    <row r="312" spans="20:20" ht="15.75" customHeight="1">
      <c r="T312" s="171"/>
    </row>
    <row r="313" spans="20:20" ht="15.75" customHeight="1">
      <c r="T313" s="171"/>
    </row>
    <row r="314" spans="20:20" ht="15.75" customHeight="1">
      <c r="T314" s="171"/>
    </row>
    <row r="315" spans="20:20" ht="15.75" customHeight="1">
      <c r="T315" s="171"/>
    </row>
    <row r="316" spans="20:20" ht="15.75" customHeight="1">
      <c r="T316" s="171"/>
    </row>
    <row r="317" spans="20:20" ht="15.75" customHeight="1">
      <c r="T317" s="171"/>
    </row>
    <row r="318" spans="20:20" ht="15.75" customHeight="1">
      <c r="T318" s="171"/>
    </row>
    <row r="319" spans="20:20" ht="15.75" customHeight="1">
      <c r="T319" s="171"/>
    </row>
    <row r="320" spans="20:20" ht="15.75" customHeight="1">
      <c r="T320" s="171"/>
    </row>
    <row r="321" spans="20:20" ht="15.75" customHeight="1">
      <c r="T321" s="171"/>
    </row>
    <row r="322" spans="20:20" ht="15.75" customHeight="1">
      <c r="T322" s="171"/>
    </row>
    <row r="323" spans="20:20" ht="15.75" customHeight="1">
      <c r="T323" s="171"/>
    </row>
    <row r="324" spans="20:20" ht="15.75" customHeight="1">
      <c r="T324" s="171"/>
    </row>
    <row r="325" spans="20:20" ht="15.75" customHeight="1">
      <c r="T325" s="171"/>
    </row>
    <row r="326" spans="20:20" ht="15.75" customHeight="1">
      <c r="T326" s="171"/>
    </row>
    <row r="327" spans="20:20" ht="15.75" customHeight="1">
      <c r="T327" s="171"/>
    </row>
    <row r="328" spans="20:20" ht="15.75" customHeight="1">
      <c r="T328" s="171"/>
    </row>
    <row r="329" spans="20:20" ht="15.75" customHeight="1">
      <c r="T329" s="171"/>
    </row>
    <row r="330" spans="20:20" ht="15.75" customHeight="1">
      <c r="T330" s="171"/>
    </row>
    <row r="331" spans="20:20" ht="15.75" customHeight="1">
      <c r="T331" s="171"/>
    </row>
    <row r="332" spans="20:20" ht="15.75" customHeight="1">
      <c r="T332" s="171"/>
    </row>
    <row r="333" spans="20:20" ht="15.75" customHeight="1">
      <c r="T333" s="171"/>
    </row>
    <row r="334" spans="20:20" ht="15.75" customHeight="1">
      <c r="T334" s="171"/>
    </row>
    <row r="335" spans="20:20" ht="15.75" customHeight="1">
      <c r="T335" s="171"/>
    </row>
    <row r="336" spans="20:20" ht="15.75" customHeight="1">
      <c r="T336" s="171"/>
    </row>
    <row r="337" spans="20:20" ht="15.75" customHeight="1">
      <c r="T337" s="171"/>
    </row>
    <row r="338" spans="20:20" ht="15.75" customHeight="1">
      <c r="T338" s="171"/>
    </row>
    <row r="339" spans="20:20" ht="15.75" customHeight="1">
      <c r="T339" s="171"/>
    </row>
    <row r="340" spans="20:20" ht="15.75" customHeight="1">
      <c r="T340" s="171"/>
    </row>
    <row r="341" spans="20:20" ht="15.75" customHeight="1">
      <c r="T341" s="171"/>
    </row>
    <row r="342" spans="20:20" ht="15.75" customHeight="1">
      <c r="T342" s="171"/>
    </row>
    <row r="343" spans="20:20" ht="15.75" customHeight="1">
      <c r="T343" s="171"/>
    </row>
    <row r="344" spans="20:20" ht="15.75" customHeight="1">
      <c r="T344" s="171"/>
    </row>
    <row r="345" spans="20:20" ht="15.75" customHeight="1">
      <c r="T345" s="171"/>
    </row>
    <row r="346" spans="20:20" ht="15.75" customHeight="1">
      <c r="T346" s="171"/>
    </row>
    <row r="347" spans="20:20" ht="15.75" customHeight="1">
      <c r="T347" s="171"/>
    </row>
    <row r="348" spans="20:20" ht="15.75" customHeight="1">
      <c r="T348" s="171"/>
    </row>
    <row r="349" spans="20:20" ht="15.75" customHeight="1">
      <c r="T349" s="171"/>
    </row>
    <row r="350" spans="20:20" ht="15.75" customHeight="1">
      <c r="T350" s="171"/>
    </row>
    <row r="351" spans="20:20" ht="15.75" customHeight="1">
      <c r="T351" s="171"/>
    </row>
    <row r="352" spans="20:20" ht="15.75" customHeight="1">
      <c r="T352" s="171"/>
    </row>
    <row r="353" spans="20:20" ht="15.75" customHeight="1">
      <c r="T353" s="171"/>
    </row>
    <row r="354" spans="20:20" ht="15.75" customHeight="1">
      <c r="T354" s="171"/>
    </row>
    <row r="355" spans="20:20" ht="15.75" customHeight="1">
      <c r="T355" s="171"/>
    </row>
    <row r="356" spans="20:20" ht="15.75" customHeight="1">
      <c r="T356" s="171"/>
    </row>
    <row r="357" spans="20:20" ht="15.75" customHeight="1">
      <c r="T357" s="171"/>
    </row>
    <row r="358" spans="20:20" ht="15.75" customHeight="1">
      <c r="T358" s="171"/>
    </row>
    <row r="359" spans="20:20" ht="15.75" customHeight="1">
      <c r="T359" s="171"/>
    </row>
    <row r="360" spans="20:20" ht="15.75" customHeight="1">
      <c r="T360" s="171"/>
    </row>
    <row r="361" spans="20:20" ht="15.75" customHeight="1">
      <c r="T361" s="171"/>
    </row>
    <row r="362" spans="20:20" ht="15.75" customHeight="1">
      <c r="T362" s="171"/>
    </row>
    <row r="363" spans="20:20" ht="15.75" customHeight="1">
      <c r="T363" s="171"/>
    </row>
    <row r="364" spans="20:20" ht="15.75" customHeight="1">
      <c r="T364" s="171"/>
    </row>
    <row r="365" spans="20:20" ht="15.75" customHeight="1">
      <c r="T365" s="171"/>
    </row>
    <row r="366" spans="20:20" ht="15.75" customHeight="1">
      <c r="T366" s="171"/>
    </row>
    <row r="367" spans="20:20" ht="15.75" customHeight="1">
      <c r="T367" s="171"/>
    </row>
    <row r="368" spans="20:20" ht="15.75" customHeight="1">
      <c r="T368" s="171"/>
    </row>
    <row r="369" spans="20:20" ht="15.75" customHeight="1">
      <c r="T369" s="171"/>
    </row>
    <row r="370" spans="20:20" ht="15.75" customHeight="1">
      <c r="T370" s="171"/>
    </row>
    <row r="371" spans="20:20" ht="15.75" customHeight="1">
      <c r="T371" s="171"/>
    </row>
    <row r="372" spans="20:20" ht="15.75" customHeight="1">
      <c r="T372" s="171"/>
    </row>
    <row r="373" spans="20:20" ht="15.75" customHeight="1">
      <c r="T373" s="171"/>
    </row>
    <row r="374" spans="20:20" ht="15.75" customHeight="1">
      <c r="T374" s="171"/>
    </row>
    <row r="375" spans="20:20" ht="15.75" customHeight="1">
      <c r="T375" s="171"/>
    </row>
    <row r="376" spans="20:20" ht="15.75" customHeight="1">
      <c r="T376" s="171"/>
    </row>
    <row r="377" spans="20:20" ht="15.75" customHeight="1">
      <c r="T377" s="171"/>
    </row>
    <row r="378" spans="20:20" ht="15.75" customHeight="1">
      <c r="T378" s="171"/>
    </row>
    <row r="379" spans="20:20" ht="15.75" customHeight="1">
      <c r="T379" s="171"/>
    </row>
    <row r="380" spans="20:20" ht="15.75" customHeight="1">
      <c r="T380" s="171"/>
    </row>
    <row r="381" spans="20:20" ht="15.75" customHeight="1">
      <c r="T381" s="171"/>
    </row>
    <row r="382" spans="20:20" ht="15.75" customHeight="1">
      <c r="T382" s="171"/>
    </row>
    <row r="383" spans="20:20" ht="15.75" customHeight="1">
      <c r="T383" s="171"/>
    </row>
    <row r="384" spans="20:20" ht="15.75" customHeight="1">
      <c r="T384" s="171"/>
    </row>
    <row r="385" spans="20:20" ht="15.75" customHeight="1">
      <c r="T385" s="171"/>
    </row>
    <row r="386" spans="20:20" ht="15.75" customHeight="1">
      <c r="T386" s="171"/>
    </row>
    <row r="387" spans="20:20" ht="15.75" customHeight="1">
      <c r="T387" s="171"/>
    </row>
    <row r="388" spans="20:20" ht="15.75" customHeight="1">
      <c r="T388" s="171"/>
    </row>
    <row r="389" spans="20:20" ht="15.75" customHeight="1">
      <c r="T389" s="171"/>
    </row>
    <row r="390" spans="20:20" ht="15.75" customHeight="1">
      <c r="T390" s="171"/>
    </row>
    <row r="391" spans="20:20" ht="15.75" customHeight="1">
      <c r="T391" s="171"/>
    </row>
    <row r="392" spans="20:20" ht="15.75" customHeight="1">
      <c r="T392" s="171"/>
    </row>
    <row r="393" spans="20:20" ht="15.75" customHeight="1">
      <c r="T393" s="171"/>
    </row>
    <row r="394" spans="20:20" ht="15.75" customHeight="1">
      <c r="T394" s="171"/>
    </row>
    <row r="395" spans="20:20" ht="15.75" customHeight="1">
      <c r="T395" s="171"/>
    </row>
    <row r="396" spans="20:20" ht="15.75" customHeight="1">
      <c r="T396" s="171"/>
    </row>
    <row r="397" spans="20:20" ht="15.75" customHeight="1">
      <c r="T397" s="171"/>
    </row>
    <row r="398" spans="20:20" ht="15.75" customHeight="1">
      <c r="T398" s="171"/>
    </row>
    <row r="399" spans="20:20" ht="15.75" customHeight="1">
      <c r="T399" s="171"/>
    </row>
    <row r="400" spans="20:20" ht="15.75" customHeight="1">
      <c r="T400" s="171"/>
    </row>
    <row r="401" spans="20:20" ht="15.75" customHeight="1">
      <c r="T401" s="171"/>
    </row>
    <row r="402" spans="20:20" ht="15.75" customHeight="1">
      <c r="T402" s="171"/>
    </row>
    <row r="403" spans="20:20" ht="15.75" customHeight="1">
      <c r="T403" s="171"/>
    </row>
    <row r="404" spans="20:20" ht="15.75" customHeight="1">
      <c r="T404" s="171"/>
    </row>
    <row r="405" spans="20:20" ht="15.75" customHeight="1">
      <c r="T405" s="171"/>
    </row>
    <row r="406" spans="20:20" ht="15.75" customHeight="1">
      <c r="T406" s="171"/>
    </row>
    <row r="407" spans="20:20" ht="15.75" customHeight="1">
      <c r="T407" s="171"/>
    </row>
    <row r="408" spans="20:20" ht="15.75" customHeight="1">
      <c r="T408" s="171"/>
    </row>
    <row r="409" spans="20:20" ht="15.75" customHeight="1">
      <c r="T409" s="171"/>
    </row>
    <row r="410" spans="20:20" ht="15.75" customHeight="1">
      <c r="T410" s="171"/>
    </row>
    <row r="411" spans="20:20" ht="15.75" customHeight="1">
      <c r="T411" s="171"/>
    </row>
    <row r="412" spans="20:20" ht="15.75" customHeight="1">
      <c r="T412" s="171"/>
    </row>
    <row r="413" spans="20:20" ht="15.75" customHeight="1">
      <c r="T413" s="171"/>
    </row>
    <row r="414" spans="20:20" ht="15.75" customHeight="1">
      <c r="T414" s="171"/>
    </row>
    <row r="415" spans="20:20" ht="15.75" customHeight="1">
      <c r="T415" s="171"/>
    </row>
    <row r="416" spans="20:20" ht="15.75" customHeight="1">
      <c r="T416" s="171"/>
    </row>
    <row r="417" spans="20:20" ht="15.75" customHeight="1">
      <c r="T417" s="171"/>
    </row>
    <row r="418" spans="20:20" ht="15.75" customHeight="1">
      <c r="T418" s="171"/>
    </row>
    <row r="419" spans="20:20" ht="15.75" customHeight="1">
      <c r="T419" s="171"/>
    </row>
    <row r="420" spans="20:20" ht="15.75" customHeight="1">
      <c r="T420" s="171"/>
    </row>
    <row r="421" spans="20:20" ht="15.75" customHeight="1">
      <c r="T421" s="171"/>
    </row>
    <row r="422" spans="20:20" ht="15.75" customHeight="1">
      <c r="T422" s="171"/>
    </row>
    <row r="423" spans="20:20" ht="15.75" customHeight="1">
      <c r="T423" s="171"/>
    </row>
    <row r="424" spans="20:20" ht="15.75" customHeight="1">
      <c r="T424" s="171"/>
    </row>
    <row r="425" spans="20:20" ht="15.75" customHeight="1">
      <c r="T425" s="171"/>
    </row>
    <row r="426" spans="20:20" ht="15.75" customHeight="1">
      <c r="T426" s="171"/>
    </row>
    <row r="427" spans="20:20" ht="15.75" customHeight="1">
      <c r="T427" s="171"/>
    </row>
    <row r="428" spans="20:20" ht="15.75" customHeight="1">
      <c r="T428" s="171"/>
    </row>
    <row r="429" spans="20:20" ht="15.75" customHeight="1">
      <c r="T429" s="171"/>
    </row>
    <row r="430" spans="20:20" ht="15.75" customHeight="1">
      <c r="T430" s="171"/>
    </row>
    <row r="431" spans="20:20" ht="15.75" customHeight="1">
      <c r="T431" s="171"/>
    </row>
    <row r="432" spans="20:20" ht="15.75" customHeight="1">
      <c r="T432" s="171"/>
    </row>
    <row r="433" spans="20:20" ht="15.75" customHeight="1">
      <c r="T433" s="171"/>
    </row>
    <row r="434" spans="20:20" ht="15.75" customHeight="1">
      <c r="T434" s="171"/>
    </row>
    <row r="435" spans="20:20" ht="15.75" customHeight="1">
      <c r="T435" s="171"/>
    </row>
    <row r="436" spans="20:20" ht="15.75" customHeight="1">
      <c r="T436" s="171"/>
    </row>
    <row r="437" spans="20:20" ht="15.75" customHeight="1">
      <c r="T437" s="171"/>
    </row>
    <row r="438" spans="20:20" ht="15.75" customHeight="1">
      <c r="T438" s="171"/>
    </row>
    <row r="439" spans="20:20" ht="15.75" customHeight="1">
      <c r="T439" s="171"/>
    </row>
    <row r="440" spans="20:20" ht="15.75" customHeight="1">
      <c r="T440" s="171"/>
    </row>
    <row r="441" spans="20:20" ht="15.75" customHeight="1">
      <c r="T441" s="171"/>
    </row>
    <row r="442" spans="20:20" ht="15.75" customHeight="1">
      <c r="T442" s="171"/>
    </row>
    <row r="443" spans="20:20" ht="15.75" customHeight="1">
      <c r="T443" s="171"/>
    </row>
    <row r="444" spans="20:20" ht="15.75" customHeight="1">
      <c r="T444" s="171"/>
    </row>
    <row r="445" spans="20:20" ht="15.75" customHeight="1">
      <c r="T445" s="171"/>
    </row>
    <row r="446" spans="20:20" ht="15.75" customHeight="1">
      <c r="T446" s="171"/>
    </row>
    <row r="447" spans="20:20" ht="15.75" customHeight="1">
      <c r="T447" s="171"/>
    </row>
    <row r="448" spans="20:20" ht="15.75" customHeight="1">
      <c r="T448" s="171"/>
    </row>
    <row r="449" spans="20:20" ht="15.75" customHeight="1">
      <c r="T449" s="171"/>
    </row>
    <row r="450" spans="20:20" ht="15.75" customHeight="1">
      <c r="T450" s="171"/>
    </row>
    <row r="451" spans="20:20" ht="15.75" customHeight="1">
      <c r="T451" s="171"/>
    </row>
    <row r="452" spans="20:20" ht="15.75" customHeight="1">
      <c r="T452" s="171"/>
    </row>
    <row r="453" spans="20:20" ht="15.75" customHeight="1">
      <c r="T453" s="171"/>
    </row>
    <row r="454" spans="20:20" ht="15.75" customHeight="1">
      <c r="T454" s="171"/>
    </row>
    <row r="455" spans="20:20" ht="15.75" customHeight="1">
      <c r="T455" s="171"/>
    </row>
    <row r="456" spans="20:20" ht="15.75" customHeight="1">
      <c r="T456" s="171"/>
    </row>
    <row r="457" spans="20:20" ht="15.75" customHeight="1">
      <c r="T457" s="171"/>
    </row>
    <row r="458" spans="20:20" ht="15.75" customHeight="1">
      <c r="T458" s="171"/>
    </row>
    <row r="459" spans="20:20" ht="15.75" customHeight="1">
      <c r="T459" s="171"/>
    </row>
    <row r="460" spans="20:20" ht="15.75" customHeight="1">
      <c r="T460" s="171"/>
    </row>
    <row r="461" spans="20:20" ht="15.75" customHeight="1">
      <c r="T461" s="171"/>
    </row>
    <row r="462" spans="20:20" ht="15.75" customHeight="1">
      <c r="T462" s="171"/>
    </row>
    <row r="463" spans="20:20" ht="15.75" customHeight="1">
      <c r="T463" s="171"/>
    </row>
    <row r="464" spans="20:20" ht="15.75" customHeight="1">
      <c r="T464" s="171"/>
    </row>
    <row r="465" spans="20:20" ht="15.75" customHeight="1">
      <c r="T465" s="171"/>
    </row>
    <row r="466" spans="20:20" ht="15.75" customHeight="1">
      <c r="T466" s="171"/>
    </row>
    <row r="467" spans="20:20" ht="15.75" customHeight="1">
      <c r="T467" s="171"/>
    </row>
    <row r="468" spans="20:20" ht="15.75" customHeight="1">
      <c r="T468" s="171"/>
    </row>
    <row r="469" spans="20:20" ht="15.75" customHeight="1">
      <c r="T469" s="171"/>
    </row>
    <row r="470" spans="20:20" ht="15.75" customHeight="1">
      <c r="T470" s="171"/>
    </row>
    <row r="471" spans="20:20" ht="15.75" customHeight="1">
      <c r="T471" s="171"/>
    </row>
    <row r="472" spans="20:20" ht="15.75" customHeight="1">
      <c r="T472" s="171"/>
    </row>
    <row r="473" spans="20:20" ht="15.75" customHeight="1">
      <c r="T473" s="171"/>
    </row>
    <row r="474" spans="20:20" ht="15.75" customHeight="1">
      <c r="T474" s="171"/>
    </row>
    <row r="475" spans="20:20" ht="15.75" customHeight="1">
      <c r="T475" s="171"/>
    </row>
    <row r="476" spans="20:20" ht="15.75" customHeight="1">
      <c r="T476" s="171"/>
    </row>
    <row r="477" spans="20:20" ht="15.75" customHeight="1">
      <c r="T477" s="171"/>
    </row>
    <row r="478" spans="20:20" ht="15.75" customHeight="1">
      <c r="T478" s="171"/>
    </row>
    <row r="479" spans="20:20" ht="15.75" customHeight="1">
      <c r="T479" s="171"/>
    </row>
    <row r="480" spans="20:20" ht="15.75" customHeight="1">
      <c r="T480" s="171"/>
    </row>
    <row r="481" spans="20:20" ht="15.75" customHeight="1">
      <c r="T481" s="171"/>
    </row>
    <row r="482" spans="20:20" ht="15.75" customHeight="1">
      <c r="T482" s="171"/>
    </row>
    <row r="483" spans="20:20" ht="15.75" customHeight="1">
      <c r="T483" s="171"/>
    </row>
    <row r="484" spans="20:20" ht="15.75" customHeight="1">
      <c r="T484" s="171"/>
    </row>
    <row r="485" spans="20:20" ht="15.75" customHeight="1">
      <c r="T485" s="171"/>
    </row>
    <row r="486" spans="20:20" ht="15.75" customHeight="1">
      <c r="T486" s="171"/>
    </row>
    <row r="487" spans="20:20" ht="15.75" customHeight="1">
      <c r="T487" s="171"/>
    </row>
    <row r="488" spans="20:20" ht="15.75" customHeight="1">
      <c r="T488" s="171"/>
    </row>
    <row r="489" spans="20:20" ht="15.75" customHeight="1">
      <c r="T489" s="171"/>
    </row>
    <row r="490" spans="20:20" ht="15.75" customHeight="1">
      <c r="T490" s="171"/>
    </row>
    <row r="491" spans="20:20" ht="15.75" customHeight="1">
      <c r="T491" s="171"/>
    </row>
    <row r="492" spans="20:20" ht="15.75" customHeight="1">
      <c r="T492" s="171"/>
    </row>
    <row r="493" spans="20:20" ht="15.75" customHeight="1">
      <c r="T493" s="171"/>
    </row>
    <row r="494" spans="20:20" ht="15.75" customHeight="1">
      <c r="T494" s="171"/>
    </row>
    <row r="495" spans="20:20" ht="15.75" customHeight="1">
      <c r="T495" s="171"/>
    </row>
    <row r="496" spans="20:20" ht="15.75" customHeight="1">
      <c r="T496" s="171"/>
    </row>
    <row r="497" spans="20:20" ht="15.75" customHeight="1">
      <c r="T497" s="171"/>
    </row>
    <row r="498" spans="20:20" ht="15.75" customHeight="1">
      <c r="T498" s="171"/>
    </row>
    <row r="499" spans="20:20" ht="15.75" customHeight="1">
      <c r="T499" s="171"/>
    </row>
    <row r="500" spans="20:20" ht="15.75" customHeight="1">
      <c r="T500" s="171"/>
    </row>
    <row r="501" spans="20:20" ht="15.75" customHeight="1">
      <c r="T501" s="171"/>
    </row>
    <row r="502" spans="20:20" ht="15.75" customHeight="1">
      <c r="T502" s="171"/>
    </row>
    <row r="503" spans="20:20" ht="15.75" customHeight="1">
      <c r="T503" s="171"/>
    </row>
    <row r="504" spans="20:20" ht="15.75" customHeight="1">
      <c r="T504" s="171"/>
    </row>
    <row r="505" spans="20:20" ht="15.75" customHeight="1">
      <c r="T505" s="171"/>
    </row>
    <row r="506" spans="20:20" ht="15.75" customHeight="1">
      <c r="T506" s="171"/>
    </row>
    <row r="507" spans="20:20" ht="15.75" customHeight="1">
      <c r="T507" s="171"/>
    </row>
    <row r="508" spans="20:20" ht="15.75" customHeight="1">
      <c r="T508" s="171"/>
    </row>
    <row r="509" spans="20:20" ht="15.75" customHeight="1">
      <c r="T509" s="171"/>
    </row>
    <row r="510" spans="20:20" ht="15.75" customHeight="1">
      <c r="T510" s="171"/>
    </row>
    <row r="511" spans="20:20" ht="15.75" customHeight="1">
      <c r="T511" s="171"/>
    </row>
    <row r="512" spans="20:20" ht="15.75" customHeight="1">
      <c r="T512" s="171"/>
    </row>
    <row r="513" spans="20:20" ht="15.75" customHeight="1">
      <c r="T513" s="171"/>
    </row>
    <row r="514" spans="20:20" ht="15.75" customHeight="1">
      <c r="T514" s="171"/>
    </row>
    <row r="515" spans="20:20" ht="15.75" customHeight="1">
      <c r="T515" s="171"/>
    </row>
    <row r="516" spans="20:20" ht="15.75" customHeight="1">
      <c r="T516" s="171"/>
    </row>
    <row r="517" spans="20:20" ht="15.75" customHeight="1">
      <c r="T517" s="171"/>
    </row>
    <row r="518" spans="20:20" ht="15.75" customHeight="1">
      <c r="T518" s="171"/>
    </row>
    <row r="519" spans="20:20" ht="15.75" customHeight="1">
      <c r="T519" s="171"/>
    </row>
    <row r="520" spans="20:20" ht="15.75" customHeight="1">
      <c r="T520" s="171"/>
    </row>
    <row r="521" spans="20:20" ht="15.75" customHeight="1">
      <c r="T521" s="171"/>
    </row>
    <row r="522" spans="20:20" ht="15.75" customHeight="1">
      <c r="T522" s="171"/>
    </row>
    <row r="523" spans="20:20" ht="15.75" customHeight="1">
      <c r="T523" s="171"/>
    </row>
    <row r="524" spans="20:20" ht="15.75" customHeight="1">
      <c r="T524" s="171"/>
    </row>
    <row r="525" spans="20:20" ht="15.75" customHeight="1">
      <c r="T525" s="171"/>
    </row>
    <row r="526" spans="20:20" ht="15.75" customHeight="1">
      <c r="T526" s="171"/>
    </row>
    <row r="527" spans="20:20" ht="15.75" customHeight="1">
      <c r="T527" s="171"/>
    </row>
    <row r="528" spans="20:20" ht="15.75" customHeight="1">
      <c r="T528" s="171"/>
    </row>
    <row r="529" spans="20:20" ht="15.75" customHeight="1">
      <c r="T529" s="171"/>
    </row>
    <row r="530" spans="20:20" ht="15.75" customHeight="1">
      <c r="T530" s="171"/>
    </row>
    <row r="531" spans="20:20" ht="15.75" customHeight="1">
      <c r="T531" s="171"/>
    </row>
    <row r="532" spans="20:20" ht="15.75" customHeight="1">
      <c r="T532" s="171"/>
    </row>
    <row r="533" spans="20:20" ht="15.75" customHeight="1">
      <c r="T533" s="171"/>
    </row>
    <row r="534" spans="20:20" ht="15.75" customHeight="1">
      <c r="T534" s="171"/>
    </row>
    <row r="535" spans="20:20" ht="15.75" customHeight="1">
      <c r="T535" s="171"/>
    </row>
    <row r="536" spans="20:20" ht="15.75" customHeight="1">
      <c r="T536" s="171"/>
    </row>
    <row r="537" spans="20:20" ht="15.75" customHeight="1">
      <c r="T537" s="171"/>
    </row>
    <row r="538" spans="20:20" ht="15.75" customHeight="1">
      <c r="T538" s="171"/>
    </row>
    <row r="539" spans="20:20" ht="15.75" customHeight="1">
      <c r="T539" s="171"/>
    </row>
    <row r="540" spans="20:20" ht="15.75" customHeight="1">
      <c r="T540" s="171"/>
    </row>
    <row r="541" spans="20:20" ht="15.75" customHeight="1">
      <c r="T541" s="171"/>
    </row>
    <row r="542" spans="20:20" ht="15.75" customHeight="1">
      <c r="T542" s="171"/>
    </row>
    <row r="543" spans="20:20" ht="15.75" customHeight="1">
      <c r="T543" s="171"/>
    </row>
    <row r="544" spans="20:20" ht="15.75" customHeight="1">
      <c r="T544" s="171"/>
    </row>
    <row r="545" spans="20:20" ht="15.75" customHeight="1">
      <c r="T545" s="171"/>
    </row>
    <row r="546" spans="20:20" ht="15.75" customHeight="1">
      <c r="T546" s="171"/>
    </row>
    <row r="547" spans="20:20" ht="15.75" customHeight="1">
      <c r="T547" s="171"/>
    </row>
    <row r="548" spans="20:20" ht="15.75" customHeight="1">
      <c r="T548" s="171"/>
    </row>
    <row r="549" spans="20:20" ht="15.75" customHeight="1">
      <c r="T549" s="171"/>
    </row>
    <row r="550" spans="20:20" ht="15.75" customHeight="1">
      <c r="T550" s="171"/>
    </row>
    <row r="551" spans="20:20" ht="15.75" customHeight="1">
      <c r="T551" s="171"/>
    </row>
    <row r="552" spans="20:20" ht="15.75" customHeight="1">
      <c r="T552" s="171"/>
    </row>
    <row r="553" spans="20:20" ht="15.75" customHeight="1">
      <c r="T553" s="171"/>
    </row>
    <row r="554" spans="20:20" ht="15.75" customHeight="1">
      <c r="T554" s="171"/>
    </row>
    <row r="555" spans="20:20" ht="15.75" customHeight="1">
      <c r="T555" s="171"/>
    </row>
    <row r="556" spans="20:20" ht="15.75" customHeight="1">
      <c r="T556" s="171"/>
    </row>
    <row r="557" spans="20:20" ht="15.75" customHeight="1">
      <c r="T557" s="171"/>
    </row>
    <row r="558" spans="20:20" ht="15.75" customHeight="1">
      <c r="T558" s="171"/>
    </row>
    <row r="559" spans="20:20" ht="15.75" customHeight="1">
      <c r="T559" s="171"/>
    </row>
    <row r="560" spans="20:20" ht="15.75" customHeight="1">
      <c r="T560" s="171"/>
    </row>
    <row r="561" spans="20:20" ht="15.75" customHeight="1">
      <c r="T561" s="171"/>
    </row>
    <row r="562" spans="20:20" ht="15.75" customHeight="1">
      <c r="T562" s="171"/>
    </row>
    <row r="563" spans="20:20" ht="15.75" customHeight="1">
      <c r="T563" s="171"/>
    </row>
    <row r="564" spans="20:20" ht="15.75" customHeight="1">
      <c r="T564" s="171"/>
    </row>
    <row r="565" spans="20:20" ht="15.75" customHeight="1">
      <c r="T565" s="171"/>
    </row>
    <row r="566" spans="20:20" ht="15.75" customHeight="1">
      <c r="T566" s="171"/>
    </row>
    <row r="567" spans="20:20" ht="15.75" customHeight="1">
      <c r="T567" s="171"/>
    </row>
    <row r="568" spans="20:20" ht="15.75" customHeight="1">
      <c r="T568" s="171"/>
    </row>
    <row r="569" spans="20:20" ht="15.75" customHeight="1">
      <c r="T569" s="171"/>
    </row>
    <row r="570" spans="20:20" ht="15.75" customHeight="1">
      <c r="T570" s="171"/>
    </row>
    <row r="571" spans="20:20" ht="15.75" customHeight="1">
      <c r="T571" s="171"/>
    </row>
    <row r="572" spans="20:20" ht="15.75" customHeight="1">
      <c r="T572" s="171"/>
    </row>
    <row r="573" spans="20:20" ht="15.75" customHeight="1">
      <c r="T573" s="171"/>
    </row>
    <row r="574" spans="20:20" ht="15.75" customHeight="1">
      <c r="T574" s="171"/>
    </row>
    <row r="575" spans="20:20" ht="15.75" customHeight="1">
      <c r="T575" s="171"/>
    </row>
    <row r="576" spans="20:20" ht="15.75" customHeight="1">
      <c r="T576" s="171"/>
    </row>
    <row r="577" spans="20:20" ht="15.75" customHeight="1">
      <c r="T577" s="171"/>
    </row>
    <row r="578" spans="20:20" ht="15.75" customHeight="1">
      <c r="T578" s="171"/>
    </row>
    <row r="579" spans="20:20" ht="15.75" customHeight="1">
      <c r="T579" s="171"/>
    </row>
    <row r="580" spans="20:20" ht="15.75" customHeight="1">
      <c r="T580" s="171"/>
    </row>
    <row r="581" spans="20:20" ht="15.75" customHeight="1">
      <c r="T581" s="171"/>
    </row>
    <row r="582" spans="20:20" ht="15.75" customHeight="1">
      <c r="T582" s="171"/>
    </row>
    <row r="583" spans="20:20" ht="15.75" customHeight="1">
      <c r="T583" s="171"/>
    </row>
    <row r="584" spans="20:20" ht="15.75" customHeight="1">
      <c r="T584" s="171"/>
    </row>
    <row r="585" spans="20:20" ht="15.75" customHeight="1">
      <c r="T585" s="171"/>
    </row>
    <row r="586" spans="20:20" ht="15.75" customHeight="1">
      <c r="T586" s="171"/>
    </row>
    <row r="587" spans="20:20" ht="15.75" customHeight="1">
      <c r="T587" s="171"/>
    </row>
    <row r="588" spans="20:20" ht="15.75" customHeight="1">
      <c r="T588" s="171"/>
    </row>
    <row r="589" spans="20:20" ht="15.75" customHeight="1">
      <c r="T589" s="171"/>
    </row>
    <row r="590" spans="20:20" ht="15.75" customHeight="1">
      <c r="T590" s="171"/>
    </row>
    <row r="591" spans="20:20" ht="15.75" customHeight="1">
      <c r="T591" s="171"/>
    </row>
    <row r="592" spans="20:20" ht="15.75" customHeight="1">
      <c r="T592" s="171"/>
    </row>
    <row r="593" spans="20:20" ht="15.75" customHeight="1">
      <c r="T593" s="171"/>
    </row>
    <row r="594" spans="20:20" ht="15.75" customHeight="1">
      <c r="T594" s="171"/>
    </row>
    <row r="595" spans="20:20" ht="15.75" customHeight="1">
      <c r="T595" s="171"/>
    </row>
    <row r="596" spans="20:20" ht="15.75" customHeight="1">
      <c r="T596" s="171"/>
    </row>
    <row r="597" spans="20:20" ht="15.75" customHeight="1">
      <c r="T597" s="171"/>
    </row>
    <row r="598" spans="20:20" ht="15.75" customHeight="1">
      <c r="T598" s="171"/>
    </row>
    <row r="599" spans="20:20" ht="15.75" customHeight="1">
      <c r="T599" s="171"/>
    </row>
    <row r="600" spans="20:20" ht="15.75" customHeight="1">
      <c r="T600" s="171"/>
    </row>
    <row r="601" spans="20:20" ht="15.75" customHeight="1">
      <c r="T601" s="171"/>
    </row>
    <row r="602" spans="20:20" ht="15.75" customHeight="1">
      <c r="T602" s="171"/>
    </row>
    <row r="603" spans="20:20" ht="15.75" customHeight="1">
      <c r="T603" s="171"/>
    </row>
    <row r="604" spans="20:20" ht="15.75" customHeight="1">
      <c r="T604" s="171"/>
    </row>
    <row r="605" spans="20:20" ht="15.75" customHeight="1">
      <c r="T605" s="171"/>
    </row>
    <row r="606" spans="20:20" ht="15.75" customHeight="1">
      <c r="T606" s="171"/>
    </row>
    <row r="607" spans="20:20" ht="15.75" customHeight="1">
      <c r="T607" s="171"/>
    </row>
    <row r="608" spans="20:20" ht="15.75" customHeight="1">
      <c r="T608" s="171"/>
    </row>
    <row r="609" spans="20:20" ht="15.75" customHeight="1">
      <c r="T609" s="171"/>
    </row>
    <row r="610" spans="20:20" ht="15.75" customHeight="1">
      <c r="T610" s="171"/>
    </row>
    <row r="611" spans="20:20" ht="15.75" customHeight="1">
      <c r="T611" s="171"/>
    </row>
    <row r="612" spans="20:20" ht="15.75" customHeight="1">
      <c r="T612" s="171"/>
    </row>
    <row r="613" spans="20:20" ht="15.75" customHeight="1">
      <c r="T613" s="171"/>
    </row>
    <row r="614" spans="20:20" ht="15.75" customHeight="1">
      <c r="T614" s="171"/>
    </row>
    <row r="615" spans="20:20" ht="15.75" customHeight="1">
      <c r="T615" s="171"/>
    </row>
    <row r="616" spans="20:20" ht="15.75" customHeight="1">
      <c r="T616" s="171"/>
    </row>
    <row r="617" spans="20:20" ht="15.75" customHeight="1">
      <c r="T617" s="171"/>
    </row>
    <row r="618" spans="20:20" ht="15.75" customHeight="1">
      <c r="T618" s="171"/>
    </row>
    <row r="619" spans="20:20" ht="15.75" customHeight="1">
      <c r="T619" s="171"/>
    </row>
    <row r="620" spans="20:20" ht="15.75" customHeight="1">
      <c r="T620" s="171"/>
    </row>
    <row r="621" spans="20:20" ht="15.75" customHeight="1">
      <c r="T621" s="171"/>
    </row>
    <row r="622" spans="20:20" ht="15.75" customHeight="1">
      <c r="T622" s="171"/>
    </row>
    <row r="623" spans="20:20" ht="15.75" customHeight="1">
      <c r="T623" s="171"/>
    </row>
    <row r="624" spans="20:20" ht="15.75" customHeight="1">
      <c r="T624" s="171"/>
    </row>
    <row r="625" spans="20:20" ht="15.75" customHeight="1">
      <c r="T625" s="171"/>
    </row>
    <row r="626" spans="20:20" ht="15.75" customHeight="1">
      <c r="T626" s="171"/>
    </row>
    <row r="627" spans="20:20" ht="15.75" customHeight="1">
      <c r="T627" s="171"/>
    </row>
    <row r="628" spans="20:20" ht="15.75" customHeight="1">
      <c r="T628" s="171"/>
    </row>
    <row r="629" spans="20:20" ht="15.75" customHeight="1">
      <c r="T629" s="171"/>
    </row>
    <row r="630" spans="20:20" ht="15.75" customHeight="1">
      <c r="T630" s="171"/>
    </row>
    <row r="631" spans="20:20" ht="15.75" customHeight="1">
      <c r="T631" s="171"/>
    </row>
    <row r="632" spans="20:20" ht="15.75" customHeight="1">
      <c r="T632" s="171"/>
    </row>
    <row r="633" spans="20:20" ht="15.75" customHeight="1">
      <c r="T633" s="171"/>
    </row>
    <row r="634" spans="20:20" ht="15.75" customHeight="1">
      <c r="T634" s="171"/>
    </row>
    <row r="635" spans="20:20" ht="15.75" customHeight="1">
      <c r="T635" s="171"/>
    </row>
    <row r="636" spans="20:20" ht="15.75" customHeight="1">
      <c r="T636" s="171"/>
    </row>
    <row r="637" spans="20:20" ht="15.75" customHeight="1">
      <c r="T637" s="171"/>
    </row>
    <row r="638" spans="20:20" ht="15.75" customHeight="1">
      <c r="T638" s="171"/>
    </row>
    <row r="639" spans="20:20" ht="15.75" customHeight="1">
      <c r="T639" s="171"/>
    </row>
    <row r="640" spans="20:20" ht="15.75" customHeight="1">
      <c r="T640" s="171"/>
    </row>
    <row r="641" spans="20:20" ht="15.75" customHeight="1">
      <c r="T641" s="171"/>
    </row>
    <row r="642" spans="20:20" ht="15.75" customHeight="1">
      <c r="T642" s="171"/>
    </row>
    <row r="643" spans="20:20" ht="15.75" customHeight="1">
      <c r="T643" s="171"/>
    </row>
    <row r="644" spans="20:20" ht="15.75" customHeight="1">
      <c r="T644" s="171"/>
    </row>
    <row r="645" spans="20:20" ht="15.75" customHeight="1">
      <c r="T645" s="171"/>
    </row>
    <row r="646" spans="20:20" ht="15.75" customHeight="1">
      <c r="T646" s="171"/>
    </row>
    <row r="647" spans="20:20" ht="15.75" customHeight="1">
      <c r="T647" s="171"/>
    </row>
    <row r="648" spans="20:20" ht="15.75" customHeight="1">
      <c r="T648" s="171"/>
    </row>
    <row r="649" spans="20:20" ht="15.75" customHeight="1">
      <c r="T649" s="171"/>
    </row>
    <row r="650" spans="20:20" ht="15.75" customHeight="1">
      <c r="T650" s="171"/>
    </row>
    <row r="651" spans="20:20" ht="15.75" customHeight="1">
      <c r="T651" s="171"/>
    </row>
    <row r="652" spans="20:20" ht="15.75" customHeight="1">
      <c r="T652" s="171"/>
    </row>
    <row r="653" spans="20:20" ht="15.75" customHeight="1">
      <c r="T653" s="171"/>
    </row>
    <row r="654" spans="20:20" ht="15.75" customHeight="1">
      <c r="T654" s="171"/>
    </row>
    <row r="655" spans="20:20" ht="15.75" customHeight="1">
      <c r="T655" s="171"/>
    </row>
    <row r="656" spans="20:20" ht="15.75" customHeight="1">
      <c r="T656" s="171"/>
    </row>
    <row r="657" spans="20:20" ht="15.75" customHeight="1">
      <c r="T657" s="171"/>
    </row>
    <row r="658" spans="20:20" ht="15.75" customHeight="1">
      <c r="T658" s="171"/>
    </row>
    <row r="659" spans="20:20" ht="15.75" customHeight="1">
      <c r="T659" s="171"/>
    </row>
    <row r="660" spans="20:20" ht="15.75" customHeight="1">
      <c r="T660" s="171"/>
    </row>
    <row r="661" spans="20:20" ht="15.75" customHeight="1">
      <c r="T661" s="171"/>
    </row>
    <row r="662" spans="20:20" ht="15.75" customHeight="1">
      <c r="T662" s="171"/>
    </row>
    <row r="663" spans="20:20" ht="15.75" customHeight="1">
      <c r="T663" s="171"/>
    </row>
    <row r="664" spans="20:20" ht="15.75" customHeight="1">
      <c r="T664" s="171"/>
    </row>
    <row r="665" spans="20:20" ht="15.75" customHeight="1">
      <c r="T665" s="171"/>
    </row>
    <row r="666" spans="20:20" ht="15.75" customHeight="1">
      <c r="T666" s="171"/>
    </row>
    <row r="667" spans="20:20" ht="15.75" customHeight="1">
      <c r="T667" s="171"/>
    </row>
    <row r="668" spans="20:20" ht="15.75" customHeight="1">
      <c r="T668" s="171"/>
    </row>
    <row r="669" spans="20:20" ht="15.75" customHeight="1">
      <c r="T669" s="171"/>
    </row>
    <row r="670" spans="20:20" ht="15.75" customHeight="1">
      <c r="T670" s="171"/>
    </row>
    <row r="671" spans="20:20" ht="15.75" customHeight="1">
      <c r="T671" s="171"/>
    </row>
    <row r="672" spans="20:20" ht="15.75" customHeight="1">
      <c r="T672" s="171"/>
    </row>
    <row r="673" spans="20:20" ht="15.75" customHeight="1">
      <c r="T673" s="171"/>
    </row>
    <row r="674" spans="20:20" ht="15.75" customHeight="1">
      <c r="T674" s="171"/>
    </row>
    <row r="675" spans="20:20" ht="15.75" customHeight="1">
      <c r="T675" s="171"/>
    </row>
    <row r="676" spans="20:20" ht="15.75" customHeight="1">
      <c r="T676" s="171"/>
    </row>
    <row r="677" spans="20:20" ht="15.75" customHeight="1">
      <c r="T677" s="171"/>
    </row>
    <row r="678" spans="20:20" ht="15.75" customHeight="1">
      <c r="T678" s="171"/>
    </row>
    <row r="679" spans="20:20" ht="15.75" customHeight="1">
      <c r="T679" s="171"/>
    </row>
    <row r="680" spans="20:20" ht="15.75" customHeight="1">
      <c r="T680" s="171"/>
    </row>
    <row r="681" spans="20:20" ht="15.75" customHeight="1">
      <c r="T681" s="171"/>
    </row>
    <row r="682" spans="20:20" ht="15.75" customHeight="1">
      <c r="T682" s="171"/>
    </row>
    <row r="683" spans="20:20" ht="15.75" customHeight="1">
      <c r="T683" s="171"/>
    </row>
    <row r="684" spans="20:20" ht="15.75" customHeight="1">
      <c r="T684" s="171"/>
    </row>
    <row r="685" spans="20:20" ht="15.75" customHeight="1">
      <c r="T685" s="171"/>
    </row>
    <row r="686" spans="20:20" ht="15.75" customHeight="1">
      <c r="T686" s="171"/>
    </row>
    <row r="687" spans="20:20" ht="15.75" customHeight="1">
      <c r="T687" s="171"/>
    </row>
    <row r="688" spans="20:20" ht="15.75" customHeight="1">
      <c r="T688" s="171"/>
    </row>
    <row r="689" spans="20:20" ht="15.75" customHeight="1">
      <c r="T689" s="171"/>
    </row>
    <row r="690" spans="20:20" ht="15.75" customHeight="1">
      <c r="T690" s="171"/>
    </row>
    <row r="691" spans="20:20" ht="15.75" customHeight="1">
      <c r="T691" s="171"/>
    </row>
    <row r="692" spans="20:20" ht="15.75" customHeight="1">
      <c r="T692" s="171"/>
    </row>
    <row r="693" spans="20:20" ht="15.75" customHeight="1">
      <c r="T693" s="171"/>
    </row>
    <row r="694" spans="20:20" ht="15.75" customHeight="1">
      <c r="T694" s="171"/>
    </row>
    <row r="695" spans="20:20" ht="15.75" customHeight="1">
      <c r="T695" s="171"/>
    </row>
    <row r="696" spans="20:20" ht="15.75" customHeight="1">
      <c r="T696" s="171"/>
    </row>
    <row r="697" spans="20:20" ht="15.75" customHeight="1">
      <c r="T697" s="171"/>
    </row>
    <row r="698" spans="20:20" ht="15.75" customHeight="1">
      <c r="T698" s="171"/>
    </row>
    <row r="699" spans="20:20" ht="15.75" customHeight="1">
      <c r="T699" s="171"/>
    </row>
    <row r="700" spans="20:20" ht="15.75" customHeight="1">
      <c r="T700" s="171"/>
    </row>
    <row r="701" spans="20:20" ht="15.75" customHeight="1">
      <c r="T701" s="171"/>
    </row>
    <row r="702" spans="20:20" ht="15.75" customHeight="1">
      <c r="T702" s="171"/>
    </row>
    <row r="703" spans="20:20" ht="15.75" customHeight="1">
      <c r="T703" s="171"/>
    </row>
    <row r="704" spans="20:20" ht="15.75" customHeight="1">
      <c r="T704" s="171"/>
    </row>
    <row r="705" spans="20:20" ht="15.75" customHeight="1">
      <c r="T705" s="171"/>
    </row>
    <row r="706" spans="20:20" ht="15.75" customHeight="1">
      <c r="T706" s="171"/>
    </row>
    <row r="707" spans="20:20" ht="15.75" customHeight="1">
      <c r="T707" s="171"/>
    </row>
    <row r="708" spans="20:20" ht="15.75" customHeight="1">
      <c r="T708" s="171"/>
    </row>
    <row r="709" spans="20:20" ht="15.75" customHeight="1">
      <c r="T709" s="171"/>
    </row>
    <row r="710" spans="20:20" ht="15.75" customHeight="1">
      <c r="T710" s="171"/>
    </row>
    <row r="711" spans="20:20" ht="15.75" customHeight="1">
      <c r="T711" s="171"/>
    </row>
    <row r="712" spans="20:20" ht="15.75" customHeight="1">
      <c r="T712" s="171"/>
    </row>
    <row r="713" spans="20:20" ht="15.75" customHeight="1">
      <c r="T713" s="171"/>
    </row>
    <row r="714" spans="20:20" ht="15.75" customHeight="1">
      <c r="T714" s="171"/>
    </row>
    <row r="715" spans="20:20" ht="15.75" customHeight="1">
      <c r="T715" s="171"/>
    </row>
    <row r="716" spans="20:20" ht="15.75" customHeight="1">
      <c r="T716" s="171"/>
    </row>
    <row r="717" spans="20:20" ht="15.75" customHeight="1">
      <c r="T717" s="171"/>
    </row>
    <row r="718" spans="20:20" ht="15.75" customHeight="1">
      <c r="T718" s="171"/>
    </row>
    <row r="719" spans="20:20" ht="15.75" customHeight="1">
      <c r="T719" s="171"/>
    </row>
    <row r="720" spans="20:20" ht="15.75" customHeight="1">
      <c r="T720" s="171"/>
    </row>
    <row r="721" spans="20:20" ht="15.75" customHeight="1">
      <c r="T721" s="171"/>
    </row>
    <row r="722" spans="20:20" ht="15.75" customHeight="1">
      <c r="T722" s="171"/>
    </row>
    <row r="723" spans="20:20" ht="15.75" customHeight="1">
      <c r="T723" s="171"/>
    </row>
    <row r="724" spans="20:20" ht="15.75" customHeight="1">
      <c r="T724" s="171"/>
    </row>
    <row r="725" spans="20:20" ht="15.75" customHeight="1">
      <c r="T725" s="171"/>
    </row>
    <row r="726" spans="20:20" ht="15.75" customHeight="1">
      <c r="T726" s="171"/>
    </row>
    <row r="727" spans="20:20" ht="15.75" customHeight="1">
      <c r="T727" s="171"/>
    </row>
    <row r="728" spans="20:20" ht="15.75" customHeight="1">
      <c r="T728" s="171"/>
    </row>
    <row r="729" spans="20:20" ht="15.75" customHeight="1">
      <c r="T729" s="171"/>
    </row>
    <row r="730" spans="20:20" ht="15.75" customHeight="1">
      <c r="T730" s="171"/>
    </row>
    <row r="731" spans="20:20" ht="15.75" customHeight="1">
      <c r="T731" s="171"/>
    </row>
    <row r="732" spans="20:20" ht="15.75" customHeight="1">
      <c r="T732" s="171"/>
    </row>
    <row r="733" spans="20:20" ht="15.75" customHeight="1">
      <c r="T733" s="171"/>
    </row>
    <row r="734" spans="20:20" ht="15.75" customHeight="1">
      <c r="T734" s="171"/>
    </row>
    <row r="735" spans="20:20" ht="15.75" customHeight="1">
      <c r="T735" s="171"/>
    </row>
    <row r="736" spans="20:20" ht="15.75" customHeight="1">
      <c r="T736" s="171"/>
    </row>
    <row r="737" spans="20:20" ht="15.75" customHeight="1">
      <c r="T737" s="171"/>
    </row>
    <row r="738" spans="20:20" ht="15.75" customHeight="1">
      <c r="T738" s="171"/>
    </row>
    <row r="739" spans="20:20" ht="15.75" customHeight="1">
      <c r="T739" s="171"/>
    </row>
    <row r="740" spans="20:20" ht="15.75" customHeight="1">
      <c r="T740" s="171"/>
    </row>
    <row r="741" spans="20:20" ht="15.75" customHeight="1">
      <c r="T741" s="171"/>
    </row>
    <row r="742" spans="20:20" ht="15.75" customHeight="1">
      <c r="T742" s="171"/>
    </row>
    <row r="743" spans="20:20" ht="15.75" customHeight="1">
      <c r="T743" s="171"/>
    </row>
    <row r="744" spans="20:20" ht="15.75" customHeight="1">
      <c r="T744" s="171"/>
    </row>
    <row r="745" spans="20:20" ht="15.75" customHeight="1">
      <c r="T745" s="171"/>
    </row>
    <row r="746" spans="20:20" ht="15.75" customHeight="1">
      <c r="T746" s="171"/>
    </row>
    <row r="747" spans="20:20" ht="15.75" customHeight="1">
      <c r="T747" s="171"/>
    </row>
    <row r="748" spans="20:20" ht="15.75" customHeight="1">
      <c r="T748" s="171"/>
    </row>
    <row r="749" spans="20:20" ht="15.75" customHeight="1">
      <c r="T749" s="171"/>
    </row>
    <row r="750" spans="20:20" ht="15.75" customHeight="1">
      <c r="T750" s="171"/>
    </row>
    <row r="751" spans="20:20" ht="15.75" customHeight="1">
      <c r="T751" s="171"/>
    </row>
    <row r="752" spans="20:20" ht="15.75" customHeight="1">
      <c r="T752" s="171"/>
    </row>
    <row r="753" spans="20:20" ht="15.75" customHeight="1">
      <c r="T753" s="171"/>
    </row>
    <row r="754" spans="20:20" ht="15.75" customHeight="1">
      <c r="T754" s="171"/>
    </row>
    <row r="755" spans="20:20" ht="15.75" customHeight="1">
      <c r="T755" s="171"/>
    </row>
    <row r="756" spans="20:20" ht="15.75" customHeight="1">
      <c r="T756" s="171"/>
    </row>
    <row r="757" spans="20:20" ht="15.75" customHeight="1">
      <c r="T757" s="171"/>
    </row>
    <row r="758" spans="20:20" ht="15.75" customHeight="1">
      <c r="T758" s="171"/>
    </row>
    <row r="759" spans="20:20" ht="15.75" customHeight="1">
      <c r="T759" s="171"/>
    </row>
    <row r="760" spans="20:20" ht="15.75" customHeight="1">
      <c r="T760" s="171"/>
    </row>
    <row r="761" spans="20:20" ht="15.75" customHeight="1">
      <c r="T761" s="171"/>
    </row>
    <row r="762" spans="20:20" ht="15.75" customHeight="1">
      <c r="T762" s="171"/>
    </row>
    <row r="763" spans="20:20" ht="15.75" customHeight="1">
      <c r="T763" s="171"/>
    </row>
    <row r="764" spans="20:20" ht="15.75" customHeight="1">
      <c r="T764" s="171"/>
    </row>
    <row r="765" spans="20:20" ht="15.75" customHeight="1">
      <c r="T765" s="171"/>
    </row>
    <row r="766" spans="20:20" ht="15.75" customHeight="1">
      <c r="T766" s="171"/>
    </row>
    <row r="767" spans="20:20" ht="15.75" customHeight="1">
      <c r="T767" s="171"/>
    </row>
    <row r="768" spans="20:20" ht="15.75" customHeight="1">
      <c r="T768" s="171"/>
    </row>
    <row r="769" spans="20:20" ht="15.75" customHeight="1">
      <c r="T769" s="171"/>
    </row>
    <row r="770" spans="20:20" ht="15.75" customHeight="1">
      <c r="T770" s="171"/>
    </row>
    <row r="771" spans="20:20" ht="15.75" customHeight="1">
      <c r="T771" s="171"/>
    </row>
    <row r="772" spans="20:20" ht="15.75" customHeight="1">
      <c r="T772" s="171"/>
    </row>
    <row r="773" spans="20:20" ht="15.75" customHeight="1">
      <c r="T773" s="171"/>
    </row>
    <row r="774" spans="20:20" ht="15.75" customHeight="1">
      <c r="T774" s="171"/>
    </row>
    <row r="775" spans="20:20" ht="15.75" customHeight="1">
      <c r="T775" s="171"/>
    </row>
    <row r="776" spans="20:20" ht="15.75" customHeight="1">
      <c r="T776" s="171"/>
    </row>
    <row r="777" spans="20:20" ht="15.75" customHeight="1">
      <c r="T777" s="171"/>
    </row>
    <row r="778" spans="20:20" ht="15.75" customHeight="1">
      <c r="T778" s="171"/>
    </row>
    <row r="779" spans="20:20" ht="15.75" customHeight="1">
      <c r="T779" s="171"/>
    </row>
    <row r="780" spans="20:20" ht="15.75" customHeight="1">
      <c r="T780" s="171"/>
    </row>
    <row r="781" spans="20:20" ht="15.75" customHeight="1">
      <c r="T781" s="171"/>
    </row>
    <row r="782" spans="20:20" ht="15.75" customHeight="1">
      <c r="T782" s="171"/>
    </row>
    <row r="783" spans="20:20" ht="15.75" customHeight="1">
      <c r="T783" s="171"/>
    </row>
    <row r="784" spans="20:20" ht="15.75" customHeight="1">
      <c r="T784" s="171"/>
    </row>
    <row r="785" spans="20:20" ht="15.75" customHeight="1">
      <c r="T785" s="171"/>
    </row>
    <row r="786" spans="20:20" ht="15.75" customHeight="1">
      <c r="T786" s="171"/>
    </row>
    <row r="787" spans="20:20" ht="15.75" customHeight="1">
      <c r="T787" s="171"/>
    </row>
    <row r="788" spans="20:20" ht="15.75" customHeight="1">
      <c r="T788" s="171"/>
    </row>
    <row r="789" spans="20:20" ht="15.75" customHeight="1">
      <c r="T789" s="171"/>
    </row>
    <row r="790" spans="20:20" ht="15.75" customHeight="1">
      <c r="T790" s="171"/>
    </row>
    <row r="791" spans="20:20" ht="15.75" customHeight="1">
      <c r="T791" s="171"/>
    </row>
    <row r="792" spans="20:20" ht="15.75" customHeight="1">
      <c r="T792" s="171"/>
    </row>
    <row r="793" spans="20:20" ht="15.75" customHeight="1">
      <c r="T793" s="171"/>
    </row>
    <row r="794" spans="20:20" ht="15.75" customHeight="1">
      <c r="T794" s="171"/>
    </row>
    <row r="795" spans="20:20" ht="15.75" customHeight="1">
      <c r="T795" s="171"/>
    </row>
    <row r="796" spans="20:20" ht="15.75" customHeight="1">
      <c r="T796" s="171"/>
    </row>
    <row r="797" spans="20:20" ht="15.75" customHeight="1">
      <c r="T797" s="171"/>
    </row>
    <row r="798" spans="20:20" ht="15.75" customHeight="1">
      <c r="T798" s="171"/>
    </row>
    <row r="799" spans="20:20" ht="15.75" customHeight="1">
      <c r="T799" s="171"/>
    </row>
    <row r="800" spans="20:20" ht="15.75" customHeight="1">
      <c r="T800" s="171"/>
    </row>
    <row r="801" spans="20:20" ht="15.75" customHeight="1">
      <c r="T801" s="171"/>
    </row>
    <row r="802" spans="20:20" ht="15.75" customHeight="1">
      <c r="T802" s="171"/>
    </row>
    <row r="803" spans="20:20" ht="15.75" customHeight="1">
      <c r="T803" s="171"/>
    </row>
    <row r="804" spans="20:20" ht="15.75" customHeight="1">
      <c r="T804" s="171"/>
    </row>
    <row r="805" spans="20:20" ht="15.75" customHeight="1">
      <c r="T805" s="171"/>
    </row>
    <row r="806" spans="20:20" ht="15.75" customHeight="1">
      <c r="T806" s="171"/>
    </row>
    <row r="807" spans="20:20" ht="15.75" customHeight="1">
      <c r="T807" s="171"/>
    </row>
    <row r="808" spans="20:20" ht="15.75" customHeight="1">
      <c r="T808" s="171"/>
    </row>
    <row r="809" spans="20:20" ht="15.75" customHeight="1">
      <c r="T809" s="171"/>
    </row>
    <row r="810" spans="20:20" ht="15.75" customHeight="1">
      <c r="T810" s="171"/>
    </row>
    <row r="811" spans="20:20" ht="15.75" customHeight="1">
      <c r="T811" s="171"/>
    </row>
    <row r="812" spans="20:20" ht="15.75" customHeight="1">
      <c r="T812" s="171"/>
    </row>
    <row r="813" spans="20:20" ht="15.75" customHeight="1">
      <c r="T813" s="171"/>
    </row>
    <row r="814" spans="20:20" ht="15.75" customHeight="1">
      <c r="T814" s="171"/>
    </row>
    <row r="815" spans="20:20" ht="15.75" customHeight="1">
      <c r="T815" s="171"/>
    </row>
    <row r="816" spans="20:20" ht="15.75" customHeight="1">
      <c r="T816" s="171"/>
    </row>
    <row r="817" spans="20:20" ht="15.75" customHeight="1">
      <c r="T817" s="171"/>
    </row>
    <row r="818" spans="20:20" ht="15.75" customHeight="1">
      <c r="T818" s="171"/>
    </row>
    <row r="819" spans="20:20" ht="15.75" customHeight="1">
      <c r="T819" s="171"/>
    </row>
    <row r="820" spans="20:20" ht="15.75" customHeight="1">
      <c r="T820" s="171"/>
    </row>
    <row r="821" spans="20:20" ht="15.75" customHeight="1">
      <c r="T821" s="171"/>
    </row>
    <row r="822" spans="20:20" ht="15.75" customHeight="1">
      <c r="T822" s="171"/>
    </row>
    <row r="823" spans="20:20" ht="15.75" customHeight="1">
      <c r="T823" s="171"/>
    </row>
    <row r="824" spans="20:20" ht="15.75" customHeight="1">
      <c r="T824" s="171"/>
    </row>
    <row r="825" spans="20:20" ht="15.75" customHeight="1">
      <c r="T825" s="171"/>
    </row>
    <row r="826" spans="20:20" ht="15.75" customHeight="1">
      <c r="T826" s="171"/>
    </row>
    <row r="827" spans="20:20" ht="15.75" customHeight="1">
      <c r="T827" s="171"/>
    </row>
    <row r="828" spans="20:20" ht="15.75" customHeight="1">
      <c r="T828" s="171"/>
    </row>
    <row r="829" spans="20:20" ht="15.75" customHeight="1">
      <c r="T829" s="171"/>
    </row>
    <row r="830" spans="20:20" ht="15.75" customHeight="1">
      <c r="T830" s="171"/>
    </row>
    <row r="831" spans="20:20" ht="15.75" customHeight="1">
      <c r="T831" s="171"/>
    </row>
    <row r="832" spans="20:20" ht="15.75" customHeight="1">
      <c r="T832" s="171"/>
    </row>
    <row r="833" spans="20:20" ht="15.75" customHeight="1">
      <c r="T833" s="171"/>
    </row>
    <row r="834" spans="20:20" ht="15.75" customHeight="1">
      <c r="T834" s="171"/>
    </row>
    <row r="835" spans="20:20" ht="15.75" customHeight="1">
      <c r="T835" s="171"/>
    </row>
    <row r="836" spans="20:20" ht="15.75" customHeight="1">
      <c r="T836" s="171"/>
    </row>
    <row r="837" spans="20:20" ht="15.75" customHeight="1">
      <c r="T837" s="171"/>
    </row>
    <row r="838" spans="20:20" ht="15.75" customHeight="1">
      <c r="T838" s="171"/>
    </row>
    <row r="839" spans="20:20" ht="15.75" customHeight="1">
      <c r="T839" s="171"/>
    </row>
    <row r="840" spans="20:20" ht="15.75" customHeight="1">
      <c r="T840" s="171"/>
    </row>
    <row r="841" spans="20:20" ht="15.75" customHeight="1">
      <c r="T841" s="171"/>
    </row>
    <row r="842" spans="20:20" ht="15.75" customHeight="1">
      <c r="T842" s="171"/>
    </row>
    <row r="843" spans="20:20" ht="15.75" customHeight="1">
      <c r="T843" s="171"/>
    </row>
    <row r="844" spans="20:20" ht="15.75" customHeight="1">
      <c r="T844" s="171"/>
    </row>
    <row r="845" spans="20:20" ht="15.75" customHeight="1">
      <c r="T845" s="171"/>
    </row>
    <row r="846" spans="20:20" ht="15.75" customHeight="1">
      <c r="T846" s="171"/>
    </row>
    <row r="847" spans="20:20" ht="15.75" customHeight="1">
      <c r="T847" s="171"/>
    </row>
    <row r="848" spans="20:20" ht="15.75" customHeight="1">
      <c r="T848" s="171"/>
    </row>
    <row r="849" spans="20:20" ht="15.75" customHeight="1">
      <c r="T849" s="171"/>
    </row>
    <row r="850" spans="20:20" ht="15.75" customHeight="1">
      <c r="T850" s="171"/>
    </row>
    <row r="851" spans="20:20" ht="15.75" customHeight="1">
      <c r="T851" s="171"/>
    </row>
    <row r="852" spans="20:20" ht="15.75" customHeight="1">
      <c r="T852" s="171"/>
    </row>
    <row r="853" spans="20:20" ht="15.75" customHeight="1">
      <c r="T853" s="171"/>
    </row>
    <row r="854" spans="20:20" ht="15.75" customHeight="1">
      <c r="T854" s="171"/>
    </row>
    <row r="855" spans="20:20" ht="15.75" customHeight="1">
      <c r="T855" s="171"/>
    </row>
    <row r="856" spans="20:20" ht="15.75" customHeight="1">
      <c r="T856" s="171"/>
    </row>
    <row r="857" spans="20:20" ht="15.75" customHeight="1">
      <c r="T857" s="171"/>
    </row>
    <row r="858" spans="20:20" ht="15.75" customHeight="1">
      <c r="T858" s="171"/>
    </row>
    <row r="859" spans="20:20" ht="15.75" customHeight="1">
      <c r="T859" s="171"/>
    </row>
    <row r="860" spans="20:20" ht="15.75" customHeight="1">
      <c r="T860" s="171"/>
    </row>
    <row r="861" spans="20:20" ht="15.75" customHeight="1">
      <c r="T861" s="171"/>
    </row>
    <row r="862" spans="20:20" ht="15.75" customHeight="1">
      <c r="T862" s="171"/>
    </row>
    <row r="863" spans="20:20" ht="15.75" customHeight="1">
      <c r="T863" s="171"/>
    </row>
    <row r="864" spans="20:20" ht="15.75" customHeight="1">
      <c r="T864" s="171"/>
    </row>
    <row r="865" spans="20:20" ht="15.75" customHeight="1">
      <c r="T865" s="171"/>
    </row>
    <row r="866" spans="20:20" ht="15.75" customHeight="1">
      <c r="T866" s="171"/>
    </row>
    <row r="867" spans="20:20" ht="15.75" customHeight="1">
      <c r="T867" s="171"/>
    </row>
    <row r="868" spans="20:20" ht="15.75" customHeight="1">
      <c r="T868" s="171"/>
    </row>
    <row r="869" spans="20:20" ht="15.75" customHeight="1">
      <c r="T869" s="171"/>
    </row>
    <row r="870" spans="20:20" ht="15.75" customHeight="1">
      <c r="T870" s="171"/>
    </row>
    <row r="871" spans="20:20" ht="15.75" customHeight="1">
      <c r="T871" s="171"/>
    </row>
    <row r="872" spans="20:20" ht="15.75" customHeight="1">
      <c r="T872" s="171"/>
    </row>
    <row r="873" spans="20:20" ht="15.75" customHeight="1">
      <c r="T873" s="171"/>
    </row>
    <row r="874" spans="20:20" ht="15.75" customHeight="1">
      <c r="T874" s="171"/>
    </row>
    <row r="875" spans="20:20" ht="15.75" customHeight="1">
      <c r="T875" s="171"/>
    </row>
    <row r="876" spans="20:20" ht="15.75" customHeight="1">
      <c r="T876" s="171"/>
    </row>
    <row r="877" spans="20:20" ht="15.75" customHeight="1">
      <c r="T877" s="171"/>
    </row>
    <row r="878" spans="20:20" ht="15.75" customHeight="1">
      <c r="T878" s="171"/>
    </row>
    <row r="879" spans="20:20" ht="15.75" customHeight="1">
      <c r="T879" s="171"/>
    </row>
    <row r="880" spans="20:20" ht="15.75" customHeight="1">
      <c r="T880" s="171"/>
    </row>
    <row r="881" spans="20:20" ht="15.75" customHeight="1">
      <c r="T881" s="171"/>
    </row>
    <row r="882" spans="20:20" ht="15.75" customHeight="1">
      <c r="T882" s="171"/>
    </row>
    <row r="883" spans="20:20" ht="15.75" customHeight="1">
      <c r="T883" s="171"/>
    </row>
    <row r="884" spans="20:20" ht="15.75" customHeight="1">
      <c r="T884" s="171"/>
    </row>
    <row r="885" spans="20:20" ht="15.75" customHeight="1">
      <c r="T885" s="171"/>
    </row>
    <row r="886" spans="20:20" ht="15.75" customHeight="1">
      <c r="T886" s="171"/>
    </row>
    <row r="887" spans="20:20" ht="15.75" customHeight="1">
      <c r="T887" s="171"/>
    </row>
    <row r="888" spans="20:20" ht="15.75" customHeight="1">
      <c r="T888" s="171"/>
    </row>
    <row r="889" spans="20:20" ht="15.75" customHeight="1">
      <c r="T889" s="171"/>
    </row>
    <row r="890" spans="20:20" ht="15.75" customHeight="1">
      <c r="T890" s="171"/>
    </row>
    <row r="891" spans="20:20" ht="15.75" customHeight="1">
      <c r="T891" s="171"/>
    </row>
    <row r="892" spans="20:20" ht="15.75" customHeight="1">
      <c r="T892" s="171"/>
    </row>
    <row r="893" spans="20:20" ht="15.75" customHeight="1">
      <c r="T893" s="171"/>
    </row>
    <row r="894" spans="20:20" ht="15.75" customHeight="1">
      <c r="T894" s="171"/>
    </row>
    <row r="895" spans="20:20" ht="15.75" customHeight="1">
      <c r="T895" s="171"/>
    </row>
    <row r="896" spans="20:20" ht="15.75" customHeight="1">
      <c r="T896" s="171"/>
    </row>
    <row r="897" spans="20:20" ht="15.75" customHeight="1">
      <c r="T897" s="171"/>
    </row>
    <row r="898" spans="20:20" ht="15.75" customHeight="1">
      <c r="T898" s="171"/>
    </row>
    <row r="899" spans="20:20" ht="15.75" customHeight="1">
      <c r="T899" s="171"/>
    </row>
    <row r="900" spans="20:20" ht="15.75" customHeight="1">
      <c r="T900" s="171"/>
    </row>
    <row r="901" spans="20:20" ht="15.75" customHeight="1">
      <c r="T901" s="171"/>
    </row>
    <row r="902" spans="20:20" ht="15.75" customHeight="1">
      <c r="T902" s="171"/>
    </row>
    <row r="903" spans="20:20" ht="15.75" customHeight="1">
      <c r="T903" s="171"/>
    </row>
    <row r="904" spans="20:20" ht="15.75" customHeight="1">
      <c r="T904" s="171"/>
    </row>
    <row r="905" spans="20:20" ht="15.75" customHeight="1">
      <c r="T905" s="171"/>
    </row>
    <row r="906" spans="20:20" ht="15.75" customHeight="1">
      <c r="T906" s="171"/>
    </row>
    <row r="907" spans="20:20" ht="15.75" customHeight="1">
      <c r="T907" s="171"/>
    </row>
    <row r="908" spans="20:20" ht="15.75" customHeight="1">
      <c r="T908" s="171"/>
    </row>
    <row r="909" spans="20:20" ht="15.75" customHeight="1">
      <c r="T909" s="171"/>
    </row>
    <row r="910" spans="20:20" ht="15.75" customHeight="1">
      <c r="T910" s="171"/>
    </row>
    <row r="911" spans="20:20" ht="15.75" customHeight="1">
      <c r="T911" s="171"/>
    </row>
    <row r="912" spans="20:20" ht="15.75" customHeight="1">
      <c r="T912" s="171"/>
    </row>
    <row r="913" spans="20:20" ht="15.75" customHeight="1">
      <c r="T913" s="171"/>
    </row>
    <row r="914" spans="20:20" ht="15.75" customHeight="1">
      <c r="T914" s="171"/>
    </row>
    <row r="915" spans="20:20" ht="15.75" customHeight="1">
      <c r="T915" s="171"/>
    </row>
    <row r="916" spans="20:20" ht="15.75" customHeight="1">
      <c r="T916" s="171"/>
    </row>
    <row r="917" spans="20:20" ht="15.75" customHeight="1">
      <c r="T917" s="171"/>
    </row>
    <row r="918" spans="20:20" ht="15.75" customHeight="1">
      <c r="T918" s="171"/>
    </row>
    <row r="919" spans="20:20" ht="15.75" customHeight="1">
      <c r="T919" s="171"/>
    </row>
    <row r="920" spans="20:20" ht="15.75" customHeight="1">
      <c r="T920" s="171"/>
    </row>
    <row r="921" spans="20:20" ht="15.75" customHeight="1">
      <c r="T921" s="171"/>
    </row>
    <row r="922" spans="20:20" ht="15.75" customHeight="1">
      <c r="T922" s="171"/>
    </row>
    <row r="923" spans="20:20" ht="15.75" customHeight="1">
      <c r="T923" s="171"/>
    </row>
    <row r="924" spans="20:20" ht="15.75" customHeight="1">
      <c r="T924" s="171"/>
    </row>
    <row r="925" spans="20:20" ht="15.75" customHeight="1">
      <c r="T925" s="171"/>
    </row>
    <row r="926" spans="20:20" ht="15.75" customHeight="1">
      <c r="T926" s="171"/>
    </row>
    <row r="927" spans="20:20" ht="15.75" customHeight="1">
      <c r="T927" s="171"/>
    </row>
    <row r="928" spans="20:20" ht="15.75" customHeight="1">
      <c r="T928" s="171"/>
    </row>
    <row r="929" spans="20:20" ht="15.75" customHeight="1">
      <c r="T929" s="171"/>
    </row>
    <row r="930" spans="20:20" ht="15.75" customHeight="1">
      <c r="T930" s="171"/>
    </row>
    <row r="931" spans="20:20" ht="15.75" customHeight="1">
      <c r="T931" s="171"/>
    </row>
    <row r="932" spans="20:20" ht="15.75" customHeight="1">
      <c r="T932" s="171"/>
    </row>
    <row r="933" spans="20:20" ht="15.75" customHeight="1">
      <c r="T933" s="171"/>
    </row>
    <row r="934" spans="20:20" ht="15.75" customHeight="1">
      <c r="T934" s="171"/>
    </row>
    <row r="935" spans="20:20" ht="15.75" customHeight="1">
      <c r="T935" s="171"/>
    </row>
    <row r="936" spans="20:20" ht="15.75" customHeight="1">
      <c r="T936" s="171"/>
    </row>
    <row r="937" spans="20:20" ht="15.75" customHeight="1">
      <c r="T937" s="171"/>
    </row>
    <row r="938" spans="20:20" ht="15.75" customHeight="1">
      <c r="T938" s="171"/>
    </row>
    <row r="939" spans="20:20" ht="15.75" customHeight="1">
      <c r="T939" s="171"/>
    </row>
    <row r="940" spans="20:20" ht="15.75" customHeight="1">
      <c r="T940" s="171"/>
    </row>
    <row r="941" spans="20:20" ht="15.75" customHeight="1">
      <c r="T941" s="171"/>
    </row>
    <row r="942" spans="20:20" ht="15.75" customHeight="1">
      <c r="T942" s="171"/>
    </row>
    <row r="943" spans="20:20" ht="15.75" customHeight="1">
      <c r="T943" s="171"/>
    </row>
    <row r="944" spans="20:20" ht="15.75" customHeight="1">
      <c r="T944" s="171"/>
    </row>
    <row r="945" spans="20:20" ht="15.75" customHeight="1">
      <c r="T945" s="171"/>
    </row>
    <row r="946" spans="20:20" ht="15.75" customHeight="1">
      <c r="T946" s="171"/>
    </row>
    <row r="947" spans="20:20" ht="15.75" customHeight="1">
      <c r="T947" s="171"/>
    </row>
    <row r="948" spans="20:20" ht="15.75" customHeight="1">
      <c r="T948" s="171"/>
    </row>
    <row r="949" spans="20:20" ht="15.75" customHeight="1">
      <c r="T949" s="171"/>
    </row>
    <row r="950" spans="20:20" ht="15.75" customHeight="1">
      <c r="T950" s="171"/>
    </row>
    <row r="951" spans="20:20" ht="15.75" customHeight="1">
      <c r="T951" s="171"/>
    </row>
    <row r="952" spans="20:20" ht="15.75" customHeight="1">
      <c r="T952" s="171"/>
    </row>
    <row r="953" spans="20:20" ht="15.75" customHeight="1">
      <c r="T953" s="171"/>
    </row>
    <row r="954" spans="20:20" ht="15.75" customHeight="1">
      <c r="T954" s="171"/>
    </row>
    <row r="955" spans="20:20" ht="15.75" customHeight="1">
      <c r="T955" s="171"/>
    </row>
    <row r="956" spans="20:20" ht="15.75" customHeight="1">
      <c r="T956" s="171"/>
    </row>
    <row r="957" spans="20:20" ht="15.75" customHeight="1">
      <c r="T957" s="171"/>
    </row>
    <row r="958" spans="20:20" ht="15.75" customHeight="1">
      <c r="T958" s="171"/>
    </row>
    <row r="959" spans="20:20" ht="15.75" customHeight="1">
      <c r="T959" s="171"/>
    </row>
    <row r="960" spans="20:20" ht="15.75" customHeight="1">
      <c r="T960" s="171"/>
    </row>
    <row r="961" spans="20:20" ht="15.75" customHeight="1">
      <c r="T961" s="171"/>
    </row>
    <row r="962" spans="20:20" ht="15.75" customHeight="1">
      <c r="T962" s="171"/>
    </row>
    <row r="963" spans="20:20" ht="15.75" customHeight="1">
      <c r="T963" s="171"/>
    </row>
    <row r="964" spans="20:20" ht="15.75" customHeight="1">
      <c r="T964" s="171"/>
    </row>
    <row r="965" spans="20:20" ht="15.75" customHeight="1">
      <c r="T965" s="171"/>
    </row>
    <row r="966" spans="20:20" ht="15.75" customHeight="1">
      <c r="T966" s="171"/>
    </row>
    <row r="967" spans="20:20" ht="15.75" customHeight="1">
      <c r="T967" s="171"/>
    </row>
    <row r="968" spans="20:20" ht="15.75" customHeight="1">
      <c r="T968" s="171"/>
    </row>
    <row r="969" spans="20:20" ht="15.75" customHeight="1">
      <c r="T969" s="171"/>
    </row>
    <row r="970" spans="20:20" ht="15.75" customHeight="1">
      <c r="T970" s="171"/>
    </row>
    <row r="971" spans="20:20" ht="15.75" customHeight="1">
      <c r="T971" s="171"/>
    </row>
    <row r="972" spans="20:20" ht="15.75" customHeight="1">
      <c r="T972" s="171"/>
    </row>
    <row r="973" spans="20:20" ht="15.75" customHeight="1">
      <c r="T973" s="171"/>
    </row>
    <row r="974" spans="20:20" ht="15.75" customHeight="1">
      <c r="T974" s="171"/>
    </row>
    <row r="975" spans="20:20" ht="15.75" customHeight="1">
      <c r="T975" s="171"/>
    </row>
    <row r="976" spans="20:20" ht="15.75" customHeight="1">
      <c r="T976" s="171"/>
    </row>
    <row r="977" spans="20:20" ht="15.75" customHeight="1">
      <c r="T977" s="171"/>
    </row>
    <row r="978" spans="20:20" ht="15.75" customHeight="1">
      <c r="T978" s="171"/>
    </row>
    <row r="979" spans="20:20" ht="15.75" customHeight="1">
      <c r="T979" s="171"/>
    </row>
    <row r="980" spans="20:20" ht="15.75" customHeight="1">
      <c r="T980" s="171"/>
    </row>
    <row r="981" spans="20:20" ht="15.75" customHeight="1">
      <c r="T981" s="171"/>
    </row>
    <row r="982" spans="20:20" ht="15.75" customHeight="1">
      <c r="T982" s="171"/>
    </row>
    <row r="983" spans="20:20" ht="15.75" customHeight="1">
      <c r="T983" s="171"/>
    </row>
    <row r="984" spans="20:20" ht="15.75" customHeight="1">
      <c r="T984" s="171"/>
    </row>
    <row r="985" spans="20:20" ht="15.75" customHeight="1">
      <c r="T985" s="171"/>
    </row>
    <row r="986" spans="20:20" ht="15.75" customHeight="1">
      <c r="T986" s="171"/>
    </row>
    <row r="987" spans="20:20" ht="15.75" customHeight="1">
      <c r="T987" s="171"/>
    </row>
    <row r="988" spans="20:20" ht="15.75" customHeight="1">
      <c r="T988" s="171"/>
    </row>
    <row r="989" spans="20:20" ht="15.75" customHeight="1">
      <c r="T989" s="171"/>
    </row>
    <row r="990" spans="20:20" ht="15.75" customHeight="1">
      <c r="T990" s="171"/>
    </row>
    <row r="991" spans="20:20" ht="15.75" customHeight="1">
      <c r="T991" s="171"/>
    </row>
    <row r="992" spans="20:20" ht="15.75" customHeight="1">
      <c r="T992" s="171"/>
    </row>
    <row r="993" spans="20:20" ht="15.75" customHeight="1">
      <c r="T993" s="171"/>
    </row>
    <row r="994" spans="20:20" ht="15.75" customHeight="1">
      <c r="T994" s="171"/>
    </row>
    <row r="995" spans="20:20" ht="15.75" customHeight="1">
      <c r="T995" s="171"/>
    </row>
    <row r="996" spans="20:20" ht="15.75" customHeight="1">
      <c r="T996" s="171"/>
    </row>
    <row r="997" spans="20:20" ht="15.75" customHeight="1">
      <c r="T997" s="171"/>
    </row>
    <row r="998" spans="20:20" ht="15.75" customHeight="1">
      <c r="T998" s="171"/>
    </row>
    <row r="999" spans="20:20" ht="15.75" customHeight="1">
      <c r="T999" s="171"/>
    </row>
    <row r="1000" spans="20:20" ht="15.75" customHeight="1">
      <c r="T1000" s="171"/>
    </row>
  </sheetData>
  <mergeCells count="7">
    <mergeCell ref="K27:M27"/>
    <mergeCell ref="K58:M58"/>
    <mergeCell ref="D6:I6"/>
    <mergeCell ref="K6:M6"/>
    <mergeCell ref="O6:R6"/>
    <mergeCell ref="D7:F7"/>
    <mergeCell ref="G7:I7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2:AQ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G55" sqref="G55"/>
    </sheetView>
  </sheetViews>
  <sheetFormatPr defaultColWidth="12.54296875" defaultRowHeight="15" customHeight="1" outlineLevelRow="1"/>
  <cols>
    <col min="1" max="2" width="1.54296875" customWidth="1"/>
    <col min="3" max="3" width="31.1796875" customWidth="1"/>
    <col min="4" max="9" width="12.7265625" customWidth="1"/>
    <col min="10" max="10" width="1.7265625" customWidth="1"/>
    <col min="11" max="13" width="10.7265625" customWidth="1"/>
    <col min="14" max="14" width="1.7265625" customWidth="1"/>
    <col min="15" max="18" width="12.7265625" customWidth="1"/>
    <col min="19" max="19" width="1.7265625" customWidth="1"/>
    <col min="20" max="43" width="8.54296875" customWidth="1"/>
  </cols>
  <sheetData>
    <row r="2" spans="3:20" ht="4.5" customHeight="1"/>
    <row r="3" spans="3:20" ht="14.5">
      <c r="C3" s="17" t="str">
        <f>Checks!$C$3</f>
        <v>Firefly Lane</v>
      </c>
    </row>
    <row r="4" spans="3:20" ht="14.5">
      <c r="C4" s="3" t="s">
        <v>245</v>
      </c>
    </row>
    <row r="5" spans="3:20" ht="14.5"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3:20" ht="14.5">
      <c r="C6" s="148" t="s">
        <v>42</v>
      </c>
      <c r="D6" s="516" t="str">
        <f>$C$3</f>
        <v>Firefly Lane</v>
      </c>
      <c r="E6" s="514"/>
      <c r="F6" s="514"/>
      <c r="G6" s="514"/>
      <c r="H6" s="514"/>
      <c r="I6" s="515"/>
      <c r="K6" s="513" t="s">
        <v>199</v>
      </c>
      <c r="L6" s="514"/>
      <c r="M6" s="515"/>
      <c r="O6" s="513" t="s">
        <v>200</v>
      </c>
      <c r="P6" s="514"/>
      <c r="Q6" s="514"/>
      <c r="R6" s="515"/>
    </row>
    <row r="7" spans="3:20" ht="14.5">
      <c r="C7" s="19"/>
      <c r="D7" s="516" t="s">
        <v>201</v>
      </c>
      <c r="E7" s="514"/>
      <c r="F7" s="515"/>
      <c r="G7" s="516" t="s">
        <v>83</v>
      </c>
      <c r="H7" s="514"/>
      <c r="I7" s="515"/>
      <c r="K7" s="1"/>
      <c r="L7" s="1"/>
      <c r="M7" s="1"/>
      <c r="O7" s="1"/>
      <c r="P7" s="1" t="s">
        <v>202</v>
      </c>
      <c r="Q7" s="1" t="s">
        <v>203</v>
      </c>
      <c r="R7" s="1"/>
    </row>
    <row r="8" spans="3:20" ht="14.5">
      <c r="C8" s="19"/>
      <c r="D8" s="19">
        <f>Checks!$D$11</f>
        <v>2024</v>
      </c>
      <c r="E8" s="19">
        <f>Checks!$D$12</f>
        <v>2025</v>
      </c>
      <c r="F8" s="19" t="str">
        <f>Checks!$D$13</f>
        <v>LTM Apr-26</v>
      </c>
      <c r="G8" s="19" t="s">
        <v>20</v>
      </c>
      <c r="H8" s="19" t="s">
        <v>21</v>
      </c>
      <c r="I8" s="19" t="s">
        <v>22</v>
      </c>
      <c r="K8" s="2" t="s">
        <v>20</v>
      </c>
      <c r="L8" s="2" t="s">
        <v>21</v>
      </c>
      <c r="M8" s="2" t="s">
        <v>22</v>
      </c>
      <c r="O8" s="2" t="str">
        <f>C3</f>
        <v>Firefly Lane</v>
      </c>
      <c r="P8" s="149" t="str">
        <f>'Adj. P&amp;L'!CN1</f>
        <v>DFW</v>
      </c>
      <c r="Q8" s="149" t="s">
        <v>204</v>
      </c>
      <c r="R8" s="149" t="s">
        <v>205</v>
      </c>
    </row>
    <row r="9" spans="3:20" ht="4.5" customHeight="1">
      <c r="D9" t="s">
        <v>30</v>
      </c>
      <c r="K9" s="68"/>
      <c r="L9" s="68"/>
      <c r="M9" s="68"/>
      <c r="O9" s="68"/>
      <c r="P9" s="68"/>
      <c r="Q9" s="68"/>
      <c r="R9" s="68"/>
    </row>
    <row r="10" spans="3:20" ht="14.5">
      <c r="C10" s="20" t="s">
        <v>2</v>
      </c>
      <c r="K10" s="68"/>
      <c r="L10" s="68"/>
      <c r="M10" s="68"/>
      <c r="O10" s="68"/>
      <c r="P10" s="68"/>
      <c r="Q10" s="68"/>
      <c r="R10" s="68"/>
    </row>
    <row r="11" spans="3:20" ht="14.5">
      <c r="C11" s="8" t="s">
        <v>206</v>
      </c>
      <c r="D11" s="84">
        <f>'Events Summary'!$H$10</f>
        <v>99</v>
      </c>
      <c r="E11" s="84">
        <f>'Events Summary'!$H$11</f>
        <v>86</v>
      </c>
      <c r="F11" s="84">
        <f>'Events Summary'!$H$12</f>
        <v>91</v>
      </c>
      <c r="G11" s="84">
        <f>'Events Summary'!$H$14</f>
        <v>87</v>
      </c>
      <c r="H11" s="84">
        <f>'Events Summary'!$H$15</f>
        <v>23</v>
      </c>
      <c r="I11" s="117">
        <v>0</v>
      </c>
      <c r="K11" s="68"/>
      <c r="L11" s="68"/>
      <c r="M11" s="68"/>
      <c r="O11" s="68"/>
      <c r="P11" s="68"/>
      <c r="Q11" s="68"/>
      <c r="R11" s="68"/>
    </row>
    <row r="12" spans="3:20" ht="14.5">
      <c r="C12" s="8" t="s">
        <v>207</v>
      </c>
      <c r="D12" s="150"/>
      <c r="E12" s="150"/>
      <c r="F12" s="150"/>
      <c r="G12" s="25">
        <f t="shared" ref="G12:I12" si="0">G13-G11</f>
        <v>13</v>
      </c>
      <c r="H12" s="25">
        <f t="shared" si="0"/>
        <v>77</v>
      </c>
      <c r="I12" s="25">
        <f t="shared" si="0"/>
        <v>100</v>
      </c>
      <c r="K12" s="68"/>
      <c r="L12" s="68"/>
      <c r="M12" s="68"/>
      <c r="O12" s="68"/>
      <c r="P12" s="151"/>
      <c r="Q12" s="68"/>
      <c r="R12" s="68"/>
    </row>
    <row r="13" spans="3:20" ht="14.5">
      <c r="C13" s="152" t="s">
        <v>195</v>
      </c>
      <c r="D13" s="192">
        <f t="shared" ref="D13:F13" si="1">SUM(D11:D12)</f>
        <v>99</v>
      </c>
      <c r="E13" s="192">
        <f t="shared" si="1"/>
        <v>86</v>
      </c>
      <c r="F13" s="192">
        <f t="shared" si="1"/>
        <v>91</v>
      </c>
      <c r="G13" s="193">
        <v>100</v>
      </c>
      <c r="H13" s="193">
        <v>100</v>
      </c>
      <c r="I13" s="193">
        <v>100</v>
      </c>
      <c r="K13" s="68"/>
      <c r="L13" s="68"/>
      <c r="M13" s="68"/>
      <c r="O13" s="68"/>
      <c r="P13" s="84">
        <f t="array" ref="P13">INDEX('WH Rev &amp; Events Data'!13:13,MATCH(P$8,'WH Rev &amp; Events Data'!$8:$8,0))</f>
        <v>1614</v>
      </c>
      <c r="Q13" s="84">
        <f t="array" ref="Q13">INDEX('WH Rev &amp; Events Data'!13:13,MATCH(Q$8,'WH Rev &amp; Events Data'!$8:$8,0))</f>
        <v>1614</v>
      </c>
      <c r="R13" s="84">
        <f t="array" ref="R13">INDEX('WH Rev &amp; Events Data'!13:13,MATCH(R$8,'WH Rev &amp; Events Data'!$8:$8,0))</f>
        <v>3035</v>
      </c>
      <c r="T13" s="171"/>
    </row>
    <row r="14" spans="3:20" ht="4.5" customHeight="1">
      <c r="K14" s="68"/>
      <c r="L14" s="68"/>
      <c r="M14" s="68"/>
      <c r="O14" s="68"/>
      <c r="P14" s="68"/>
      <c r="Q14" s="68"/>
      <c r="R14" s="68"/>
    </row>
    <row r="15" spans="3:20" ht="14.5">
      <c r="C15" s="20" t="s">
        <v>33</v>
      </c>
      <c r="K15" s="68"/>
      <c r="L15" s="68"/>
      <c r="M15" s="68"/>
      <c r="O15" s="68"/>
      <c r="P15" s="68"/>
      <c r="Q15" s="68"/>
      <c r="R15" s="68"/>
    </row>
    <row r="16" spans="3:20" ht="14.5">
      <c r="C16" s="8" t="s">
        <v>206</v>
      </c>
      <c r="D16" s="86">
        <f>('Events Summary'!$I$10)/1000</f>
        <v>704.75</v>
      </c>
      <c r="E16" s="86">
        <f>('Events Summary'!$I$11)/1000</f>
        <v>605.5</v>
      </c>
      <c r="F16" s="86">
        <f>('Events Summary'!$I$12)/1000</f>
        <v>650.5</v>
      </c>
      <c r="G16" s="86">
        <f>('Events Summary'!$I$14)/1000</f>
        <v>691.95</v>
      </c>
      <c r="H16" s="86">
        <f>('Events Summary'!$I$15)/1000</f>
        <v>196.77500000000001</v>
      </c>
      <c r="I16" s="137">
        <v>0</v>
      </c>
      <c r="K16" s="68"/>
      <c r="L16" s="68"/>
      <c r="M16" s="68"/>
      <c r="O16" s="68"/>
      <c r="P16" s="68"/>
      <c r="Q16" s="68"/>
      <c r="R16" s="68"/>
    </row>
    <row r="17" spans="1:43" ht="14.5">
      <c r="C17" s="8" t="s">
        <v>208</v>
      </c>
      <c r="D17" s="137"/>
      <c r="E17" s="137"/>
      <c r="F17" s="137"/>
      <c r="G17" s="7">
        <f t="shared" ref="G17:I17" si="2">G71-G16</f>
        <v>232.89242424242423</v>
      </c>
      <c r="H17" s="7">
        <f t="shared" si="2"/>
        <v>66.531159357484654</v>
      </c>
      <c r="I17" s="7">
        <f t="shared" si="2"/>
        <v>0</v>
      </c>
      <c r="K17" s="68"/>
      <c r="L17" s="68"/>
      <c r="M17" s="68"/>
      <c r="O17" s="68"/>
      <c r="P17" s="68"/>
      <c r="Q17" s="68"/>
      <c r="R17" s="68"/>
    </row>
    <row r="18" spans="1:43" ht="14.5">
      <c r="C18" s="8" t="s">
        <v>209</v>
      </c>
      <c r="D18" s="157"/>
      <c r="E18" s="157"/>
      <c r="F18" s="157"/>
      <c r="G18" s="7">
        <f t="shared" ref="G18:I18" si="3">G87</f>
        <v>172.67365117691173</v>
      </c>
      <c r="H18" s="7">
        <f t="shared" si="3"/>
        <v>1332.6925695853149</v>
      </c>
      <c r="I18" s="7">
        <f t="shared" si="3"/>
        <v>2237.9122797473055</v>
      </c>
      <c r="K18" s="68"/>
      <c r="L18" s="68"/>
      <c r="M18" s="68"/>
      <c r="O18" s="68"/>
      <c r="P18" s="68"/>
      <c r="Q18" s="68"/>
      <c r="R18" s="68"/>
    </row>
    <row r="19" spans="1:43" ht="14.5">
      <c r="A19" s="17"/>
      <c r="B19" s="17"/>
      <c r="C19" s="152" t="s">
        <v>195</v>
      </c>
      <c r="D19" s="158">
        <f t="shared" ref="D19:I19" si="4">SUM(D16:D18)</f>
        <v>704.75</v>
      </c>
      <c r="E19" s="158">
        <f t="shared" si="4"/>
        <v>605.5</v>
      </c>
      <c r="F19" s="158">
        <f t="shared" si="4"/>
        <v>650.5</v>
      </c>
      <c r="G19" s="134">
        <f t="shared" si="4"/>
        <v>1097.5160754193359</v>
      </c>
      <c r="H19" s="134">
        <f t="shared" si="4"/>
        <v>1595.9987289427995</v>
      </c>
      <c r="I19" s="134">
        <f t="shared" si="4"/>
        <v>2237.9122797473055</v>
      </c>
      <c r="J19" s="17"/>
      <c r="K19" s="154"/>
      <c r="L19" s="154"/>
      <c r="M19" s="154"/>
      <c r="N19" s="17"/>
      <c r="O19" s="154"/>
      <c r="P19" s="154"/>
      <c r="Q19" s="154"/>
      <c r="R19" s="154"/>
      <c r="S19" s="17"/>
      <c r="T19" s="15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</row>
    <row r="20" spans="1:43" ht="4.5" customHeight="1">
      <c r="K20" s="68"/>
      <c r="L20" s="68"/>
      <c r="M20" s="68"/>
      <c r="O20" s="68"/>
      <c r="P20" s="68"/>
      <c r="Q20" s="68"/>
      <c r="R20" s="68"/>
    </row>
    <row r="21" spans="1:43" ht="15.75" customHeight="1">
      <c r="C21" s="20" t="s">
        <v>167</v>
      </c>
      <c r="K21" s="68"/>
      <c r="L21" s="68"/>
      <c r="M21" s="68"/>
      <c r="O21" s="68"/>
      <c r="P21" s="68"/>
      <c r="Q21" s="68"/>
      <c r="R21" s="68"/>
    </row>
    <row r="22" spans="1:43" ht="15.75" customHeight="1">
      <c r="C22" s="8" t="s">
        <v>206</v>
      </c>
      <c r="D22" s="10">
        <f t="shared" ref="D22:I22" si="5">IFERROR(D16/D11,0)</f>
        <v>7.1186868686868685</v>
      </c>
      <c r="E22" s="10">
        <f t="shared" si="5"/>
        <v>7.0406976744186043</v>
      </c>
      <c r="F22" s="10">
        <f t="shared" si="5"/>
        <v>7.1483516483516487</v>
      </c>
      <c r="G22" s="10">
        <f t="shared" si="5"/>
        <v>7.9534482758620699</v>
      </c>
      <c r="H22" s="10">
        <f t="shared" si="5"/>
        <v>8.5554347826086961</v>
      </c>
      <c r="I22" s="10">
        <f t="shared" si="5"/>
        <v>0</v>
      </c>
      <c r="K22" s="68"/>
      <c r="L22" s="68"/>
      <c r="M22" s="68"/>
      <c r="O22" s="68"/>
      <c r="P22" s="68"/>
      <c r="Q22" s="68"/>
      <c r="R22" s="68"/>
    </row>
    <row r="23" spans="1:43" ht="15.75" customHeight="1">
      <c r="C23" s="8" t="s">
        <v>208</v>
      </c>
      <c r="D23" s="159"/>
      <c r="E23" s="159"/>
      <c r="F23" s="159"/>
      <c r="G23" s="10">
        <f t="shared" ref="G23:I23" si="6">IFERROR(G17/G11,0)</f>
        <v>2.6769244165795887</v>
      </c>
      <c r="H23" s="10">
        <f t="shared" si="6"/>
        <v>2.8926591024993327</v>
      </c>
      <c r="I23" s="10">
        <f t="shared" si="6"/>
        <v>0</v>
      </c>
      <c r="K23" s="68"/>
      <c r="L23" s="68"/>
      <c r="M23" s="68"/>
      <c r="O23" s="68"/>
      <c r="P23" s="68"/>
      <c r="Q23" s="68"/>
      <c r="R23" s="68"/>
    </row>
    <row r="24" spans="1:43" ht="15.75" customHeight="1">
      <c r="C24" s="8" t="s">
        <v>209</v>
      </c>
      <c r="D24" s="159"/>
      <c r="E24" s="159"/>
      <c r="F24" s="159"/>
      <c r="G24" s="10">
        <f t="shared" ref="G24:I24" si="7">IFERROR(G18/G12,0)</f>
        <v>13.282588552070134</v>
      </c>
      <c r="H24" s="10">
        <f t="shared" si="7"/>
        <v>17.307695708900194</v>
      </c>
      <c r="I24" s="10">
        <f t="shared" si="7"/>
        <v>22.379122797473055</v>
      </c>
      <c r="K24" s="68"/>
      <c r="L24" s="68"/>
      <c r="M24" s="68"/>
      <c r="O24" s="68"/>
      <c r="P24" s="68"/>
      <c r="Q24" s="68"/>
      <c r="R24" s="68"/>
    </row>
    <row r="25" spans="1:43" ht="15.75" customHeight="1">
      <c r="C25" s="152" t="s">
        <v>195</v>
      </c>
      <c r="D25" s="160">
        <f t="shared" ref="D25:I25" si="8">IFERROR(D19/D13,0)</f>
        <v>7.1186868686868685</v>
      </c>
      <c r="E25" s="160">
        <f t="shared" si="8"/>
        <v>7.0406976744186043</v>
      </c>
      <c r="F25" s="160">
        <f t="shared" si="8"/>
        <v>7.1483516483516487</v>
      </c>
      <c r="G25" s="161">
        <f t="shared" si="8"/>
        <v>10.975160754193359</v>
      </c>
      <c r="H25" s="161">
        <f t="shared" si="8"/>
        <v>15.959987289427994</v>
      </c>
      <c r="I25" s="161">
        <f t="shared" si="8"/>
        <v>22.379122797473055</v>
      </c>
      <c r="K25" s="68"/>
      <c r="L25" s="68"/>
      <c r="M25" s="68"/>
      <c r="O25" s="68"/>
      <c r="P25" s="68"/>
      <c r="Q25" s="68"/>
      <c r="R25" s="68"/>
    </row>
    <row r="26" spans="1:43" ht="15.75" customHeight="1"/>
    <row r="27" spans="1:43" ht="15.75" customHeight="1" outlineLevel="1">
      <c r="C27" s="162" t="s">
        <v>210</v>
      </c>
      <c r="D27" s="163"/>
      <c r="E27" s="163"/>
      <c r="F27" s="163"/>
      <c r="G27" s="163"/>
      <c r="H27" s="163"/>
      <c r="I27" s="163"/>
      <c r="J27" s="163"/>
      <c r="K27" s="518" t="s">
        <v>211</v>
      </c>
      <c r="L27" s="514"/>
      <c r="M27" s="515"/>
      <c r="N27" s="163"/>
      <c r="O27" s="164"/>
      <c r="P27" s="165"/>
      <c r="Q27" s="165"/>
      <c r="R27" s="165"/>
      <c r="S27" s="25"/>
      <c r="T27" s="25"/>
    </row>
    <row r="28" spans="1:43" ht="15.75" customHeight="1" outlineLevel="1">
      <c r="A28" s="3"/>
      <c r="B28" s="3"/>
      <c r="C28" s="33" t="s">
        <v>212</v>
      </c>
      <c r="D28" s="27"/>
      <c r="E28" s="27"/>
      <c r="F28" s="27"/>
      <c r="G28" s="27"/>
      <c r="H28" s="27"/>
      <c r="I28" s="27"/>
      <c r="J28" s="27"/>
      <c r="K28" s="166"/>
      <c r="L28" s="166"/>
      <c r="M28" s="166"/>
      <c r="N28" s="27"/>
      <c r="O28" s="166"/>
      <c r="P28" s="167"/>
      <c r="Q28" s="167"/>
      <c r="R28" s="167"/>
      <c r="S28" s="25"/>
      <c r="T28" s="2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ht="15.75" customHeight="1" outlineLevel="1">
      <c r="C29" s="8" t="s">
        <v>213</v>
      </c>
      <c r="D29" s="183">
        <f t="shared" ref="D29:F29" si="9">D11</f>
        <v>99</v>
      </c>
      <c r="E29" s="183">
        <f t="shared" si="9"/>
        <v>86</v>
      </c>
      <c r="F29" s="183">
        <f t="shared" si="9"/>
        <v>91</v>
      </c>
      <c r="G29" s="25">
        <f t="shared" ref="G29:I29" si="10">ROUND(G$11*K29,0)</f>
        <v>87</v>
      </c>
      <c r="H29" s="25">
        <f t="shared" si="10"/>
        <v>23</v>
      </c>
      <c r="I29" s="25">
        <f t="shared" si="10"/>
        <v>0</v>
      </c>
      <c r="J29" s="25"/>
      <c r="K29" s="11">
        <f>'Revenue Analysis - Barn'!K29</f>
        <v>1</v>
      </c>
      <c r="L29" s="11">
        <f>'Revenue Analysis - Barn'!L29</f>
        <v>1</v>
      </c>
      <c r="M29" s="11">
        <f>'Revenue Analysis - Barn'!M29</f>
        <v>1</v>
      </c>
      <c r="N29" s="25"/>
      <c r="O29" s="168"/>
      <c r="P29" s="168"/>
      <c r="Q29" s="168"/>
      <c r="R29" s="98"/>
      <c r="S29" s="25"/>
      <c r="T29" s="25"/>
    </row>
    <row r="30" spans="1:43" ht="15.75" customHeight="1" outlineLevel="1">
      <c r="C30" s="8" t="s">
        <v>196</v>
      </c>
      <c r="D30" s="169"/>
      <c r="E30" s="169"/>
      <c r="F30" s="169"/>
      <c r="G30" s="25">
        <f t="shared" ref="G30:I30" si="11">ROUND(G$11*K30,0)</f>
        <v>22</v>
      </c>
      <c r="H30" s="25">
        <f t="shared" si="11"/>
        <v>6</v>
      </c>
      <c r="I30" s="25">
        <f t="shared" si="11"/>
        <v>0</v>
      </c>
      <c r="J30" s="25"/>
      <c r="K30" s="11">
        <f>'Revenue Analysis - Barn'!K30</f>
        <v>0.25</v>
      </c>
      <c r="L30" s="11">
        <f>'Revenue Analysis - Barn'!L30</f>
        <v>0.25</v>
      </c>
      <c r="M30" s="11">
        <f>'Revenue Analysis - Barn'!M30</f>
        <v>0.25</v>
      </c>
      <c r="N30" s="25"/>
      <c r="O30" s="170">
        <v>0</v>
      </c>
      <c r="P30" s="170">
        <v>0</v>
      </c>
      <c r="Q30" s="170">
        <v>0</v>
      </c>
      <c r="R30" s="170">
        <v>0</v>
      </c>
      <c r="S30" s="25"/>
      <c r="T30" s="171"/>
    </row>
    <row r="31" spans="1:43" ht="15.75" customHeight="1" outlineLevel="1">
      <c r="C31" s="8" t="s">
        <v>214</v>
      </c>
      <c r="D31" s="169"/>
      <c r="E31" s="169"/>
      <c r="F31" s="169"/>
      <c r="G31" s="25">
        <f t="shared" ref="G31:I31" si="12">ROUND(G$11*K31,0)</f>
        <v>0</v>
      </c>
      <c r="H31" s="25">
        <f t="shared" si="12"/>
        <v>0</v>
      </c>
      <c r="I31" s="25">
        <f t="shared" si="12"/>
        <v>0</v>
      </c>
      <c r="J31" s="25"/>
      <c r="K31" s="11">
        <f>'Revenue Analysis - Barn'!K31</f>
        <v>0</v>
      </c>
      <c r="L31" s="11">
        <f>'Revenue Analysis - Barn'!L31</f>
        <v>0</v>
      </c>
      <c r="M31" s="11">
        <f>'Revenue Analysis - Barn'!M31</f>
        <v>0</v>
      </c>
      <c r="N31" s="25"/>
      <c r="O31" s="170">
        <v>0</v>
      </c>
      <c r="P31" s="170">
        <v>0</v>
      </c>
      <c r="Q31" s="170">
        <v>0</v>
      </c>
      <c r="R31" s="170">
        <v>0</v>
      </c>
      <c r="S31" s="25"/>
      <c r="T31" s="171"/>
    </row>
    <row r="32" spans="1:43" ht="15.75" customHeight="1" outlineLevel="1">
      <c r="C32" s="8" t="s">
        <v>215</v>
      </c>
      <c r="D32" s="169"/>
      <c r="E32" s="169"/>
      <c r="F32" s="169"/>
      <c r="G32" s="25">
        <f t="shared" ref="G32:I32" si="13">ROUND(G$11*K32,0)</f>
        <v>0</v>
      </c>
      <c r="H32" s="25">
        <f t="shared" si="13"/>
        <v>0</v>
      </c>
      <c r="I32" s="25">
        <f t="shared" si="13"/>
        <v>0</v>
      </c>
      <c r="J32" s="25"/>
      <c r="K32" s="11">
        <f>'Revenue Analysis - Barn'!K32</f>
        <v>0</v>
      </c>
      <c r="L32" s="11">
        <f>'Revenue Analysis - Barn'!L32</f>
        <v>0</v>
      </c>
      <c r="M32" s="11">
        <f>'Revenue Analysis - Barn'!M32</f>
        <v>0</v>
      </c>
      <c r="N32" s="25"/>
      <c r="O32" s="170">
        <v>0</v>
      </c>
      <c r="P32" s="170">
        <v>0</v>
      </c>
      <c r="Q32" s="170">
        <v>0</v>
      </c>
      <c r="R32" s="170">
        <v>0</v>
      </c>
      <c r="S32" s="25"/>
      <c r="T32" s="25"/>
    </row>
    <row r="33" spans="1:43" ht="15.75" customHeight="1" outlineLevel="1">
      <c r="C33" s="8" t="s">
        <v>216</v>
      </c>
      <c r="D33" s="169"/>
      <c r="E33" s="169"/>
      <c r="F33" s="169"/>
      <c r="G33" s="25">
        <f t="shared" ref="G33:I33" si="14">ROUND(G$11*K33,0)</f>
        <v>15</v>
      </c>
      <c r="H33" s="25">
        <f t="shared" si="14"/>
        <v>4</v>
      </c>
      <c r="I33" s="25">
        <f t="shared" si="14"/>
        <v>0</v>
      </c>
      <c r="J33" s="25"/>
      <c r="K33" s="11">
        <f>'Revenue Analysis - Barn'!K33</f>
        <v>0.17257001647446457</v>
      </c>
      <c r="L33" s="11">
        <f>'Revenue Analysis - Barn'!L33</f>
        <v>0.17257001647446457</v>
      </c>
      <c r="M33" s="11">
        <f>'Revenue Analysis - Barn'!M33</f>
        <v>0.17257001647446457</v>
      </c>
      <c r="N33" s="25"/>
      <c r="O33" s="170">
        <v>0</v>
      </c>
      <c r="P33" s="170">
        <f t="array" ref="P33">INDEX('WH Rev &amp; Events Data'!27:27,MATCH(P$8,'WH Rev &amp; Events Data'!$8:$8,0))</f>
        <v>0.66356877323420072</v>
      </c>
      <c r="Q33" s="170">
        <f t="array" ref="Q33">INDEX('WH Rev &amp; Events Data'!27:27,MATCH(Q$8,'WH Rev &amp; Events Data'!$8:$8,0))</f>
        <v>0.66356877323420072</v>
      </c>
      <c r="R33" s="170">
        <f t="array" ref="R33">INDEX('WH Rev &amp; Events Data'!27:27,MATCH(R$8,'WH Rev &amp; Events Data'!$8:$8,0))</f>
        <v>0.69028006589785829</v>
      </c>
      <c r="S33" s="25"/>
      <c r="T33" s="171"/>
    </row>
    <row r="34" spans="1:43" ht="15.75" customHeight="1" outlineLevel="1">
      <c r="C34" s="8" t="s">
        <v>217</v>
      </c>
      <c r="D34" s="169"/>
      <c r="E34" s="169"/>
      <c r="F34" s="169"/>
      <c r="G34" s="25">
        <f t="shared" ref="G34:I34" si="15">ROUND(G$11*K34,0)</f>
        <v>12</v>
      </c>
      <c r="H34" s="25">
        <f t="shared" si="15"/>
        <v>3</v>
      </c>
      <c r="I34" s="25">
        <f t="shared" si="15"/>
        <v>0</v>
      </c>
      <c r="J34" s="25"/>
      <c r="K34" s="11">
        <f>'Revenue Analysis - Barn'!K34</f>
        <v>0.13484349258649095</v>
      </c>
      <c r="L34" s="11">
        <f>'Revenue Analysis - Barn'!L34</f>
        <v>0.13484349258649095</v>
      </c>
      <c r="M34" s="11">
        <f>'Revenue Analysis - Barn'!M34</f>
        <v>0.13484349258649095</v>
      </c>
      <c r="N34" s="25"/>
      <c r="O34" s="170">
        <v>0</v>
      </c>
      <c r="P34" s="170">
        <f t="array" ref="P34">INDEX('WH Rev &amp; Events Data'!28:28,MATCH(P$8,'WH Rev &amp; Events Data'!$8:$8,0))</f>
        <v>0.52602230483271373</v>
      </c>
      <c r="Q34" s="170">
        <f t="array" ref="Q34">INDEX('WH Rev &amp; Events Data'!28:28,MATCH(Q$8,'WH Rev &amp; Events Data'!$8:$8,0))</f>
        <v>0.52602230483271373</v>
      </c>
      <c r="R34" s="170">
        <f t="array" ref="R34">INDEX('WH Rev &amp; Events Data'!28:28,MATCH(R$8,'WH Rev &amp; Events Data'!$8:$8,0))</f>
        <v>0.53937397034596379</v>
      </c>
      <c r="S34" s="25"/>
      <c r="T34" s="171"/>
    </row>
    <row r="35" spans="1:43" ht="15.75" customHeight="1" outlineLevel="1">
      <c r="C35" s="8" t="s">
        <v>218</v>
      </c>
      <c r="D35" s="169"/>
      <c r="E35" s="169"/>
      <c r="F35" s="169"/>
      <c r="G35" s="25">
        <f t="shared" ref="G35:I35" si="16">ROUND(G$11*K35,0)</f>
        <v>10</v>
      </c>
      <c r="H35" s="25">
        <f t="shared" si="16"/>
        <v>3</v>
      </c>
      <c r="I35" s="25">
        <f t="shared" si="16"/>
        <v>0</v>
      </c>
      <c r="J35" s="25"/>
      <c r="K35" s="11">
        <f>'Revenue Analysis - Barn'!K35</f>
        <v>0.11062602965403624</v>
      </c>
      <c r="L35" s="11">
        <f>'Revenue Analysis - Barn'!L35</f>
        <v>0.11062602965403624</v>
      </c>
      <c r="M35" s="11">
        <f>'Revenue Analysis - Barn'!M35</f>
        <v>0.11062602965403624</v>
      </c>
      <c r="N35" s="25"/>
      <c r="O35" s="170">
        <v>0</v>
      </c>
      <c r="P35" s="170">
        <f t="array" ref="P35">INDEX('WH Rev &amp; Events Data'!29:29,MATCH(P$8,'WH Rev &amp; Events Data'!$8:$8,0))</f>
        <v>0.46344485749690212</v>
      </c>
      <c r="Q35" s="170">
        <f t="array" ref="Q35">INDEX('WH Rev &amp; Events Data'!29:29,MATCH(Q$8,'WH Rev &amp; Events Data'!$8:$8,0))</f>
        <v>0.46344485749690212</v>
      </c>
      <c r="R35" s="170">
        <f t="array" ref="R35">INDEX('WH Rev &amp; Events Data'!29:29,MATCH(R$8,'WH Rev &amp; Events Data'!$8:$8,0))</f>
        <v>0.44250411861614497</v>
      </c>
      <c r="S35" s="25"/>
      <c r="T35" s="171"/>
    </row>
    <row r="36" spans="1:43" ht="15.75" customHeight="1" outlineLevel="1">
      <c r="C36" s="8" t="s">
        <v>219</v>
      </c>
      <c r="D36" s="169"/>
      <c r="E36" s="169"/>
      <c r="F36" s="169"/>
      <c r="G36" s="25">
        <f t="shared" ref="G36:I36" si="17">ROUND(G$11*K36,0)</f>
        <v>0</v>
      </c>
      <c r="H36" s="25">
        <f t="shared" si="17"/>
        <v>3</v>
      </c>
      <c r="I36" s="25">
        <f t="shared" si="17"/>
        <v>0</v>
      </c>
      <c r="J36" s="25"/>
      <c r="K36" s="11">
        <f>'Revenue Analysis - Barn'!K36</f>
        <v>0</v>
      </c>
      <c r="L36" s="11">
        <f>'Revenue Analysis - Barn'!L36</f>
        <v>0.14843492586490939</v>
      </c>
      <c r="M36" s="11">
        <f>'Revenue Analysis - Barn'!M36</f>
        <v>0.14843492586490939</v>
      </c>
      <c r="N36" s="25"/>
      <c r="O36" s="170">
        <v>0</v>
      </c>
      <c r="P36" s="170">
        <f t="array" ref="P36">INDEX('WH Rev &amp; Events Data'!30:30,MATCH(P$8,'WH Rev &amp; Events Data'!$8:$8,0))</f>
        <v>0.57682775712515488</v>
      </c>
      <c r="Q36" s="170">
        <f t="array" ref="Q36">INDEX('WH Rev &amp; Events Data'!30:30,MATCH(Q$8,'WH Rev &amp; Events Data'!$8:$8,0))</f>
        <v>0.57682775712515488</v>
      </c>
      <c r="R36" s="170">
        <f t="array" ref="R36">INDEX('WH Rev &amp; Events Data'!30:30,MATCH(R$8,'WH Rev &amp; Events Data'!$8:$8,0))</f>
        <v>0.59373970345963756</v>
      </c>
      <c r="S36" s="25"/>
      <c r="T36" s="25"/>
    </row>
    <row r="37" spans="1:43" ht="15.75" customHeight="1" outlineLevel="1">
      <c r="C37" s="8" t="s">
        <v>220</v>
      </c>
      <c r="D37" s="169"/>
      <c r="E37" s="169"/>
      <c r="F37" s="169"/>
      <c r="G37" s="25">
        <f t="shared" ref="G37:I37" si="18">ROUND(G$11*K37,0)</f>
        <v>10</v>
      </c>
      <c r="H37" s="25">
        <f t="shared" si="18"/>
        <v>3</v>
      </c>
      <c r="I37" s="25">
        <f t="shared" si="18"/>
        <v>0</v>
      </c>
      <c r="J37" s="25"/>
      <c r="K37" s="11">
        <f>'Revenue Analysis - Barn'!K37</f>
        <v>0.11243822075782538</v>
      </c>
      <c r="L37" s="11">
        <f>'Revenue Analysis - Barn'!L37</f>
        <v>0.11243822075782538</v>
      </c>
      <c r="M37" s="11">
        <f>'Revenue Analysis - Barn'!M37</f>
        <v>0.11243822075782538</v>
      </c>
      <c r="N37" s="25"/>
      <c r="O37" s="170">
        <v>0</v>
      </c>
      <c r="P37" s="170">
        <f t="array" ref="P37">INDEX('WH Rev &amp; Events Data'!31:31,MATCH(P$8,'WH Rev &amp; Events Data'!$8:$8,0))</f>
        <v>0.45724907063197023</v>
      </c>
      <c r="Q37" s="170">
        <f t="array" ref="Q37">INDEX('WH Rev &amp; Events Data'!31:31,MATCH(Q$8,'WH Rev &amp; Events Data'!$8:$8,0))</f>
        <v>0.45724907063197023</v>
      </c>
      <c r="R37" s="170">
        <f t="array" ref="R37">INDEX('WH Rev &amp; Events Data'!31:31,MATCH(R$8,'WH Rev &amp; Events Data'!$8:$8,0))</f>
        <v>0.44975288303130151</v>
      </c>
      <c r="S37" s="25"/>
      <c r="T37" s="171"/>
    </row>
    <row r="38" spans="1:43" ht="15.75" customHeight="1" outlineLevel="1">
      <c r="C38" s="8" t="s">
        <v>8</v>
      </c>
      <c r="D38" s="169"/>
      <c r="E38" s="169"/>
      <c r="F38" s="169"/>
      <c r="G38" s="25">
        <f t="shared" ref="G38:I38" si="19">ROUND(G$11*K38,0)</f>
        <v>0</v>
      </c>
      <c r="H38" s="25">
        <f t="shared" si="19"/>
        <v>0</v>
      </c>
      <c r="I38" s="25">
        <f t="shared" si="19"/>
        <v>0</v>
      </c>
      <c r="J38" s="25"/>
      <c r="K38" s="11">
        <f>'Revenue Analysis - Barn'!K38</f>
        <v>0</v>
      </c>
      <c r="L38" s="11">
        <f>'Revenue Analysis - Barn'!L38</f>
        <v>0</v>
      </c>
      <c r="M38" s="11">
        <f>'Revenue Analysis - Barn'!M38</f>
        <v>0</v>
      </c>
      <c r="N38" s="25"/>
      <c r="O38" s="168"/>
      <c r="P38" s="168"/>
      <c r="Q38" s="168"/>
      <c r="R38" s="168"/>
      <c r="S38" s="25"/>
      <c r="T38" s="171"/>
    </row>
    <row r="39" spans="1:43" ht="4.5" customHeight="1" outlineLevel="1"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72"/>
      <c r="S39" s="10"/>
      <c r="T39" s="25"/>
    </row>
    <row r="40" spans="1:43" ht="15.75" customHeight="1">
      <c r="A40" s="17"/>
      <c r="B40" s="17"/>
      <c r="C40" s="173" t="s">
        <v>221</v>
      </c>
      <c r="D40" s="174">
        <f t="shared" ref="D40:I40" si="20">D11</f>
        <v>99</v>
      </c>
      <c r="E40" s="174">
        <f t="shared" si="20"/>
        <v>86</v>
      </c>
      <c r="F40" s="174">
        <f t="shared" si="20"/>
        <v>91</v>
      </c>
      <c r="G40" s="174">
        <f t="shared" si="20"/>
        <v>87</v>
      </c>
      <c r="H40" s="174">
        <f t="shared" si="20"/>
        <v>23</v>
      </c>
      <c r="I40" s="174">
        <f t="shared" si="20"/>
        <v>0</v>
      </c>
      <c r="J40" s="174"/>
      <c r="K40" s="175"/>
      <c r="L40" s="175"/>
      <c r="M40" s="175"/>
      <c r="N40" s="174"/>
      <c r="O40" s="175"/>
      <c r="P40" s="175"/>
      <c r="Q40" s="175"/>
      <c r="R40" s="175"/>
      <c r="S40" s="27"/>
      <c r="T40" s="2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3" ht="15.75" customHeight="1">
      <c r="C41" s="17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</row>
    <row r="42" spans="1:43" ht="15.75" customHeight="1" outlineLevel="1">
      <c r="A42" s="3"/>
      <c r="B42" s="3"/>
      <c r="C42" s="33" t="s">
        <v>222</v>
      </c>
      <c r="D42" s="27"/>
      <c r="E42" s="27"/>
      <c r="F42" s="27"/>
      <c r="G42" s="27"/>
      <c r="H42" s="27"/>
      <c r="I42" s="27"/>
      <c r="J42" s="27"/>
      <c r="K42" s="166"/>
      <c r="L42" s="166"/>
      <c r="M42" s="166"/>
      <c r="N42" s="27"/>
      <c r="O42" s="166"/>
      <c r="P42" s="167"/>
      <c r="Q42" s="167"/>
      <c r="R42" s="167"/>
      <c r="S42" s="25"/>
      <c r="T42" s="2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ht="15.75" customHeight="1" outlineLevel="1">
      <c r="C43" s="8" t="s">
        <v>213</v>
      </c>
      <c r="D43" s="183">
        <f t="shared" ref="D43:F43" si="21">D12</f>
        <v>0</v>
      </c>
      <c r="E43" s="183">
        <f t="shared" si="21"/>
        <v>0</v>
      </c>
      <c r="F43" s="183">
        <f t="shared" si="21"/>
        <v>0</v>
      </c>
      <c r="G43" s="25">
        <f t="shared" ref="G43:I43" si="22">G$12*K43</f>
        <v>13</v>
      </c>
      <c r="H43" s="25">
        <f t="shared" si="22"/>
        <v>77</v>
      </c>
      <c r="I43" s="25">
        <f t="shared" si="22"/>
        <v>100</v>
      </c>
      <c r="J43" s="25"/>
      <c r="K43" s="11">
        <f>'Revenue Analysis - Barn'!K43</f>
        <v>1</v>
      </c>
      <c r="L43" s="11">
        <f>'Revenue Analysis - Barn'!L43</f>
        <v>1</v>
      </c>
      <c r="M43" s="11">
        <f>'Revenue Analysis - Barn'!M43</f>
        <v>1</v>
      </c>
      <c r="N43" s="25"/>
      <c r="O43" s="168"/>
      <c r="P43" s="168"/>
      <c r="Q43" s="168"/>
      <c r="R43" s="98"/>
      <c r="S43" s="25"/>
      <c r="T43" s="25"/>
    </row>
    <row r="44" spans="1:43" ht="15.75" customHeight="1" outlineLevel="1">
      <c r="C44" s="8" t="s">
        <v>196</v>
      </c>
      <c r="D44" s="169"/>
      <c r="E44" s="169"/>
      <c r="F44" s="169"/>
      <c r="G44" s="25">
        <f t="shared" ref="G44:I44" si="23">G$12*K44</f>
        <v>6.5</v>
      </c>
      <c r="H44" s="25">
        <f t="shared" si="23"/>
        <v>57.75</v>
      </c>
      <c r="I44" s="25">
        <f t="shared" si="23"/>
        <v>100</v>
      </c>
      <c r="J44" s="25"/>
      <c r="K44" s="11">
        <f>'Revenue Analysis - Barn'!K44</f>
        <v>0.5</v>
      </c>
      <c r="L44" s="11">
        <f>'Revenue Analysis - Barn'!L44</f>
        <v>0.75</v>
      </c>
      <c r="M44" s="11">
        <f>'Revenue Analysis - Barn'!M44</f>
        <v>1</v>
      </c>
      <c r="N44" s="25"/>
      <c r="O44" s="10">
        <v>0</v>
      </c>
      <c r="P44" s="10">
        <v>0</v>
      </c>
      <c r="Q44" s="10">
        <v>0</v>
      </c>
      <c r="R44" s="10">
        <v>0</v>
      </c>
      <c r="S44" s="25"/>
      <c r="T44" s="171"/>
    </row>
    <row r="45" spans="1:43" ht="15.75" customHeight="1" outlineLevel="1">
      <c r="C45" s="8" t="s">
        <v>214</v>
      </c>
      <c r="D45" s="169"/>
      <c r="E45" s="169"/>
      <c r="F45" s="169"/>
      <c r="G45" s="25">
        <f t="shared" ref="G45:I45" si="24">G$12*K45</f>
        <v>0</v>
      </c>
      <c r="H45" s="25">
        <f t="shared" si="24"/>
        <v>19.25</v>
      </c>
      <c r="I45" s="25">
        <f t="shared" si="24"/>
        <v>100</v>
      </c>
      <c r="J45" s="25"/>
      <c r="K45" s="11">
        <f>'Revenue Analysis - Barn'!K45</f>
        <v>0</v>
      </c>
      <c r="L45" s="11">
        <f>'Revenue Analysis - Barn'!L45</f>
        <v>0.25</v>
      </c>
      <c r="M45" s="11">
        <f>'Revenue Analysis - Barn'!M45</f>
        <v>1</v>
      </c>
      <c r="N45" s="25"/>
      <c r="O45" s="10">
        <v>0</v>
      </c>
      <c r="P45" s="10">
        <v>0</v>
      </c>
      <c r="Q45" s="10">
        <v>0</v>
      </c>
      <c r="R45" s="10">
        <v>0</v>
      </c>
      <c r="S45" s="25"/>
      <c r="T45" s="171"/>
    </row>
    <row r="46" spans="1:43" ht="15.75" customHeight="1" outlineLevel="1">
      <c r="C46" s="8" t="s">
        <v>215</v>
      </c>
      <c r="D46" s="169"/>
      <c r="E46" s="169"/>
      <c r="F46" s="169"/>
      <c r="G46" s="25">
        <f t="shared" ref="G46:I46" si="25">G$12*K46</f>
        <v>0</v>
      </c>
      <c r="H46" s="25">
        <f t="shared" si="25"/>
        <v>0</v>
      </c>
      <c r="I46" s="25">
        <f t="shared" si="25"/>
        <v>0</v>
      </c>
      <c r="J46" s="25"/>
      <c r="K46" s="11">
        <f>'Revenue Analysis - Barn'!K46</f>
        <v>0</v>
      </c>
      <c r="L46" s="11">
        <f>'Revenue Analysis - Barn'!L46</f>
        <v>0</v>
      </c>
      <c r="M46" s="11">
        <f>'Revenue Analysis - Barn'!M46</f>
        <v>0</v>
      </c>
      <c r="N46" s="25"/>
      <c r="O46" s="10">
        <v>0</v>
      </c>
      <c r="P46" s="10">
        <v>0</v>
      </c>
      <c r="Q46" s="10">
        <v>0</v>
      </c>
      <c r="R46" s="10">
        <v>0</v>
      </c>
      <c r="S46" s="25"/>
      <c r="T46" s="25"/>
    </row>
    <row r="47" spans="1:43" ht="15.75" customHeight="1" outlineLevel="1">
      <c r="C47" s="8" t="s">
        <v>216</v>
      </c>
      <c r="D47" s="169"/>
      <c r="E47" s="169"/>
      <c r="F47" s="169"/>
      <c r="G47" s="25">
        <f t="shared" ref="G47:I47" si="26">G$12*K47</f>
        <v>4.4868204283360793</v>
      </c>
      <c r="H47" s="25">
        <f t="shared" si="26"/>
        <v>39.863673805601316</v>
      </c>
      <c r="I47" s="25">
        <f t="shared" si="26"/>
        <v>69.028006589785832</v>
      </c>
      <c r="J47" s="25"/>
      <c r="K47" s="11">
        <f>'Revenue Analysis - Barn'!K47</f>
        <v>0.34514003294892914</v>
      </c>
      <c r="L47" s="11">
        <f>'Revenue Analysis - Barn'!L47</f>
        <v>0.51771004942339371</v>
      </c>
      <c r="M47" s="11">
        <f>'Revenue Analysis - Barn'!M47</f>
        <v>0.69028006589785829</v>
      </c>
      <c r="N47" s="25"/>
      <c r="O47" s="69">
        <f t="shared" ref="O47:R47" si="27">O33</f>
        <v>0</v>
      </c>
      <c r="P47" s="69">
        <f t="shared" si="27"/>
        <v>0.66356877323420072</v>
      </c>
      <c r="Q47" s="69">
        <f t="shared" si="27"/>
        <v>0.66356877323420072</v>
      </c>
      <c r="R47" s="69">
        <f t="shared" si="27"/>
        <v>0.69028006589785829</v>
      </c>
      <c r="S47" s="25"/>
      <c r="T47" s="171"/>
    </row>
    <row r="48" spans="1:43" ht="15.75" customHeight="1" outlineLevel="1">
      <c r="C48" s="8" t="s">
        <v>217</v>
      </c>
      <c r="D48" s="169"/>
      <c r="E48" s="169"/>
      <c r="F48" s="169"/>
      <c r="G48" s="25">
        <f t="shared" ref="G48:I48" si="28">G$12*K48</f>
        <v>3.5059308072487645</v>
      </c>
      <c r="H48" s="25">
        <f t="shared" si="28"/>
        <v>31.148846787479407</v>
      </c>
      <c r="I48" s="25">
        <f t="shared" si="28"/>
        <v>53.93739703459638</v>
      </c>
      <c r="J48" s="25"/>
      <c r="K48" s="11">
        <f>'Revenue Analysis - Barn'!K48</f>
        <v>0.2696869851729819</v>
      </c>
      <c r="L48" s="11">
        <f>'Revenue Analysis - Barn'!L48</f>
        <v>0.40453047775947282</v>
      </c>
      <c r="M48" s="11">
        <f>'Revenue Analysis - Barn'!M48</f>
        <v>0.53937397034596379</v>
      </c>
      <c r="N48" s="25"/>
      <c r="O48" s="69">
        <f t="shared" ref="O48:R48" si="29">O34</f>
        <v>0</v>
      </c>
      <c r="P48" s="69">
        <f t="shared" si="29"/>
        <v>0.52602230483271373</v>
      </c>
      <c r="Q48" s="69">
        <f t="shared" si="29"/>
        <v>0.52602230483271373</v>
      </c>
      <c r="R48" s="69">
        <f t="shared" si="29"/>
        <v>0.53937397034596379</v>
      </c>
      <c r="S48" s="25"/>
      <c r="T48" s="171"/>
    </row>
    <row r="49" spans="1:43" ht="15.75" customHeight="1" outlineLevel="1">
      <c r="C49" s="8" t="s">
        <v>218</v>
      </c>
      <c r="D49" s="169"/>
      <c r="E49" s="169"/>
      <c r="F49" s="169"/>
      <c r="G49" s="25">
        <f t="shared" ref="G49:I49" si="30">G$12*K49</f>
        <v>2.8762767710049424</v>
      </c>
      <c r="H49" s="25">
        <f t="shared" si="30"/>
        <v>25.554612850082375</v>
      </c>
      <c r="I49" s="25">
        <f t="shared" si="30"/>
        <v>44.250411861614495</v>
      </c>
      <c r="J49" s="25"/>
      <c r="K49" s="11">
        <f>'Revenue Analysis - Barn'!K49</f>
        <v>0.22125205930807249</v>
      </c>
      <c r="L49" s="11">
        <f>'Revenue Analysis - Barn'!L49</f>
        <v>0.33187808896210874</v>
      </c>
      <c r="M49" s="11">
        <f>'Revenue Analysis - Barn'!M49</f>
        <v>0.44250411861614497</v>
      </c>
      <c r="N49" s="25"/>
      <c r="O49" s="69">
        <f t="shared" ref="O49:R49" si="31">O35</f>
        <v>0</v>
      </c>
      <c r="P49" s="69">
        <f t="shared" si="31"/>
        <v>0.46344485749690212</v>
      </c>
      <c r="Q49" s="69">
        <f t="shared" si="31"/>
        <v>0.46344485749690212</v>
      </c>
      <c r="R49" s="69">
        <f t="shared" si="31"/>
        <v>0.44250411861614497</v>
      </c>
      <c r="S49" s="25"/>
      <c r="T49" s="171"/>
    </row>
    <row r="50" spans="1:43" ht="15.75" customHeight="1" outlineLevel="1">
      <c r="C50" s="8" t="s">
        <v>219</v>
      </c>
      <c r="D50" s="169"/>
      <c r="E50" s="169"/>
      <c r="F50" s="169"/>
      <c r="G50" s="25">
        <f t="shared" ref="G50:I50" si="32">G$12*K50</f>
        <v>0</v>
      </c>
      <c r="H50" s="25">
        <f t="shared" si="32"/>
        <v>34.288467874794073</v>
      </c>
      <c r="I50" s="25">
        <f t="shared" si="32"/>
        <v>59.373970345963755</v>
      </c>
      <c r="J50" s="25"/>
      <c r="K50" s="11">
        <f>'Revenue Analysis - Barn'!K50</f>
        <v>0</v>
      </c>
      <c r="L50" s="11">
        <f>'Revenue Analysis - Barn'!L50</f>
        <v>0.4453047775947282</v>
      </c>
      <c r="M50" s="11">
        <f>'Revenue Analysis - Barn'!M50</f>
        <v>0.59373970345963756</v>
      </c>
      <c r="N50" s="25"/>
      <c r="O50" s="69">
        <f t="shared" ref="O50:R50" si="33">O36</f>
        <v>0</v>
      </c>
      <c r="P50" s="69">
        <f t="shared" si="33"/>
        <v>0.57682775712515488</v>
      </c>
      <c r="Q50" s="69">
        <f t="shared" si="33"/>
        <v>0.57682775712515488</v>
      </c>
      <c r="R50" s="69">
        <f t="shared" si="33"/>
        <v>0.59373970345963756</v>
      </c>
      <c r="S50" s="25"/>
      <c r="T50" s="25"/>
    </row>
    <row r="51" spans="1:43" ht="15.75" customHeight="1" outlineLevel="1">
      <c r="C51" s="8" t="s">
        <v>220</v>
      </c>
      <c r="D51" s="169"/>
      <c r="E51" s="169"/>
      <c r="F51" s="169"/>
      <c r="G51" s="25">
        <f t="shared" ref="G51:I51" si="34">G$12*K51</f>
        <v>2.9233937397034597</v>
      </c>
      <c r="H51" s="25">
        <f t="shared" si="34"/>
        <v>25.97322899505766</v>
      </c>
      <c r="I51" s="25">
        <f t="shared" si="34"/>
        <v>44.975288303130149</v>
      </c>
      <c r="J51" s="25"/>
      <c r="K51" s="11">
        <f>'Revenue Analysis - Barn'!K51</f>
        <v>0.22487644151565075</v>
      </c>
      <c r="L51" s="11">
        <f>'Revenue Analysis - Barn'!L51</f>
        <v>0.33731466227347612</v>
      </c>
      <c r="M51" s="11">
        <f>'Revenue Analysis - Barn'!M51</f>
        <v>0.44975288303130151</v>
      </c>
      <c r="N51" s="25"/>
      <c r="O51" s="69">
        <f t="shared" ref="O51:R51" si="35">O37</f>
        <v>0</v>
      </c>
      <c r="P51" s="69">
        <f t="shared" si="35"/>
        <v>0.45724907063197023</v>
      </c>
      <c r="Q51" s="69">
        <f t="shared" si="35"/>
        <v>0.45724907063197023</v>
      </c>
      <c r="R51" s="69">
        <f t="shared" si="35"/>
        <v>0.44975288303130151</v>
      </c>
      <c r="S51" s="25"/>
      <c r="T51" s="171"/>
    </row>
    <row r="52" spans="1:43" ht="15.75" customHeight="1" outlineLevel="1">
      <c r="C52" s="8" t="s">
        <v>8</v>
      </c>
      <c r="D52" s="169"/>
      <c r="E52" s="169"/>
      <c r="F52" s="169"/>
      <c r="G52" s="25">
        <f t="shared" ref="G52:I52" si="36">G$12*K52</f>
        <v>0</v>
      </c>
      <c r="H52" s="25">
        <f t="shared" si="36"/>
        <v>0</v>
      </c>
      <c r="I52" s="25">
        <f t="shared" si="36"/>
        <v>0</v>
      </c>
      <c r="J52" s="25"/>
      <c r="K52" s="11">
        <f>'Revenue Analysis - Barn'!K52</f>
        <v>0</v>
      </c>
      <c r="L52" s="11">
        <f>'Revenue Analysis - Barn'!L52</f>
        <v>0</v>
      </c>
      <c r="M52" s="11">
        <f>'Revenue Analysis - Barn'!M52</f>
        <v>0</v>
      </c>
      <c r="N52" s="25"/>
      <c r="O52" s="168"/>
      <c r="P52" s="168"/>
      <c r="Q52" s="168"/>
      <c r="R52" s="168"/>
      <c r="S52" s="25"/>
      <c r="T52" s="171"/>
    </row>
    <row r="53" spans="1:43" ht="4.5" customHeight="1" outlineLevel="1"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72"/>
      <c r="S53" s="10"/>
      <c r="T53" s="25"/>
    </row>
    <row r="54" spans="1:43" ht="15.75" customHeight="1">
      <c r="A54" s="17"/>
      <c r="B54" s="17"/>
      <c r="C54" s="173" t="s">
        <v>223</v>
      </c>
      <c r="D54" s="174">
        <f t="shared" ref="D54:I54" si="37">D12</f>
        <v>0</v>
      </c>
      <c r="E54" s="174">
        <f t="shared" si="37"/>
        <v>0</v>
      </c>
      <c r="F54" s="174">
        <f t="shared" si="37"/>
        <v>0</v>
      </c>
      <c r="G54" s="174">
        <f t="shared" si="37"/>
        <v>13</v>
      </c>
      <c r="H54" s="174">
        <f t="shared" si="37"/>
        <v>77</v>
      </c>
      <c r="I54" s="174">
        <f t="shared" si="37"/>
        <v>100</v>
      </c>
      <c r="J54" s="174"/>
      <c r="K54" s="175"/>
      <c r="L54" s="175"/>
      <c r="M54" s="175"/>
      <c r="N54" s="174"/>
      <c r="O54" s="174"/>
      <c r="P54" s="174"/>
      <c r="Q54" s="174"/>
      <c r="R54" s="174"/>
      <c r="S54" s="27"/>
      <c r="T54" s="2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3" ht="15.75" customHeight="1">
      <c r="C55" s="1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</row>
    <row r="56" spans="1:43" ht="15.75" customHeight="1">
      <c r="C56" s="176" t="s">
        <v>224</v>
      </c>
      <c r="D56" s="177">
        <f t="shared" ref="D56:I56" si="38">D40+D54</f>
        <v>99</v>
      </c>
      <c r="E56" s="177">
        <f t="shared" si="38"/>
        <v>86</v>
      </c>
      <c r="F56" s="177">
        <f t="shared" si="38"/>
        <v>91</v>
      </c>
      <c r="G56" s="177">
        <f t="shared" si="38"/>
        <v>100</v>
      </c>
      <c r="H56" s="177">
        <f t="shared" si="38"/>
        <v>100</v>
      </c>
      <c r="I56" s="177">
        <f t="shared" si="38"/>
        <v>100</v>
      </c>
      <c r="J56" s="178"/>
      <c r="K56" s="178"/>
      <c r="L56" s="178"/>
      <c r="M56" s="178"/>
      <c r="N56" s="178"/>
      <c r="O56" s="178"/>
      <c r="P56" s="178"/>
      <c r="Q56" s="178"/>
      <c r="R56" s="178"/>
      <c r="S56" s="25"/>
      <c r="T56" s="25"/>
    </row>
    <row r="57" spans="1:43" ht="15.75" customHeight="1">
      <c r="C57" s="17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</row>
    <row r="58" spans="1:43" ht="15.75" customHeight="1">
      <c r="C58" s="179" t="s">
        <v>225</v>
      </c>
      <c r="D58" s="180"/>
      <c r="E58" s="180"/>
      <c r="F58" s="180"/>
      <c r="G58" s="180"/>
      <c r="H58" s="180"/>
      <c r="I58" s="180"/>
      <c r="J58" s="180"/>
      <c r="K58" s="519" t="s">
        <v>226</v>
      </c>
      <c r="L58" s="514"/>
      <c r="M58" s="515"/>
      <c r="N58" s="180"/>
      <c r="O58" s="181"/>
      <c r="P58" s="182"/>
      <c r="Q58" s="182"/>
      <c r="R58" s="182"/>
      <c r="S58" s="25"/>
      <c r="T58" s="25"/>
    </row>
    <row r="59" spans="1:43" ht="15.75" customHeight="1">
      <c r="A59" s="3"/>
      <c r="B59" s="3"/>
      <c r="C59" s="33" t="s">
        <v>227</v>
      </c>
      <c r="D59" s="27"/>
      <c r="E59" s="27"/>
      <c r="F59" s="27"/>
      <c r="G59" s="27"/>
      <c r="H59" s="27"/>
      <c r="I59" s="27"/>
      <c r="J59" s="27"/>
      <c r="K59" s="166"/>
      <c r="L59" s="166"/>
      <c r="M59" s="166"/>
      <c r="N59" s="27"/>
      <c r="O59" s="166"/>
      <c r="P59" s="167"/>
      <c r="Q59" s="167"/>
      <c r="R59" s="167"/>
      <c r="S59" s="25"/>
      <c r="T59" s="25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ht="15.75" customHeight="1">
      <c r="C60" s="8" t="s">
        <v>213</v>
      </c>
      <c r="D60" s="7">
        <f t="shared" ref="D60:I60" si="39">D16</f>
        <v>704.75</v>
      </c>
      <c r="E60" s="7">
        <f t="shared" si="39"/>
        <v>605.5</v>
      </c>
      <c r="F60" s="7">
        <f t="shared" si="39"/>
        <v>650.5</v>
      </c>
      <c r="G60" s="7">
        <f t="shared" si="39"/>
        <v>691.95</v>
      </c>
      <c r="H60" s="7">
        <f t="shared" si="39"/>
        <v>196.77500000000001</v>
      </c>
      <c r="I60" s="7">
        <f t="shared" si="39"/>
        <v>0</v>
      </c>
      <c r="J60" s="10"/>
      <c r="K60" s="10">
        <f t="shared" ref="K60:L60" si="40">G60/G$29</f>
        <v>7.9534482758620699</v>
      </c>
      <c r="L60" s="10">
        <f t="shared" si="40"/>
        <v>8.5554347826086961</v>
      </c>
      <c r="M60" s="10">
        <v>0</v>
      </c>
      <c r="N60" s="10"/>
      <c r="O60" s="10">
        <v>0</v>
      </c>
      <c r="P60" s="172">
        <f t="array" ref="P60">INDEX('WH Rev &amp; Events Data'!42:42,MATCH(P$8,'WH Rev &amp; Events Data'!$8:$8,0))</f>
        <v>5.1566798946716235</v>
      </c>
      <c r="Q60" s="172">
        <f t="array" ref="Q60">INDEX('WH Rev &amp; Events Data'!42:42,MATCH(Q$8,'WH Rev &amp; Events Data'!$8:$8,0))</f>
        <v>5.1566798946716235</v>
      </c>
      <c r="R60" s="172">
        <f t="array" ref="R60">INDEX('WH Rev &amp; Events Data'!42:42,MATCH(R$8,'WH Rev &amp; Events Data'!$8:$8,0))</f>
        <v>5.1467523294892921</v>
      </c>
      <c r="S60" s="10"/>
      <c r="T60" s="183"/>
    </row>
    <row r="61" spans="1:43" ht="15.75" customHeight="1">
      <c r="C61" s="8" t="s">
        <v>196</v>
      </c>
      <c r="D61" s="159"/>
      <c r="E61" s="159"/>
      <c r="F61" s="159"/>
      <c r="G61" s="7">
        <f t="shared" ref="G61:I61" si="41">G30*K61</f>
        <v>99.36666666666666</v>
      </c>
      <c r="H61" s="7">
        <f t="shared" si="41"/>
        <v>27.1</v>
      </c>
      <c r="I61" s="7">
        <f t="shared" si="41"/>
        <v>0</v>
      </c>
      <c r="J61" s="10"/>
      <c r="K61" s="197">
        <f>'Revenue Analysis - Barn'!K61</f>
        <v>4.5166666666666666</v>
      </c>
      <c r="L61" s="197">
        <f>'Revenue Analysis - Barn'!L61</f>
        <v>4.5166666666666666</v>
      </c>
      <c r="M61" s="197">
        <f>'Revenue Analysis - Barn'!M61</f>
        <v>4.5166666666666666</v>
      </c>
      <c r="N61" s="10"/>
      <c r="O61" s="10">
        <v>0</v>
      </c>
      <c r="P61" s="172">
        <f t="array" ref="P61">INDEX('WH Rev &amp; Events Data'!43:43,MATCH(P$8,'WH Rev &amp; Events Data'!$8:$8,0))</f>
        <v>4.9378764250309777</v>
      </c>
      <c r="Q61" s="172">
        <f t="array" ref="Q61">INDEX('WH Rev &amp; Events Data'!43:43,MATCH(Q$8,'WH Rev &amp; Events Data'!$8:$8,0))</f>
        <v>4.9378764250309777</v>
      </c>
      <c r="R61" s="172">
        <f t="array" ref="R61">INDEX('WH Rev &amp; Events Data'!43:43,MATCH(R$8,'WH Rev &amp; Events Data'!$8:$8,0))</f>
        <v>5.0523327479406914</v>
      </c>
      <c r="S61" s="10"/>
      <c r="T61" s="25"/>
    </row>
    <row r="62" spans="1:43" ht="15.75" customHeight="1">
      <c r="C62" s="8" t="s">
        <v>214</v>
      </c>
      <c r="D62" s="159"/>
      <c r="E62" s="159"/>
      <c r="F62" s="159"/>
      <c r="G62" s="7">
        <f t="shared" ref="G62:I62" si="42">G31*K62</f>
        <v>0</v>
      </c>
      <c r="H62" s="7">
        <f t="shared" si="42"/>
        <v>0</v>
      </c>
      <c r="I62" s="7">
        <f t="shared" si="42"/>
        <v>0</v>
      </c>
      <c r="J62" s="10"/>
      <c r="K62" s="197">
        <f>'Revenue Analysis - Barn'!K62</f>
        <v>0</v>
      </c>
      <c r="L62" s="197">
        <f>'Revenue Analysis - Barn'!L62</f>
        <v>3.0830680593080717</v>
      </c>
      <c r="M62" s="197">
        <f>'Revenue Analysis - Barn'!M62</f>
        <v>3.0830680593080717</v>
      </c>
      <c r="N62" s="10"/>
      <c r="O62" s="10">
        <v>0</v>
      </c>
      <c r="P62" s="172">
        <f t="array" ref="P62">INDEX('WH Rev &amp; Events Data'!44:44,MATCH(P$8,'WH Rev &amp; Events Data'!$8:$8,0))</f>
        <v>2.9437465241635685</v>
      </c>
      <c r="Q62" s="172">
        <f t="array" ref="Q62">INDEX('WH Rev &amp; Events Data'!44:44,MATCH(Q$8,'WH Rev &amp; Events Data'!$8:$8,0))</f>
        <v>2.9437465241635685</v>
      </c>
      <c r="R62" s="172">
        <f t="array" ref="R62">INDEX('WH Rev &amp; Events Data'!44:44,MATCH(R$8,'WH Rev &amp; Events Data'!$8:$8,0))</f>
        <v>3.0830680593080717</v>
      </c>
      <c r="S62" s="10"/>
      <c r="T62" s="25"/>
    </row>
    <row r="63" spans="1:43" ht="15.75" customHeight="1">
      <c r="C63" s="8" t="s">
        <v>215</v>
      </c>
      <c r="D63" s="159"/>
      <c r="E63" s="159"/>
      <c r="F63" s="159"/>
      <c r="G63" s="7">
        <f t="shared" ref="G63:I63" si="43">G32*K63</f>
        <v>0</v>
      </c>
      <c r="H63" s="7">
        <f t="shared" si="43"/>
        <v>0</v>
      </c>
      <c r="I63" s="7">
        <f t="shared" si="43"/>
        <v>0</v>
      </c>
      <c r="J63" s="10"/>
      <c r="K63" s="197">
        <f>'Revenue Analysis - Barn'!K63</f>
        <v>0</v>
      </c>
      <c r="L63" s="197">
        <f>'Revenue Analysis - Barn'!L63</f>
        <v>0</v>
      </c>
      <c r="M63" s="197">
        <f>'Revenue Analysis - Barn'!M63</f>
        <v>0</v>
      </c>
      <c r="N63" s="10"/>
      <c r="O63" s="10">
        <v>0</v>
      </c>
      <c r="P63" s="184"/>
      <c r="Q63" s="159"/>
      <c r="R63" s="184"/>
      <c r="S63" s="10"/>
      <c r="T63" s="25"/>
    </row>
    <row r="64" spans="1:43" ht="15.75" customHeight="1">
      <c r="C64" s="8" t="s">
        <v>216</v>
      </c>
      <c r="D64" s="159"/>
      <c r="E64" s="159"/>
      <c r="F64" s="159"/>
      <c r="G64" s="7">
        <f t="shared" ref="G64:I64" si="44">G33*K64</f>
        <v>30.81818181818182</v>
      </c>
      <c r="H64" s="7">
        <f t="shared" si="44"/>
        <v>8.2181818181818187</v>
      </c>
      <c r="I64" s="7">
        <f t="shared" si="44"/>
        <v>0</v>
      </c>
      <c r="J64" s="10"/>
      <c r="K64" s="197">
        <f>'Revenue Analysis - Barn'!K64</f>
        <v>2.0545454545454547</v>
      </c>
      <c r="L64" s="197">
        <f>'Revenue Analysis - Barn'!L64</f>
        <v>2.0545454545454547</v>
      </c>
      <c r="M64" s="197">
        <f>'Revenue Analysis - Barn'!M64</f>
        <v>2.0545454545454547</v>
      </c>
      <c r="N64" s="10"/>
      <c r="O64" s="10">
        <v>0</v>
      </c>
      <c r="P64" s="172">
        <f t="array" ref="P64">INDEX('WH Rev &amp; Events Data'!34:34,MATCH(P$8,'WH Rev &amp; Events Data'!$8:$8,0))</f>
        <v>1.708426704014939</v>
      </c>
      <c r="Q64" s="172">
        <f t="array" ref="Q64">INDEX('WH Rev &amp; Events Data'!34:34,MATCH(Q$8,'WH Rev &amp; Events Data'!$8:$8,0))</f>
        <v>1.708426704014939</v>
      </c>
      <c r="R64" s="172">
        <f t="array" ref="R64">INDEX('WH Rev &amp; Events Data'!34:34,MATCH(R$8,'WH Rev &amp; Events Data'!$8:$8,0))</f>
        <v>1.6865751837708829</v>
      </c>
      <c r="S64" s="10"/>
      <c r="T64" s="25"/>
    </row>
    <row r="65" spans="1:43" ht="15.75" customHeight="1">
      <c r="C65" s="8" t="s">
        <v>217</v>
      </c>
      <c r="D65" s="159"/>
      <c r="E65" s="159"/>
      <c r="F65" s="159"/>
      <c r="G65" s="7">
        <f t="shared" ref="G65:I65" si="45">G34*K65</f>
        <v>42</v>
      </c>
      <c r="H65" s="7">
        <f t="shared" si="45"/>
        <v>10.5</v>
      </c>
      <c r="I65" s="7">
        <f t="shared" si="45"/>
        <v>0</v>
      </c>
      <c r="J65" s="10"/>
      <c r="K65" s="197">
        <f>'Revenue Analysis - Barn'!K65</f>
        <v>3.5</v>
      </c>
      <c r="L65" s="197">
        <f>'Revenue Analysis - Barn'!L65</f>
        <v>3.5</v>
      </c>
      <c r="M65" s="197">
        <f>'Revenue Analysis - Barn'!M65</f>
        <v>3.5</v>
      </c>
      <c r="N65" s="10"/>
      <c r="O65" s="10">
        <v>0</v>
      </c>
      <c r="P65" s="172">
        <f t="array" ref="P65">INDEX('WH Rev &amp; Events Data'!35:35,MATCH(P$8,'WH Rev &amp; Events Data'!$8:$8,0))</f>
        <v>3.3282028621908126</v>
      </c>
      <c r="Q65" s="172">
        <f t="array" ref="Q65">INDEX('WH Rev &amp; Events Data'!35:35,MATCH(Q$8,'WH Rev &amp; Events Data'!$8:$8,0))</f>
        <v>3.3282028621908126</v>
      </c>
      <c r="R65" s="172">
        <f t="array" ref="R65">INDEX('WH Rev &amp; Events Data'!35:35,MATCH(R$8,'WH Rev &amp; Events Data'!$8:$8,0))</f>
        <v>3.2563305925473429</v>
      </c>
      <c r="S65" s="10"/>
      <c r="T65" s="25"/>
    </row>
    <row r="66" spans="1:43" ht="15.75" customHeight="1">
      <c r="C66" s="8" t="s">
        <v>218</v>
      </c>
      <c r="D66" s="159"/>
      <c r="E66" s="159"/>
      <c r="F66" s="159"/>
      <c r="G66" s="7">
        <f t="shared" ref="G66:I66" si="46">G35*K66</f>
        <v>15.790909090909091</v>
      </c>
      <c r="H66" s="7">
        <f t="shared" si="46"/>
        <v>4.7372727272727273</v>
      </c>
      <c r="I66" s="7">
        <f t="shared" si="46"/>
        <v>0</v>
      </c>
      <c r="J66" s="10"/>
      <c r="K66" s="197">
        <f>'Revenue Analysis - Barn'!K66</f>
        <v>1.5790909090909091</v>
      </c>
      <c r="L66" s="197">
        <f>'Revenue Analysis - Barn'!L66</f>
        <v>1.5790909090909091</v>
      </c>
      <c r="M66" s="197">
        <f>'Revenue Analysis - Barn'!M66</f>
        <v>1.5790909090909091</v>
      </c>
      <c r="N66" s="10"/>
      <c r="O66" s="10">
        <v>0</v>
      </c>
      <c r="P66" s="172">
        <f t="array" ref="P66">INDEX('WH Rev &amp; Events Data'!36:36,MATCH(P$8,'WH Rev &amp; Events Data'!$8:$8,0))</f>
        <v>1.1263107754010697</v>
      </c>
      <c r="Q66" s="172">
        <f t="array" ref="Q66">INDEX('WH Rev &amp; Events Data'!36:36,MATCH(Q$8,'WH Rev &amp; Events Data'!$8:$8,0))</f>
        <v>1.1263107754010697</v>
      </c>
      <c r="R66" s="172">
        <f t="array" ref="R66">INDEX('WH Rev &amp; Events Data'!36:36,MATCH(R$8,'WH Rev &amp; Events Data'!$8:$8,0))</f>
        <v>1.1287598361876396</v>
      </c>
      <c r="S66" s="10"/>
      <c r="T66" s="25"/>
    </row>
    <row r="67" spans="1:43" ht="15.75" customHeight="1">
      <c r="C67" s="8" t="s">
        <v>219</v>
      </c>
      <c r="D67" s="159"/>
      <c r="E67" s="159"/>
      <c r="F67" s="159"/>
      <c r="G67" s="7">
        <f t="shared" ref="G67:I67" si="47">G36*K67</f>
        <v>0</v>
      </c>
      <c r="H67" s="7">
        <f t="shared" si="47"/>
        <v>2.5007048120300754</v>
      </c>
      <c r="I67" s="7">
        <f t="shared" si="47"/>
        <v>0</v>
      </c>
      <c r="J67" s="10"/>
      <c r="K67" s="197">
        <f>'Revenue Analysis - Barn'!K67</f>
        <v>0</v>
      </c>
      <c r="L67" s="197">
        <f>'Revenue Analysis - Barn'!L67</f>
        <v>0.83356827067669181</v>
      </c>
      <c r="M67" s="197">
        <f>'Revenue Analysis - Barn'!M67</f>
        <v>0.83356827067669181</v>
      </c>
      <c r="N67" s="10"/>
      <c r="O67" s="10">
        <v>0</v>
      </c>
      <c r="P67" s="172">
        <f t="array" ref="P67">INDEX('WH Rev &amp; Events Data'!37:37,MATCH(P$8,'WH Rev &amp; Events Data'!$8:$8,0))</f>
        <v>0.83356827067669181</v>
      </c>
      <c r="Q67" s="172">
        <f t="array" ref="Q67">INDEX('WH Rev &amp; Events Data'!37:37,MATCH(Q$8,'WH Rev &amp; Events Data'!$8:$8,0))</f>
        <v>0.83356827067669181</v>
      </c>
      <c r="R67" s="172">
        <f t="array" ref="R67">INDEX('WH Rev &amp; Events Data'!37:37,MATCH(R$8,'WH Rev &amp; Events Data'!$8:$8,0))</f>
        <v>0.79107037180910111</v>
      </c>
      <c r="S67" s="10"/>
      <c r="T67" s="25"/>
    </row>
    <row r="68" spans="1:43" ht="15.75" customHeight="1">
      <c r="C68" s="8" t="s">
        <v>220</v>
      </c>
      <c r="D68" s="159"/>
      <c r="E68" s="159"/>
      <c r="F68" s="159"/>
      <c r="G68" s="7">
        <f t="shared" ref="G68:I68" si="48">G37*K68</f>
        <v>44.916666666666671</v>
      </c>
      <c r="H68" s="7">
        <f t="shared" si="48"/>
        <v>13.475000000000001</v>
      </c>
      <c r="I68" s="7">
        <f t="shared" si="48"/>
        <v>0</v>
      </c>
      <c r="J68" s="10"/>
      <c r="K68" s="197">
        <f>'Revenue Analysis - Barn'!K68</f>
        <v>4.4916666666666671</v>
      </c>
      <c r="L68" s="197">
        <f>'Revenue Analysis - Barn'!L68</f>
        <v>4.4916666666666671</v>
      </c>
      <c r="M68" s="197">
        <f>'Revenue Analysis - Barn'!M68</f>
        <v>4.4916666666666671</v>
      </c>
      <c r="N68" s="10"/>
      <c r="O68" s="10">
        <v>0</v>
      </c>
      <c r="P68" s="172">
        <f t="array" ref="P68">INDEX('WH Rev &amp; Events Data'!38:38,MATCH(P$8,'WH Rev &amp; Events Data'!$8:$8,0))</f>
        <v>1.1415724390243904</v>
      </c>
      <c r="Q68" s="172">
        <f t="array" ref="Q68">INDEX('WH Rev &amp; Events Data'!38:38,MATCH(Q$8,'WH Rev &amp; Events Data'!$8:$8,0))</f>
        <v>1.1415724390243904</v>
      </c>
      <c r="R68" s="172">
        <f t="array" ref="R68">INDEX('WH Rev &amp; Events Data'!38:38,MATCH(R$8,'WH Rev &amp; Events Data'!$8:$8,0))</f>
        <v>1.11056736996337</v>
      </c>
      <c r="S68" s="10"/>
      <c r="T68" s="25"/>
    </row>
    <row r="69" spans="1:43" ht="15.75" customHeight="1">
      <c r="C69" s="8" t="s">
        <v>8</v>
      </c>
      <c r="D69" s="159"/>
      <c r="E69" s="159"/>
      <c r="F69" s="159"/>
      <c r="G69" s="7">
        <f t="shared" ref="G69:I69" si="49">G38*K69</f>
        <v>0</v>
      </c>
      <c r="H69" s="7">
        <f t="shared" si="49"/>
        <v>0</v>
      </c>
      <c r="I69" s="7">
        <f t="shared" si="49"/>
        <v>0</v>
      </c>
      <c r="J69" s="10"/>
      <c r="K69" s="197">
        <f>'Revenue Analysis - Barn'!K69</f>
        <v>0</v>
      </c>
      <c r="L69" s="197">
        <f>'Revenue Analysis - Barn'!L69</f>
        <v>0</v>
      </c>
      <c r="M69" s="197">
        <f>'Revenue Analysis - Barn'!M69</f>
        <v>0</v>
      </c>
      <c r="N69" s="10"/>
      <c r="O69" s="10">
        <v>0</v>
      </c>
      <c r="P69" s="172">
        <f t="array" ref="P69">INDEX('WH Rev &amp; Events Data'!39:39,MATCH(P$8,'WH Rev &amp; Events Data'!$8:$8,0))</f>
        <v>0.78271323420074335</v>
      </c>
      <c r="Q69" s="172">
        <f t="array" ref="Q69">INDEX('WH Rev &amp; Events Data'!39:39,MATCH(Q$8,'WH Rev &amp; Events Data'!$8:$8,0))</f>
        <v>0.78271323420074335</v>
      </c>
      <c r="R69" s="172">
        <f t="array" ref="R69">INDEX('WH Rev &amp; Events Data'!39:39,MATCH(R$8,'WH Rev &amp; Events Data'!$8:$8,0))</f>
        <v>0.66640874464579902</v>
      </c>
      <c r="S69" s="10"/>
      <c r="T69" s="171"/>
    </row>
    <row r="70" spans="1:43" ht="4.5" customHeight="1">
      <c r="C70" s="1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</row>
    <row r="71" spans="1:43" ht="15.75" customHeight="1">
      <c r="A71" s="17"/>
      <c r="B71" s="17"/>
      <c r="C71" s="185" t="s">
        <v>228</v>
      </c>
      <c r="D71" s="145">
        <f t="shared" ref="D71:I71" si="50">SUM(D60:D70)</f>
        <v>704.75</v>
      </c>
      <c r="E71" s="145">
        <f t="shared" si="50"/>
        <v>605.5</v>
      </c>
      <c r="F71" s="145">
        <f t="shared" si="50"/>
        <v>650.5</v>
      </c>
      <c r="G71" s="145">
        <f t="shared" si="50"/>
        <v>924.84242424242427</v>
      </c>
      <c r="H71" s="145">
        <f t="shared" si="50"/>
        <v>263.30615935748466</v>
      </c>
      <c r="I71" s="145">
        <f t="shared" si="50"/>
        <v>0</v>
      </c>
      <c r="J71" s="80"/>
      <c r="K71" s="147"/>
      <c r="L71" s="147"/>
      <c r="M71" s="147"/>
      <c r="N71" s="80"/>
      <c r="O71" s="147"/>
      <c r="P71" s="147"/>
      <c r="Q71" s="147"/>
      <c r="R71" s="147"/>
      <c r="S71" s="27"/>
      <c r="T71" s="2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</row>
    <row r="72" spans="1:43" ht="15.75" customHeight="1">
      <c r="A72" s="42"/>
      <c r="B72" s="42"/>
      <c r="C72" s="186" t="s">
        <v>229</v>
      </c>
      <c r="D72" s="187">
        <f t="shared" ref="D72:I72" si="51">IFERROR(D71/D40,0)</f>
        <v>7.1186868686868685</v>
      </c>
      <c r="E72" s="187">
        <f t="shared" si="51"/>
        <v>7.0406976744186043</v>
      </c>
      <c r="F72" s="187">
        <f t="shared" si="51"/>
        <v>7.1483516483516487</v>
      </c>
      <c r="G72" s="187">
        <f t="shared" si="51"/>
        <v>10.630372692441659</v>
      </c>
      <c r="H72" s="187">
        <f t="shared" si="51"/>
        <v>11.448093885108028</v>
      </c>
      <c r="I72" s="187">
        <f t="shared" si="51"/>
        <v>0</v>
      </c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</row>
    <row r="73" spans="1:43" ht="15.75" customHeight="1">
      <c r="C73" s="1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</row>
    <row r="74" spans="1:43" ht="15.75" customHeight="1">
      <c r="A74" s="3"/>
      <c r="B74" s="3"/>
      <c r="C74" s="33" t="s">
        <v>230</v>
      </c>
      <c r="D74" s="27"/>
      <c r="E74" s="27"/>
      <c r="F74" s="27"/>
      <c r="G74" s="27"/>
      <c r="H74" s="27"/>
      <c r="I74" s="27"/>
      <c r="J74" s="27"/>
      <c r="K74" s="166"/>
      <c r="L74" s="166"/>
      <c r="M74" s="166"/>
      <c r="N74" s="27"/>
      <c r="O74" s="166"/>
      <c r="P74" s="167"/>
      <c r="Q74" s="167"/>
      <c r="R74" s="167"/>
      <c r="S74" s="25"/>
      <c r="T74" s="25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ht="15.75" customHeight="1">
      <c r="C75" s="8" t="s">
        <v>213</v>
      </c>
      <c r="D75" s="159"/>
      <c r="E75" s="159"/>
      <c r="F75" s="159"/>
      <c r="G75" s="7">
        <f t="shared" ref="G75:I75" si="52">G43*K75</f>
        <v>85.3716153987843</v>
      </c>
      <c r="H75" s="7">
        <f t="shared" si="52"/>
        <v>521.29950267084178</v>
      </c>
      <c r="I75" s="7">
        <f t="shared" si="52"/>
        <v>677.01234113096336</v>
      </c>
      <c r="J75" s="10"/>
      <c r="K75" s="172">
        <f>Averages!$E$30/1000/(1+K85)</f>
        <v>6.567047338368023</v>
      </c>
      <c r="L75" s="172">
        <f>Averages!$G$30/1000/(1+L85)</f>
        <v>6.7701234113096334</v>
      </c>
      <c r="M75" s="10">
        <f>L75</f>
        <v>6.7701234113096334</v>
      </c>
      <c r="N75" s="10"/>
      <c r="O75" s="10">
        <v>0</v>
      </c>
      <c r="P75" s="10">
        <f t="shared" ref="P75:R75" si="53">P60</f>
        <v>5.1566798946716235</v>
      </c>
      <c r="Q75" s="10">
        <f t="shared" si="53"/>
        <v>5.1566798946716235</v>
      </c>
      <c r="R75" s="10">
        <f t="shared" si="53"/>
        <v>5.1467523294892921</v>
      </c>
      <c r="S75" s="10"/>
      <c r="T75" s="183"/>
    </row>
    <row r="76" spans="1:43" ht="15.75" customHeight="1">
      <c r="C76" s="8" t="s">
        <v>196</v>
      </c>
      <c r="D76" s="159"/>
      <c r="E76" s="159"/>
      <c r="F76" s="159"/>
      <c r="G76" s="7">
        <f t="shared" ref="G76:I76" si="54">G44*K76</f>
        <v>29.358333333333334</v>
      </c>
      <c r="H76" s="7">
        <f t="shared" si="54"/>
        <v>260.83749999999998</v>
      </c>
      <c r="I76" s="7">
        <f t="shared" si="54"/>
        <v>451.66666666666669</v>
      </c>
      <c r="J76" s="10"/>
      <c r="K76" s="197">
        <f>'Revenue Analysis - Barn'!K76</f>
        <v>4.5166666666666666</v>
      </c>
      <c r="L76" s="197">
        <f>'Revenue Analysis - Barn'!L76</f>
        <v>4.5166666666666666</v>
      </c>
      <c r="M76" s="197">
        <f>'Revenue Analysis - Barn'!M76</f>
        <v>4.5166666666666666</v>
      </c>
      <c r="N76" s="10"/>
      <c r="O76" s="10">
        <v>0</v>
      </c>
      <c r="P76" s="10">
        <f t="shared" ref="P76:R76" si="55">P61</f>
        <v>4.9378764250309777</v>
      </c>
      <c r="Q76" s="10">
        <f t="shared" si="55"/>
        <v>4.9378764250309777</v>
      </c>
      <c r="R76" s="10">
        <f t="shared" si="55"/>
        <v>5.0523327479406914</v>
      </c>
      <c r="S76" s="10"/>
      <c r="T76" s="25"/>
    </row>
    <row r="77" spans="1:43" ht="15.75" customHeight="1">
      <c r="C77" s="8" t="s">
        <v>214</v>
      </c>
      <c r="D77" s="159"/>
      <c r="E77" s="159"/>
      <c r="F77" s="159"/>
      <c r="G77" s="7">
        <f t="shared" ref="G77:I77" si="56">G45*K77</f>
        <v>0</v>
      </c>
      <c r="H77" s="7">
        <f t="shared" si="56"/>
        <v>59.349060141680383</v>
      </c>
      <c r="I77" s="7">
        <f t="shared" si="56"/>
        <v>308.30680593080717</v>
      </c>
      <c r="J77" s="10"/>
      <c r="K77" s="197">
        <f>'Revenue Analysis - Barn'!K77</f>
        <v>0</v>
      </c>
      <c r="L77" s="197">
        <f>'Revenue Analysis - Barn'!L77</f>
        <v>3.0830680593080717</v>
      </c>
      <c r="M77" s="197">
        <f>'Revenue Analysis - Barn'!M77</f>
        <v>3.0830680593080717</v>
      </c>
      <c r="N77" s="10"/>
      <c r="O77" s="10">
        <v>0</v>
      </c>
      <c r="P77" s="10">
        <f t="shared" ref="P77:R77" si="57">P62</f>
        <v>2.9437465241635685</v>
      </c>
      <c r="Q77" s="10">
        <f t="shared" si="57"/>
        <v>2.9437465241635685</v>
      </c>
      <c r="R77" s="10">
        <f t="shared" si="57"/>
        <v>3.0830680593080717</v>
      </c>
      <c r="S77" s="10"/>
      <c r="T77" s="25"/>
    </row>
    <row r="78" spans="1:43" ht="15.75" customHeight="1">
      <c r="C78" s="8" t="s">
        <v>215</v>
      </c>
      <c r="D78" s="159"/>
      <c r="E78" s="159"/>
      <c r="F78" s="159"/>
      <c r="G78" s="7">
        <f t="shared" ref="G78:I78" si="58">G46*K78</f>
        <v>0</v>
      </c>
      <c r="H78" s="7">
        <f t="shared" si="58"/>
        <v>0</v>
      </c>
      <c r="I78" s="7">
        <f t="shared" si="58"/>
        <v>0</v>
      </c>
      <c r="J78" s="10"/>
      <c r="K78" s="197">
        <f>'Revenue Analysis - Barn'!K78</f>
        <v>0</v>
      </c>
      <c r="L78" s="197">
        <f>'Revenue Analysis - Barn'!L78</f>
        <v>0</v>
      </c>
      <c r="M78" s="197">
        <f>'Revenue Analysis - Barn'!M78</f>
        <v>0</v>
      </c>
      <c r="N78" s="10"/>
      <c r="O78" s="10">
        <v>0</v>
      </c>
      <c r="P78" s="159"/>
      <c r="Q78" s="159"/>
      <c r="R78" s="159"/>
      <c r="S78" s="10"/>
      <c r="T78" s="25"/>
    </row>
    <row r="79" spans="1:43" ht="15.75" customHeight="1">
      <c r="C79" s="8" t="s">
        <v>216</v>
      </c>
      <c r="D79" s="159"/>
      <c r="E79" s="159"/>
      <c r="F79" s="159"/>
      <c r="G79" s="7">
        <f t="shared" ref="G79:I79" si="59">G47*K79</f>
        <v>9.2183765163995819</v>
      </c>
      <c r="H79" s="7">
        <f t="shared" si="59"/>
        <v>81.901729818780893</v>
      </c>
      <c r="I79" s="7">
        <f t="shared" si="59"/>
        <v>141.82117717537818</v>
      </c>
      <c r="J79" s="10"/>
      <c r="K79" s="197">
        <f>'Revenue Analysis - Barn'!K79</f>
        <v>2.0545454545454547</v>
      </c>
      <c r="L79" s="197">
        <f>'Revenue Analysis - Barn'!L79</f>
        <v>2.0545454545454547</v>
      </c>
      <c r="M79" s="197">
        <f>'Revenue Analysis - Barn'!M79</f>
        <v>2.0545454545454547</v>
      </c>
      <c r="N79" s="10"/>
      <c r="O79" s="10">
        <v>0</v>
      </c>
      <c r="P79" s="10">
        <f t="shared" ref="P79:R79" si="60">P64</f>
        <v>1.708426704014939</v>
      </c>
      <c r="Q79" s="10">
        <f t="shared" si="60"/>
        <v>1.708426704014939</v>
      </c>
      <c r="R79" s="10">
        <f t="shared" si="60"/>
        <v>1.6865751837708829</v>
      </c>
      <c r="S79" s="10"/>
      <c r="T79" s="25"/>
    </row>
    <row r="80" spans="1:43" ht="15.75" customHeight="1">
      <c r="C80" s="8" t="s">
        <v>217</v>
      </c>
      <c r="D80" s="159"/>
      <c r="E80" s="159"/>
      <c r="F80" s="159"/>
      <c r="G80" s="7">
        <f t="shared" ref="G80:I80" si="61">G48*K80</f>
        <v>12.270757825370676</v>
      </c>
      <c r="H80" s="7">
        <f t="shared" si="61"/>
        <v>109.02096375617792</v>
      </c>
      <c r="I80" s="7">
        <f t="shared" si="61"/>
        <v>188.78088962108734</v>
      </c>
      <c r="J80" s="10"/>
      <c r="K80" s="197">
        <f>'Revenue Analysis - Barn'!K80</f>
        <v>3.5</v>
      </c>
      <c r="L80" s="197">
        <f>'Revenue Analysis - Barn'!L80</f>
        <v>3.5</v>
      </c>
      <c r="M80" s="197">
        <f>'Revenue Analysis - Barn'!M80</f>
        <v>3.5</v>
      </c>
      <c r="N80" s="10"/>
      <c r="O80" s="10">
        <v>0</v>
      </c>
      <c r="P80" s="10">
        <f t="shared" ref="P80:R80" si="62">P65</f>
        <v>3.3282028621908126</v>
      </c>
      <c r="Q80" s="10">
        <f t="shared" si="62"/>
        <v>3.3282028621908126</v>
      </c>
      <c r="R80" s="10">
        <f t="shared" si="62"/>
        <v>3.2563305925473429</v>
      </c>
      <c r="S80" s="10"/>
      <c r="T80" s="25"/>
    </row>
    <row r="81" spans="1:43" ht="15.75" customHeight="1">
      <c r="C81" s="8" t="s">
        <v>218</v>
      </c>
      <c r="D81" s="159"/>
      <c r="E81" s="159"/>
      <c r="F81" s="159"/>
      <c r="G81" s="7">
        <f t="shared" ref="G81:I81" si="63">G49*K81</f>
        <v>4.5419025011232588</v>
      </c>
      <c r="H81" s="7">
        <f t="shared" si="63"/>
        <v>40.353056836902802</v>
      </c>
      <c r="I81" s="7">
        <f t="shared" si="63"/>
        <v>69.875423094203981</v>
      </c>
      <c r="J81" s="10"/>
      <c r="K81" s="197">
        <f>'Revenue Analysis - Barn'!K81</f>
        <v>1.5790909090909091</v>
      </c>
      <c r="L81" s="197">
        <f>'Revenue Analysis - Barn'!L81</f>
        <v>1.5790909090909091</v>
      </c>
      <c r="M81" s="197">
        <f>'Revenue Analysis - Barn'!M81</f>
        <v>1.5790909090909091</v>
      </c>
      <c r="N81" s="10"/>
      <c r="O81" s="10">
        <v>0</v>
      </c>
      <c r="P81" s="10">
        <f t="shared" ref="P81:R81" si="64">P66</f>
        <v>1.1263107754010697</v>
      </c>
      <c r="Q81" s="10">
        <f t="shared" si="64"/>
        <v>1.1263107754010697</v>
      </c>
      <c r="R81" s="10">
        <f t="shared" si="64"/>
        <v>1.1287598361876396</v>
      </c>
      <c r="S81" s="10"/>
      <c r="T81" s="25"/>
    </row>
    <row r="82" spans="1:43" ht="15.75" customHeight="1">
      <c r="C82" s="8" t="s">
        <v>219</v>
      </c>
      <c r="D82" s="159"/>
      <c r="E82" s="159"/>
      <c r="F82" s="159"/>
      <c r="G82" s="7">
        <f t="shared" ref="G82:I82" si="65">G50*K82</f>
        <v>0</v>
      </c>
      <c r="H82" s="7">
        <f t="shared" si="65"/>
        <v>28.581778870545396</v>
      </c>
      <c r="I82" s="7">
        <f t="shared" si="65"/>
        <v>49.492257784494186</v>
      </c>
      <c r="J82" s="10"/>
      <c r="K82" s="197">
        <f>'Revenue Analysis - Barn'!K82</f>
        <v>0</v>
      </c>
      <c r="L82" s="197">
        <f>'Revenue Analysis - Barn'!L82</f>
        <v>0.83356827067669181</v>
      </c>
      <c r="M82" s="197">
        <f>'Revenue Analysis - Barn'!M82</f>
        <v>0.83356827067669181</v>
      </c>
      <c r="N82" s="10"/>
      <c r="O82" s="10">
        <v>0</v>
      </c>
      <c r="P82" s="10">
        <f t="shared" ref="P82:R82" si="66">P67</f>
        <v>0.83356827067669181</v>
      </c>
      <c r="Q82" s="10">
        <f t="shared" si="66"/>
        <v>0.83356827067669181</v>
      </c>
      <c r="R82" s="10">
        <f t="shared" si="66"/>
        <v>0.79107037180910111</v>
      </c>
      <c r="S82" s="10"/>
      <c r="T82" s="25"/>
    </row>
    <row r="83" spans="1:43" ht="15.75" customHeight="1">
      <c r="C83" s="8" t="s">
        <v>220</v>
      </c>
      <c r="D83" s="159"/>
      <c r="E83" s="159"/>
      <c r="F83" s="159"/>
      <c r="G83" s="7">
        <f t="shared" ref="G83:I83" si="67">G51*K83</f>
        <v>13.130910214168042</v>
      </c>
      <c r="H83" s="7">
        <f t="shared" si="67"/>
        <v>116.66308690280067</v>
      </c>
      <c r="I83" s="7">
        <f t="shared" si="67"/>
        <v>202.01400329489294</v>
      </c>
      <c r="J83" s="10"/>
      <c r="K83" s="197">
        <f>'Revenue Analysis - Barn'!K83</f>
        <v>4.4916666666666671</v>
      </c>
      <c r="L83" s="197">
        <f>'Revenue Analysis - Barn'!L83</f>
        <v>4.4916666666666671</v>
      </c>
      <c r="M83" s="197">
        <f>'Revenue Analysis - Barn'!M83</f>
        <v>4.4916666666666671</v>
      </c>
      <c r="N83" s="10"/>
      <c r="O83" s="10">
        <v>0</v>
      </c>
      <c r="P83" s="10">
        <f t="shared" ref="P83:R83" si="68">P68</f>
        <v>1.1415724390243904</v>
      </c>
      <c r="Q83" s="10">
        <f t="shared" si="68"/>
        <v>1.1415724390243904</v>
      </c>
      <c r="R83" s="10">
        <f t="shared" si="68"/>
        <v>1.11056736996337</v>
      </c>
      <c r="S83" s="10"/>
      <c r="T83" s="25"/>
    </row>
    <row r="84" spans="1:43" ht="15.75" customHeight="1">
      <c r="C84" s="8" t="s">
        <v>8</v>
      </c>
      <c r="D84" s="159"/>
      <c r="E84" s="159"/>
      <c r="F84" s="159"/>
      <c r="G84" s="7">
        <f t="shared" ref="G84:I84" si="69">G52*K84</f>
        <v>0</v>
      </c>
      <c r="H84" s="7">
        <f t="shared" si="69"/>
        <v>0</v>
      </c>
      <c r="I84" s="7">
        <f t="shared" si="69"/>
        <v>0</v>
      </c>
      <c r="J84" s="10"/>
      <c r="K84" s="197">
        <f>'Revenue Analysis - Barn'!K84</f>
        <v>0</v>
      </c>
      <c r="L84" s="197">
        <f>'Revenue Analysis - Barn'!L84</f>
        <v>0</v>
      </c>
      <c r="M84" s="197">
        <f>'Revenue Analysis - Barn'!M84</f>
        <v>0</v>
      </c>
      <c r="N84" s="10"/>
      <c r="O84" s="10">
        <v>0</v>
      </c>
      <c r="P84" s="10">
        <f t="shared" ref="P84:R84" si="70">P69</f>
        <v>0.78271323420074335</v>
      </c>
      <c r="Q84" s="10">
        <f t="shared" si="70"/>
        <v>0.78271323420074335</v>
      </c>
      <c r="R84" s="10">
        <f t="shared" si="70"/>
        <v>0.66640874464579902</v>
      </c>
      <c r="S84" s="10"/>
      <c r="T84" s="171"/>
    </row>
    <row r="85" spans="1:43" ht="15.75" customHeight="1">
      <c r="C85" s="8" t="s">
        <v>123</v>
      </c>
      <c r="D85" s="159"/>
      <c r="E85" s="159"/>
      <c r="F85" s="159"/>
      <c r="G85" s="7">
        <f t="shared" ref="G85:I85" si="71">K85*G75</f>
        <v>18.781755387732545</v>
      </c>
      <c r="H85" s="7">
        <f t="shared" si="71"/>
        <v>114.68589058758519</v>
      </c>
      <c r="I85" s="7">
        <f t="shared" si="71"/>
        <v>148.94271504881195</v>
      </c>
      <c r="J85" s="10"/>
      <c r="K85" s="11">
        <f>'Revenue Analysis - Barn'!K85</f>
        <v>0.22</v>
      </c>
      <c r="L85" s="11">
        <f>'Revenue Analysis - Barn'!L85</f>
        <v>0.22</v>
      </c>
      <c r="M85" s="11">
        <f>'Revenue Analysis - Barn'!M85</f>
        <v>0.22</v>
      </c>
      <c r="N85" s="10"/>
      <c r="O85" s="10">
        <v>0</v>
      </c>
      <c r="P85" s="10">
        <f t="array" ref="P85">INDEX('WH Rev &amp; Events Data'!45:45,MATCH(P$8,'WH Rev &amp; Events Data'!$8:$8,0))</f>
        <v>3.7752801363073107</v>
      </c>
      <c r="Q85" s="10">
        <f t="array" ref="Q85">INDEX('WH Rev &amp; Events Data'!45:45,MATCH(Q$8,'WH Rev &amp; Events Data'!$8:$8,0))</f>
        <v>3.7752801363073107</v>
      </c>
      <c r="R85" s="10">
        <f t="array" ref="R85">INDEX('WH Rev &amp; Events Data'!45:45,MATCH(R$8,'WH Rev &amp; Events Data'!$8:$8,0))</f>
        <v>3.7751450741350894</v>
      </c>
      <c r="S85" s="10"/>
      <c r="T85" s="171"/>
    </row>
    <row r="86" spans="1:43" ht="15.75" customHeight="1">
      <c r="C86" s="17"/>
      <c r="D86" s="25"/>
      <c r="E86" s="25"/>
      <c r="F86" s="25"/>
      <c r="G86" s="188"/>
      <c r="H86" s="188"/>
      <c r="I86" s="188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</row>
    <row r="87" spans="1:43" ht="15.75" customHeight="1">
      <c r="A87" s="17"/>
      <c r="B87" s="17"/>
      <c r="C87" s="185" t="s">
        <v>231</v>
      </c>
      <c r="D87" s="145">
        <f t="shared" ref="D87:I87" si="72">SUM(D75:D86)</f>
        <v>0</v>
      </c>
      <c r="E87" s="145">
        <f t="shared" si="72"/>
        <v>0</v>
      </c>
      <c r="F87" s="145">
        <f t="shared" si="72"/>
        <v>0</v>
      </c>
      <c r="G87" s="145">
        <f t="shared" si="72"/>
        <v>172.67365117691173</v>
      </c>
      <c r="H87" s="145">
        <f t="shared" si="72"/>
        <v>1332.6925695853149</v>
      </c>
      <c r="I87" s="145">
        <f t="shared" si="72"/>
        <v>2237.9122797473055</v>
      </c>
      <c r="J87" s="80"/>
      <c r="K87" s="147"/>
      <c r="L87" s="147"/>
      <c r="M87" s="147"/>
      <c r="N87" s="80"/>
      <c r="O87" s="147"/>
      <c r="P87" s="147"/>
      <c r="Q87" s="147"/>
      <c r="R87" s="147"/>
      <c r="S87" s="27"/>
      <c r="T87" s="2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</row>
    <row r="88" spans="1:43" ht="15.75" customHeight="1">
      <c r="A88" s="42"/>
      <c r="B88" s="42"/>
      <c r="C88" s="186" t="s">
        <v>232</v>
      </c>
      <c r="D88" s="187">
        <f t="shared" ref="D88:I88" si="73">IFERROR(D87/D54,0)</f>
        <v>0</v>
      </c>
      <c r="E88" s="187">
        <f t="shared" si="73"/>
        <v>0</v>
      </c>
      <c r="F88" s="187">
        <f t="shared" si="73"/>
        <v>0</v>
      </c>
      <c r="G88" s="187">
        <f t="shared" si="73"/>
        <v>13.282588552070134</v>
      </c>
      <c r="H88" s="187">
        <f t="shared" si="73"/>
        <v>17.307695708900194</v>
      </c>
      <c r="I88" s="187">
        <f t="shared" si="73"/>
        <v>22.379122797473055</v>
      </c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</row>
    <row r="89" spans="1:43" ht="15.75" customHeight="1">
      <c r="C89" s="1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</row>
    <row r="90" spans="1:43" ht="15.75" customHeight="1">
      <c r="C90" s="189" t="s">
        <v>224</v>
      </c>
      <c r="D90" s="190">
        <f t="shared" ref="D90:I90" si="74">D71+D87</f>
        <v>704.75</v>
      </c>
      <c r="E90" s="190">
        <f t="shared" si="74"/>
        <v>605.5</v>
      </c>
      <c r="F90" s="190">
        <f t="shared" si="74"/>
        <v>650.5</v>
      </c>
      <c r="G90" s="190">
        <f t="shared" si="74"/>
        <v>1097.5160754193359</v>
      </c>
      <c r="H90" s="190">
        <f t="shared" si="74"/>
        <v>1595.9987289427995</v>
      </c>
      <c r="I90" s="190">
        <f t="shared" si="74"/>
        <v>2237.9122797473055</v>
      </c>
      <c r="J90" s="191"/>
      <c r="K90" s="191"/>
      <c r="L90" s="191"/>
      <c r="M90" s="191"/>
      <c r="N90" s="191"/>
      <c r="O90" s="191"/>
      <c r="P90" s="191"/>
      <c r="Q90" s="191"/>
      <c r="R90" s="191"/>
      <c r="S90" s="25"/>
      <c r="T90" s="25"/>
    </row>
    <row r="91" spans="1:43" ht="15.75" customHeight="1">
      <c r="C91" s="1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</row>
    <row r="92" spans="1:43" ht="15.75" customHeight="1">
      <c r="A92" s="42"/>
      <c r="B92" s="42"/>
      <c r="C92" s="56" t="s">
        <v>233</v>
      </c>
      <c r="D92" s="183"/>
      <c r="E92" s="183"/>
      <c r="F92" s="183"/>
      <c r="G92" s="83">
        <f t="shared" ref="G92:I92" si="75">G16</f>
        <v>691.95</v>
      </c>
      <c r="H92" s="83">
        <f t="shared" si="75"/>
        <v>196.77500000000001</v>
      </c>
      <c r="I92" s="83">
        <f t="shared" si="75"/>
        <v>0</v>
      </c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</row>
    <row r="93" spans="1:43" ht="15.75" customHeight="1">
      <c r="A93" s="42"/>
      <c r="B93" s="42"/>
      <c r="C93" s="56" t="s">
        <v>234</v>
      </c>
      <c r="D93" s="183"/>
      <c r="E93" s="183"/>
      <c r="F93" s="183"/>
      <c r="G93" s="83">
        <f t="shared" ref="G93:I93" si="76">SUM(G$75:G$84)+(G71-G16)</f>
        <v>386.78432003160344</v>
      </c>
      <c r="H93" s="83">
        <f t="shared" si="76"/>
        <v>1284.5378383552145</v>
      </c>
      <c r="I93" s="83">
        <f t="shared" si="76"/>
        <v>2088.9695646984937</v>
      </c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</row>
    <row r="94" spans="1:43" ht="15.75" customHeight="1">
      <c r="C94" s="8"/>
      <c r="D94" s="25"/>
      <c r="E94" s="25"/>
      <c r="F94" s="25"/>
      <c r="G94" s="7"/>
      <c r="H94" s="7"/>
      <c r="I94" s="7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</row>
    <row r="95" spans="1:43" ht="15.75" customHeight="1">
      <c r="C95" s="8"/>
      <c r="D95" s="25"/>
      <c r="E95" s="25"/>
      <c r="F95" s="25"/>
      <c r="G95" s="7"/>
      <c r="H95" s="7"/>
      <c r="I95" s="7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</row>
    <row r="96" spans="1:43" ht="15.75" customHeight="1">
      <c r="C96" s="20" t="s">
        <v>235</v>
      </c>
    </row>
    <row r="97" spans="3:10" ht="15.75" customHeight="1">
      <c r="C97" s="3" t="s">
        <v>33</v>
      </c>
      <c r="D97" s="7">
        <f t="shared" ref="D97:I97" si="77">D19-D90</f>
        <v>0</v>
      </c>
      <c r="E97" s="7">
        <f t="shared" si="77"/>
        <v>0</v>
      </c>
      <c r="F97" s="7">
        <f t="shared" si="77"/>
        <v>0</v>
      </c>
      <c r="G97" s="7">
        <f t="shared" si="77"/>
        <v>0</v>
      </c>
      <c r="H97" s="7">
        <f t="shared" si="77"/>
        <v>0</v>
      </c>
      <c r="I97" s="7">
        <f t="shared" si="77"/>
        <v>0</v>
      </c>
    </row>
    <row r="98" spans="3:10" ht="15.75" customHeight="1">
      <c r="C98" s="3" t="s">
        <v>2</v>
      </c>
      <c r="D98" s="25">
        <f t="shared" ref="D98:I98" si="78">D13-D56</f>
        <v>0</v>
      </c>
      <c r="E98" s="25">
        <f t="shared" si="78"/>
        <v>0</v>
      </c>
      <c r="F98" s="25">
        <f t="shared" si="78"/>
        <v>0</v>
      </c>
      <c r="G98" s="25">
        <f t="shared" si="78"/>
        <v>0</v>
      </c>
      <c r="H98" s="25">
        <f t="shared" si="78"/>
        <v>0</v>
      </c>
      <c r="I98" s="25">
        <f t="shared" si="78"/>
        <v>0</v>
      </c>
    </row>
    <row r="99" spans="3:10" ht="15.75" customHeight="1"/>
    <row r="100" spans="3:10" ht="15.75" customHeight="1">
      <c r="G100" s="7"/>
      <c r="H100" s="7"/>
      <c r="I100" s="7"/>
      <c r="J100" s="7"/>
    </row>
    <row r="101" spans="3:10" ht="15.75" customHeight="1">
      <c r="G101" s="7"/>
      <c r="H101" s="7"/>
      <c r="I101" s="7"/>
      <c r="J101" s="7"/>
    </row>
    <row r="102" spans="3:10" ht="15.75" customHeight="1">
      <c r="G102" s="7"/>
      <c r="H102" s="7"/>
      <c r="I102" s="7"/>
      <c r="J102" s="7"/>
    </row>
    <row r="103" spans="3:10" ht="15.75" customHeight="1">
      <c r="G103" s="7"/>
      <c r="H103" s="7"/>
      <c r="I103" s="7"/>
      <c r="J103" s="7"/>
    </row>
    <row r="104" spans="3:10" ht="15.75" customHeight="1">
      <c r="G104" s="7"/>
      <c r="H104" s="7"/>
      <c r="I104" s="7"/>
      <c r="J104" s="7"/>
    </row>
    <row r="105" spans="3:10" ht="15.75" customHeight="1">
      <c r="G105" s="7"/>
      <c r="H105" s="7"/>
      <c r="I105" s="7"/>
      <c r="J105" s="7"/>
    </row>
    <row r="106" spans="3:10" ht="15.75" customHeight="1">
      <c r="G106" s="7"/>
      <c r="H106" s="7"/>
      <c r="I106" s="7"/>
      <c r="J106" s="7"/>
    </row>
    <row r="107" spans="3:10" ht="15.75" customHeight="1">
      <c r="G107" s="7"/>
      <c r="H107" s="7"/>
      <c r="I107" s="7"/>
      <c r="J107" s="7"/>
    </row>
    <row r="108" spans="3:10" ht="15.75" customHeight="1">
      <c r="G108" s="7"/>
      <c r="H108" s="7"/>
      <c r="I108" s="7"/>
      <c r="J108" s="7"/>
    </row>
    <row r="109" spans="3:10" ht="15.75" customHeight="1"/>
    <row r="110" spans="3:10" ht="15.75" customHeight="1"/>
    <row r="111" spans="3:10" ht="15.75" customHeight="1"/>
    <row r="112" spans="3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K27:M27"/>
    <mergeCell ref="K58:M58"/>
    <mergeCell ref="D6:I6"/>
    <mergeCell ref="K6:M6"/>
    <mergeCell ref="O6:R6"/>
    <mergeCell ref="D7:F7"/>
    <mergeCell ref="G7:I7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A1:AK1000"/>
  <sheetViews>
    <sheetView showGridLines="0" workbookViewId="0">
      <selection activeCell="S38" sqref="S38:S47"/>
    </sheetView>
  </sheetViews>
  <sheetFormatPr defaultColWidth="12.54296875" defaultRowHeight="15" customHeight="1"/>
  <cols>
    <col min="1" max="2" width="1.7265625" customWidth="1"/>
    <col min="3" max="3" width="28.453125" customWidth="1"/>
    <col min="4" max="4" width="9" customWidth="1"/>
    <col min="5" max="5" width="10.81640625" customWidth="1"/>
    <col min="6" max="6" width="10" customWidth="1"/>
    <col min="7" max="7" width="1.7265625" customWidth="1"/>
    <col min="8" max="8" width="9" customWidth="1"/>
    <col min="9" max="9" width="10.81640625" customWidth="1"/>
    <col min="10" max="10" width="10" customWidth="1"/>
    <col min="11" max="11" width="1.7265625" customWidth="1"/>
    <col min="12" max="12" width="9" customWidth="1"/>
    <col min="13" max="13" width="10.81640625" customWidth="1"/>
    <col min="14" max="14" width="10" customWidth="1"/>
    <col min="15" max="15" width="1.7265625" customWidth="1"/>
    <col min="16" max="16" width="9" customWidth="1"/>
    <col min="17" max="17" width="10.81640625" customWidth="1"/>
    <col min="18" max="19" width="10" customWidth="1"/>
    <col min="20" max="20" width="1.7265625" customWidth="1"/>
    <col min="21" max="21" width="10.81640625" customWidth="1"/>
    <col min="22" max="22" width="1.7265625" customWidth="1"/>
    <col min="23" max="25" width="9.1796875" customWidth="1"/>
    <col min="26" max="29" width="8.54296875" customWidth="1"/>
    <col min="30" max="30" width="1.7265625" customWidth="1"/>
    <col min="31" max="37" width="8.54296875" customWidth="1"/>
  </cols>
  <sheetData>
    <row r="1" spans="1:37" ht="14.5">
      <c r="C1" s="70" t="s">
        <v>246</v>
      </c>
      <c r="D1" s="198">
        <f t="array" ref="D1">INDEX($C:$C,MATCH($Y$12,$X:$X,0)+11)</f>
        <v>46112</v>
      </c>
      <c r="F1" s="10"/>
      <c r="H1" s="198"/>
      <c r="J1" s="10"/>
      <c r="N1" s="10"/>
      <c r="P1" s="198"/>
      <c r="R1" s="10"/>
      <c r="S1" s="10"/>
      <c r="W1" s="42"/>
      <c r="X1" s="42"/>
      <c r="Y1" s="42"/>
    </row>
    <row r="2" spans="1:37" ht="4.5" customHeight="1">
      <c r="F2" s="10"/>
      <c r="J2" s="10"/>
      <c r="N2" s="10"/>
      <c r="R2" s="10"/>
      <c r="S2" s="10"/>
      <c r="W2" s="42"/>
      <c r="X2" s="42"/>
      <c r="Y2" s="42"/>
    </row>
    <row r="3" spans="1:37" ht="14.5">
      <c r="C3" s="17" t="str">
        <f>Checks!$C$3</f>
        <v>Firefly Lane</v>
      </c>
      <c r="F3" s="10"/>
      <c r="J3" s="10"/>
      <c r="N3" s="10"/>
      <c r="R3" s="10"/>
      <c r="S3" s="10"/>
      <c r="W3" s="42"/>
      <c r="X3" s="42"/>
      <c r="Y3" s="42"/>
    </row>
    <row r="4" spans="1:37" ht="14.5">
      <c r="C4" s="3" t="s">
        <v>247</v>
      </c>
      <c r="F4" s="10"/>
      <c r="J4" s="10"/>
      <c r="N4" s="10"/>
      <c r="R4" s="10"/>
      <c r="S4" s="10"/>
      <c r="W4" s="42"/>
      <c r="X4" s="42"/>
      <c r="Y4" s="42"/>
    </row>
    <row r="5" spans="1:37" ht="14.5">
      <c r="A5" s="199"/>
      <c r="B5" s="199"/>
      <c r="C5" s="200"/>
      <c r="D5" s="201" t="s">
        <v>248</v>
      </c>
      <c r="E5" s="201" t="s">
        <v>248</v>
      </c>
      <c r="F5" s="201" t="s">
        <v>248</v>
      </c>
      <c r="G5" s="201"/>
      <c r="H5" s="201" t="s">
        <v>249</v>
      </c>
      <c r="I5" s="201" t="s">
        <v>249</v>
      </c>
      <c r="J5" s="201" t="s">
        <v>249</v>
      </c>
      <c r="K5" s="201"/>
      <c r="L5" s="201"/>
      <c r="M5" s="201"/>
      <c r="N5" s="202"/>
      <c r="O5" s="201"/>
      <c r="P5" s="201" t="s">
        <v>250</v>
      </c>
      <c r="Q5" s="201" t="s">
        <v>250</v>
      </c>
      <c r="R5" s="201" t="s">
        <v>250</v>
      </c>
      <c r="S5" s="509"/>
      <c r="T5" s="201"/>
      <c r="U5" s="201"/>
      <c r="V5" s="201"/>
      <c r="W5" s="203"/>
      <c r="X5" s="203"/>
      <c r="Y5" s="203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</row>
    <row r="6" spans="1:37" ht="14.5">
      <c r="C6" s="19"/>
      <c r="D6" s="516" t="s">
        <v>248</v>
      </c>
      <c r="E6" s="514"/>
      <c r="F6" s="515"/>
      <c r="H6" s="516" t="s">
        <v>249</v>
      </c>
      <c r="I6" s="514"/>
      <c r="J6" s="515"/>
      <c r="L6" s="516" t="s">
        <v>251</v>
      </c>
      <c r="M6" s="514"/>
      <c r="N6" s="515"/>
      <c r="P6" s="516" t="s">
        <v>250</v>
      </c>
      <c r="Q6" s="514"/>
      <c r="R6" s="515"/>
      <c r="S6" s="506"/>
      <c r="U6" s="19"/>
      <c r="W6" s="204"/>
      <c r="X6" s="204"/>
      <c r="Y6" s="42"/>
    </row>
    <row r="7" spans="1:37" ht="14.5">
      <c r="C7" s="19" t="s">
        <v>252</v>
      </c>
      <c r="D7" s="19" t="s">
        <v>2</v>
      </c>
      <c r="E7" s="19" t="s">
        <v>33</v>
      </c>
      <c r="F7" s="205" t="s">
        <v>167</v>
      </c>
      <c r="H7" s="19" t="s">
        <v>2</v>
      </c>
      <c r="I7" s="19" t="s">
        <v>33</v>
      </c>
      <c r="J7" s="205" t="s">
        <v>167</v>
      </c>
      <c r="L7" s="19" t="s">
        <v>2</v>
      </c>
      <c r="M7" s="19" t="s">
        <v>33</v>
      </c>
      <c r="N7" s="205" t="s">
        <v>167</v>
      </c>
      <c r="P7" s="19" t="s">
        <v>2</v>
      </c>
      <c r="Q7" s="19" t="s">
        <v>33</v>
      </c>
      <c r="R7" s="205" t="s">
        <v>167</v>
      </c>
      <c r="S7" s="510"/>
      <c r="U7" s="19" t="s">
        <v>253</v>
      </c>
      <c r="W7" s="204" t="s">
        <v>254</v>
      </c>
      <c r="X7" s="204" t="s">
        <v>65</v>
      </c>
      <c r="Y7" s="42"/>
    </row>
    <row r="8" spans="1:37" ht="4.5" customHeight="1">
      <c r="F8" s="10"/>
      <c r="J8" s="10"/>
      <c r="N8" s="10"/>
      <c r="R8" s="10"/>
      <c r="S8" s="10"/>
      <c r="W8" s="206"/>
      <c r="X8" s="206"/>
      <c r="Y8" s="206"/>
    </row>
    <row r="9" spans="1:37" ht="14.5">
      <c r="C9" s="33" t="s">
        <v>255</v>
      </c>
      <c r="F9" s="10"/>
      <c r="J9" s="10"/>
      <c r="N9" s="10"/>
      <c r="R9" s="10"/>
      <c r="S9" s="10"/>
      <c r="W9" s="206"/>
      <c r="X9" s="206"/>
      <c r="Y9" s="206"/>
    </row>
    <row r="10" spans="1:37" ht="14.5">
      <c r="C10" s="8">
        <f>Checks!D11</f>
        <v>2024</v>
      </c>
      <c r="D10" s="25">
        <f>SUMIFS(D$19:D$67,$W$19:$W$67,$C10)</f>
        <v>54</v>
      </c>
      <c r="E10" s="25">
        <f>SUMIFS(E$19:E$67,$W$19:$W$67,$C10)</f>
        <v>345600</v>
      </c>
      <c r="F10" s="10">
        <f t="shared" ref="F10:F12" si="0">IFERROR(E10/D10,0)</f>
        <v>6400</v>
      </c>
      <c r="H10" s="25">
        <f>SUMIFS(H$19:H$67,$W$19:$W$67,$C10)</f>
        <v>99</v>
      </c>
      <c r="I10" s="25">
        <f>SUMIFS(I$19:I$67,$W$19:$W$67,$C10)</f>
        <v>704750</v>
      </c>
      <c r="J10" s="10">
        <f t="shared" ref="J10:J12" si="1">IFERROR(I10/H10,0)</f>
        <v>7118.6868686868684</v>
      </c>
      <c r="L10" s="25">
        <f>SUMIFS(L$19:L$67,$W$19:$W$67,$C10)</f>
        <v>153</v>
      </c>
      <c r="M10" s="25">
        <f>SUMIFS(M$19:M$67,$W$19:$W$67,$C10)</f>
        <v>1050350</v>
      </c>
      <c r="N10" s="10">
        <f t="shared" ref="N10:N12" si="2">IFERROR(M10/L10,0)</f>
        <v>6865.0326797385624</v>
      </c>
      <c r="P10" s="25">
        <f>SUMIFS(P$19:P$67,$W$19:$W$67,$C10)</f>
        <v>22</v>
      </c>
      <c r="Q10" s="25">
        <f>SUMIFS(Q$19:Q$67,$W$19:$W$67,$C10)</f>
        <v>33000</v>
      </c>
      <c r="R10" s="10">
        <f t="shared" ref="R10:R12" si="3">IFERROR(Q10/P10,0)</f>
        <v>1500</v>
      </c>
      <c r="S10" s="10"/>
      <c r="U10" s="25">
        <f>SUMIFS(U$19:U$67,$W$19:$W$67,$C10)</f>
        <v>0</v>
      </c>
      <c r="W10" s="206"/>
      <c r="X10" s="206"/>
      <c r="Y10" s="206"/>
    </row>
    <row r="11" spans="1:37" ht="14.5">
      <c r="C11" s="8">
        <f>Checks!D12</f>
        <v>2025</v>
      </c>
      <c r="D11" s="25">
        <f>SUMIFS(D$19:D$67,$W$19:$W$67,$C11)</f>
        <v>47</v>
      </c>
      <c r="E11" s="25">
        <f>SUMIFS(E$19:E$67,$W$19:$W$67,$C11)</f>
        <v>304500</v>
      </c>
      <c r="F11" s="10">
        <f t="shared" si="0"/>
        <v>6478.7234042553191</v>
      </c>
      <c r="H11" s="25">
        <f>SUMIFS(H$19:H$67,$W$19:$W$67,$C11)</f>
        <v>86</v>
      </c>
      <c r="I11" s="25">
        <f>SUMIFS(I$19:I$67,$W$19:$W$67,$C11)</f>
        <v>605500</v>
      </c>
      <c r="J11" s="10">
        <f t="shared" si="1"/>
        <v>7040.6976744186049</v>
      </c>
      <c r="L11" s="25">
        <f>SUMIFS(L$19:L$67,$W$19:$W$67,$C11)</f>
        <v>133</v>
      </c>
      <c r="M11" s="25">
        <f>SUMIFS(M$19:M$67,$W$19:$W$67,$C11)</f>
        <v>910000</v>
      </c>
      <c r="N11" s="10">
        <f t="shared" si="2"/>
        <v>6842.105263157895</v>
      </c>
      <c r="P11" s="25">
        <f>SUMIFS(P$19:P$67,$W$19:$W$67,$C11)</f>
        <v>39</v>
      </c>
      <c r="Q11" s="25">
        <f>SUMIFS(Q$19:Q$67,$W$19:$W$67,$C11)</f>
        <v>58500</v>
      </c>
      <c r="R11" s="10">
        <f t="shared" si="3"/>
        <v>1500</v>
      </c>
      <c r="S11" s="10"/>
      <c r="U11" s="25">
        <f>SUMIFS(U$19:U$67,$W$19:$W$67,$C11)</f>
        <v>0</v>
      </c>
      <c r="W11" s="206"/>
      <c r="X11" s="206"/>
      <c r="Y11" s="206"/>
    </row>
    <row r="12" spans="1:37" ht="14.5">
      <c r="C12" s="8" t="str">
        <f>Checks!D13</f>
        <v>LTM Apr-26</v>
      </c>
      <c r="D12" s="25">
        <f>SUMIFS(D$19:D$67,$X$19:$X$67,$Y12)</f>
        <v>40</v>
      </c>
      <c r="E12" s="7">
        <f>SUMIFS(E$19:E$67,$X$19:$X$67,$Y12)</f>
        <v>249250</v>
      </c>
      <c r="F12" s="10">
        <f t="shared" si="0"/>
        <v>6231.25</v>
      </c>
      <c r="H12" s="25">
        <f>SUMIFS(H$19:H$67,$X$19:$X$67,$Y12)</f>
        <v>91</v>
      </c>
      <c r="I12" s="7">
        <f>SUMIFS(I$19:I$67,$X$19:$X$67,$Y12)</f>
        <v>650500</v>
      </c>
      <c r="J12" s="10">
        <f t="shared" si="1"/>
        <v>7148.3516483516487</v>
      </c>
      <c r="L12" s="25">
        <f>SUMIFS(L$19:L$67,$X$19:$X$67,$Y12)</f>
        <v>131</v>
      </c>
      <c r="M12" s="7">
        <f>SUMIFS(M$19:M$67,$X$19:$X$67,$Y12)</f>
        <v>899750</v>
      </c>
      <c r="N12" s="10">
        <f t="shared" si="2"/>
        <v>6868.320610687023</v>
      </c>
      <c r="P12" s="25">
        <f>SUMIFS(P$19:P$67,$X$19:$X$67,$Y12)</f>
        <v>40</v>
      </c>
      <c r="Q12" s="7">
        <f>SUMIFS(Q$19:Q$67,$X$19:$X$67,$Y12)</f>
        <v>67000</v>
      </c>
      <c r="R12" s="10">
        <f t="shared" si="3"/>
        <v>1675</v>
      </c>
      <c r="S12" s="10"/>
      <c r="U12" s="7">
        <f>SUMIFS(U$19:U$67,$X$19:$X$67,$Y12)</f>
        <v>0</v>
      </c>
      <c r="W12" s="206"/>
      <c r="X12" s="206"/>
      <c r="Y12" s="206" t="s">
        <v>256</v>
      </c>
      <c r="Z12" s="206">
        <f>COUNTIFS($X:$X,Y12)</f>
        <v>12</v>
      </c>
    </row>
    <row r="13" spans="1:37" ht="14.5">
      <c r="C13" s="8"/>
      <c r="D13" s="25"/>
      <c r="E13" s="7"/>
      <c r="F13" s="10"/>
      <c r="H13" s="25"/>
      <c r="I13" s="7"/>
      <c r="J13" s="10"/>
      <c r="L13" s="25"/>
      <c r="M13" s="7"/>
      <c r="N13" s="10"/>
      <c r="P13" s="25"/>
      <c r="Q13" s="7"/>
      <c r="R13" s="10"/>
      <c r="S13" s="10"/>
      <c r="U13" s="7"/>
      <c r="W13" s="206"/>
      <c r="X13" s="206"/>
      <c r="Y13" s="206"/>
    </row>
    <row r="14" spans="1:37" ht="14.5">
      <c r="C14" s="8" t="str">
        <f>"LTM "&amp;$C$1&amp;"-27"</f>
        <v>LTM May-27</v>
      </c>
      <c r="D14" s="25">
        <f t="shared" ref="D14:E16" si="4">SUMIFS(D$19:D$67,$X$19:$X$67,$Y14)</f>
        <v>35</v>
      </c>
      <c r="E14" s="7">
        <f t="shared" si="4"/>
        <v>231675</v>
      </c>
      <c r="F14" s="10">
        <f t="shared" ref="F14:F16" si="5">IFERROR(E14/D14,0)</f>
        <v>6619.2857142857147</v>
      </c>
      <c r="H14" s="25">
        <f t="shared" ref="H14:I16" si="6">SUMIFS(H$19:H$67,$X$19:$X$67,$Y14)</f>
        <v>87</v>
      </c>
      <c r="I14" s="7">
        <f t="shared" si="6"/>
        <v>691950</v>
      </c>
      <c r="J14" s="10">
        <f t="shared" ref="J14:J16" si="7">IFERROR(I14/H14,0)</f>
        <v>7953.4482758620688</v>
      </c>
      <c r="L14" s="25">
        <f t="shared" ref="L14:M16" si="8">SUMIFS(L$19:L$67,$X$19:$X$67,$Y14)</f>
        <v>122</v>
      </c>
      <c r="M14" s="7">
        <f t="shared" si="8"/>
        <v>923625</v>
      </c>
      <c r="N14" s="10">
        <f t="shared" ref="N14:N16" si="9">IFERROR(M14/L14,0)</f>
        <v>7570.6967213114758</v>
      </c>
      <c r="P14" s="25">
        <f t="shared" ref="P14:Q16" si="10">SUMIFS(P$19:P$67,$X$19:$X$67,$Y14)</f>
        <v>18</v>
      </c>
      <c r="Q14" s="7">
        <f t="shared" si="10"/>
        <v>31250</v>
      </c>
      <c r="R14" s="10">
        <f t="shared" ref="R14:R16" si="11">IFERROR(Q14/P14,0)</f>
        <v>1736.1111111111111</v>
      </c>
      <c r="S14" s="10"/>
      <c r="U14" s="7">
        <f t="shared" ref="U14:U16" si="12">SUMIFS(U$19:U$67,$X$19:$X$67,$Y14)</f>
        <v>0</v>
      </c>
      <c r="W14" s="206"/>
      <c r="X14" s="206"/>
      <c r="Y14" s="206" t="s">
        <v>257</v>
      </c>
      <c r="Z14" s="206">
        <f t="shared" ref="Z14:Z16" si="13">COUNTIFS($X:$X,Y14)</f>
        <v>12</v>
      </c>
    </row>
    <row r="15" spans="1:37" ht="14.5">
      <c r="C15" s="8" t="str">
        <f>"LTM "&amp;$C$1&amp;"-28"</f>
        <v>LTM May-28</v>
      </c>
      <c r="D15" s="25">
        <f t="shared" si="4"/>
        <v>7</v>
      </c>
      <c r="E15" s="7">
        <f t="shared" si="4"/>
        <v>51500</v>
      </c>
      <c r="F15" s="10">
        <f t="shared" si="5"/>
        <v>7357.1428571428569</v>
      </c>
      <c r="H15" s="25">
        <f t="shared" si="6"/>
        <v>23</v>
      </c>
      <c r="I15" s="7">
        <f t="shared" si="6"/>
        <v>196775</v>
      </c>
      <c r="J15" s="10">
        <f t="shared" si="7"/>
        <v>8555.434782608696</v>
      </c>
      <c r="L15" s="25">
        <f t="shared" si="8"/>
        <v>30</v>
      </c>
      <c r="M15" s="7">
        <f t="shared" si="8"/>
        <v>248275</v>
      </c>
      <c r="N15" s="10">
        <f t="shared" si="9"/>
        <v>8275.8333333333339</v>
      </c>
      <c r="P15" s="25">
        <f t="shared" si="10"/>
        <v>0</v>
      </c>
      <c r="Q15" s="7">
        <f t="shared" si="10"/>
        <v>0</v>
      </c>
      <c r="R15" s="10">
        <f t="shared" si="11"/>
        <v>0</v>
      </c>
      <c r="S15" s="10"/>
      <c r="U15" s="7">
        <f t="shared" si="12"/>
        <v>0</v>
      </c>
      <c r="W15" s="206"/>
      <c r="X15" s="206"/>
      <c r="Y15" s="206" t="s">
        <v>258</v>
      </c>
      <c r="Z15" s="206">
        <f t="shared" si="13"/>
        <v>12</v>
      </c>
      <c r="AB15" s="516" t="s">
        <v>259</v>
      </c>
      <c r="AC15" s="514"/>
      <c r="AD15" s="514"/>
      <c r="AE15" s="514"/>
      <c r="AF15" s="515"/>
    </row>
    <row r="16" spans="1:37" ht="14.5">
      <c r="C16" s="8" t="str">
        <f>"LTM "&amp;$C$1&amp;"-29"</f>
        <v>LTM May-29</v>
      </c>
      <c r="D16" s="25">
        <f t="shared" si="4"/>
        <v>0</v>
      </c>
      <c r="E16" s="7">
        <f t="shared" si="4"/>
        <v>0</v>
      </c>
      <c r="F16" s="10">
        <f t="shared" si="5"/>
        <v>0</v>
      </c>
      <c r="H16" s="25">
        <f t="shared" si="6"/>
        <v>0</v>
      </c>
      <c r="I16" s="7">
        <f t="shared" si="6"/>
        <v>0</v>
      </c>
      <c r="J16" s="10">
        <f t="shared" si="7"/>
        <v>0</v>
      </c>
      <c r="L16" s="25">
        <f t="shared" si="8"/>
        <v>0</v>
      </c>
      <c r="M16" s="7">
        <f t="shared" si="8"/>
        <v>0</v>
      </c>
      <c r="N16" s="10">
        <f t="shared" si="9"/>
        <v>0</v>
      </c>
      <c r="P16" s="25">
        <f t="shared" si="10"/>
        <v>0</v>
      </c>
      <c r="Q16" s="7">
        <f t="shared" si="10"/>
        <v>0</v>
      </c>
      <c r="R16" s="10">
        <f t="shared" si="11"/>
        <v>0</v>
      </c>
      <c r="S16" s="10"/>
      <c r="U16" s="7">
        <f t="shared" si="12"/>
        <v>0</v>
      </c>
      <c r="W16" s="206"/>
      <c r="X16" s="206"/>
      <c r="Y16" s="206" t="s">
        <v>260</v>
      </c>
      <c r="Z16" s="206">
        <f t="shared" si="13"/>
        <v>12</v>
      </c>
      <c r="AB16" s="19" t="s">
        <v>261</v>
      </c>
      <c r="AC16" s="19" t="s">
        <v>74</v>
      </c>
      <c r="AD16" s="23"/>
      <c r="AE16" s="19" t="s">
        <v>74</v>
      </c>
      <c r="AF16" s="205" t="s">
        <v>262</v>
      </c>
    </row>
    <row r="17" spans="3:32" ht="4.5" customHeight="1">
      <c r="C17" s="8"/>
      <c r="D17" s="25"/>
      <c r="E17" s="25"/>
      <c r="F17" s="10"/>
      <c r="H17" s="25"/>
      <c r="I17" s="25"/>
      <c r="J17" s="10"/>
      <c r="L17" s="25"/>
      <c r="M17" s="25"/>
      <c r="N17" s="10"/>
      <c r="P17" s="25"/>
      <c r="Q17" s="25"/>
      <c r="R17" s="10"/>
      <c r="S17" s="10"/>
      <c r="U17" s="25"/>
      <c r="W17" s="206"/>
      <c r="X17" s="206"/>
      <c r="Y17" s="206"/>
    </row>
    <row r="18" spans="3:32" ht="14.5">
      <c r="C18" s="33" t="s">
        <v>141</v>
      </c>
      <c r="F18" s="10"/>
      <c r="J18" s="10"/>
      <c r="N18" s="10"/>
      <c r="R18" s="10"/>
      <c r="S18" s="10"/>
      <c r="W18" s="206"/>
      <c r="X18" s="206"/>
      <c r="Y18" s="206"/>
    </row>
    <row r="19" spans="3:32" ht="14.5">
      <c r="C19" s="67">
        <v>45322</v>
      </c>
      <c r="D19" s="84">
        <f>COUNTIFS('24-25 events'!$E:$E,$C19,'24-25 events'!$N:$N,D$5)</f>
        <v>0</v>
      </c>
      <c r="E19" s="86">
        <f>SUMIFS('24-25 events'!$Q:$Q,'24-25 events'!$E:$E,$C19,'24-25 events'!$N:$N,E$5)</f>
        <v>0</v>
      </c>
      <c r="F19" s="10">
        <f t="shared" ref="F19:F42" si="14">IFERROR(E19/D19,0)</f>
        <v>0</v>
      </c>
      <c r="H19" s="84">
        <f>COUNTIFS('24-25 events'!$E:$E,$C19,'24-25 events'!$N:$N,H$5)</f>
        <v>0</v>
      </c>
      <c r="I19" s="86">
        <f>SUMIFS('24-25 events'!$Q:$Q,'24-25 events'!$E:$E,$C19,'24-25 events'!$N:$N,I$5)</f>
        <v>0</v>
      </c>
      <c r="J19" s="10">
        <f t="shared" ref="J19:J42" si="15">IFERROR(I19/H19,0)</f>
        <v>0</v>
      </c>
      <c r="L19" s="25">
        <f t="shared" ref="L19:L42" si="16">D19+H19</f>
        <v>0</v>
      </c>
      <c r="M19" s="7">
        <f t="shared" ref="M19:M42" si="17">E19+I19</f>
        <v>0</v>
      </c>
      <c r="N19" s="10">
        <f t="shared" ref="N19:N42" si="18">IFERROR(M19/L19,0)</f>
        <v>0</v>
      </c>
      <c r="P19" s="84">
        <f>COUNTIFS('24-25 events'!$E:$E,$C19,'24-25 events'!$N:$N,P$5)</f>
        <v>0</v>
      </c>
      <c r="Q19" s="86">
        <f>SUMIFS('24-25 events'!$Q:$Q,'24-25 events'!$E:$E,$C19,'24-25 events'!$N:$N,Q$5)</f>
        <v>0</v>
      </c>
      <c r="R19" s="10">
        <f t="shared" ref="R19:R42" si="19">IFERROR(Q19/P19,0)</f>
        <v>0</v>
      </c>
      <c r="S19" s="10"/>
      <c r="U19" s="86">
        <v>0</v>
      </c>
      <c r="W19" s="206">
        <f t="shared" ref="W19:W42" si="20">YEAR(C19)</f>
        <v>2024</v>
      </c>
      <c r="X19" s="206"/>
      <c r="Y19" s="207">
        <f t="array" ref="Y19">INDEX('Adj. P&amp;L'!$3:$3,MATCH($C19,'Adj. P&amp;L'!$9:$9,0))</f>
        <v>0</v>
      </c>
      <c r="AB19" s="208">
        <f t="shared" ref="AB19:AB42" si="21">IFERROR(L19/SUMIFS($L$19:$L$79,$W$19:$W$79,W19),"-")</f>
        <v>0</v>
      </c>
      <c r="AC19" s="3">
        <v>1</v>
      </c>
      <c r="AD19" s="208"/>
      <c r="AE19" s="3">
        <v>1</v>
      </c>
      <c r="AF19" s="63">
        <f t="shared" ref="AF19:AF30" si="22">ROUND(AVERAGEIFS($AB$19:$AB$79,$AC$19:$AC$79,AE19),2)</f>
        <v>0</v>
      </c>
    </row>
    <row r="20" spans="3:32" ht="14.5">
      <c r="C20" s="67">
        <f t="shared" ref="C20:C42" si="23">EOMONTH(C19,1)</f>
        <v>45351</v>
      </c>
      <c r="D20" s="84">
        <f>COUNTIFS('24-25 events'!$E:$E,$C20,'24-25 events'!$N:$N,D$5)</f>
        <v>0</v>
      </c>
      <c r="E20" s="86">
        <f>SUMIFS('24-25 events'!$Q:$Q,'24-25 events'!$E:$E,$C20,'24-25 events'!$N:$N,E$5)</f>
        <v>0</v>
      </c>
      <c r="F20" s="10">
        <f t="shared" si="14"/>
        <v>0</v>
      </c>
      <c r="H20" s="84">
        <f>COUNTIFS('24-25 events'!$E:$E,$C20,'24-25 events'!$N:$N,H$5)</f>
        <v>0</v>
      </c>
      <c r="I20" s="86">
        <f>SUMIFS('24-25 events'!$Q:$Q,'24-25 events'!$E:$E,$C20,'24-25 events'!$N:$N,I$5)</f>
        <v>0</v>
      </c>
      <c r="J20" s="10">
        <f t="shared" si="15"/>
        <v>0</v>
      </c>
      <c r="L20" s="25">
        <f t="shared" si="16"/>
        <v>0</v>
      </c>
      <c r="M20" s="7">
        <f t="shared" si="17"/>
        <v>0</v>
      </c>
      <c r="N20" s="10">
        <f t="shared" si="18"/>
        <v>0</v>
      </c>
      <c r="P20" s="84">
        <f>COUNTIFS('24-25 events'!$E:$E,$C20,'24-25 events'!$N:$N,P$5)</f>
        <v>0</v>
      </c>
      <c r="Q20" s="86">
        <f>SUMIFS('24-25 events'!$Q:$Q,'24-25 events'!$E:$E,$C20,'24-25 events'!$N:$N,Q$5)</f>
        <v>0</v>
      </c>
      <c r="R20" s="10">
        <f t="shared" si="19"/>
        <v>0</v>
      </c>
      <c r="S20" s="10"/>
      <c r="U20" s="86">
        <v>0</v>
      </c>
      <c r="W20" s="206">
        <f t="shared" si="20"/>
        <v>2024</v>
      </c>
      <c r="X20" s="206"/>
      <c r="Y20" s="207">
        <f t="array" ref="Y20">INDEX('Adj. P&amp;L'!$3:$3,MATCH($C20,'Adj. P&amp;L'!$9:$9,0))</f>
        <v>0</v>
      </c>
      <c r="AB20" s="208">
        <f t="shared" si="21"/>
        <v>0</v>
      </c>
      <c r="AC20" s="3">
        <f t="shared" ref="AC20:AC30" si="24">AC19+1</f>
        <v>2</v>
      </c>
      <c r="AD20" s="208"/>
      <c r="AE20" s="3">
        <f t="shared" ref="AE20:AE30" si="25">AE19+1</f>
        <v>2</v>
      </c>
      <c r="AF20" s="63">
        <f t="shared" si="22"/>
        <v>0</v>
      </c>
    </row>
    <row r="21" spans="3:32" ht="15.75" customHeight="1">
      <c r="C21" s="67">
        <f t="shared" si="23"/>
        <v>45382</v>
      </c>
      <c r="D21" s="84">
        <f>COUNTIFS('24-25 events'!$E:$E,$C21,'24-25 events'!$N:$N,D$5)</f>
        <v>5</v>
      </c>
      <c r="E21" s="86">
        <f>SUMIFS('24-25 events'!$Q:$Q,'24-25 events'!$E:$E,$C21,'24-25 events'!$N:$N,E$5)</f>
        <v>34750</v>
      </c>
      <c r="F21" s="10">
        <f t="shared" si="14"/>
        <v>6950</v>
      </c>
      <c r="H21" s="84">
        <f>COUNTIFS('24-25 events'!$E:$E,$C21,'24-25 events'!$N:$N,H$5)</f>
        <v>0</v>
      </c>
      <c r="I21" s="86">
        <f>SUMIFS('24-25 events'!$Q:$Q,'24-25 events'!$E:$E,$C21,'24-25 events'!$N:$N,I$5)</f>
        <v>0</v>
      </c>
      <c r="J21" s="10">
        <f t="shared" si="15"/>
        <v>0</v>
      </c>
      <c r="L21" s="25">
        <f t="shared" si="16"/>
        <v>5</v>
      </c>
      <c r="M21" s="7">
        <f t="shared" si="17"/>
        <v>34750</v>
      </c>
      <c r="N21" s="10">
        <f t="shared" si="18"/>
        <v>6950</v>
      </c>
      <c r="P21" s="84">
        <f>COUNTIFS('24-25 events'!$E:$E,$C21,'24-25 events'!$N:$N,P$5)</f>
        <v>0</v>
      </c>
      <c r="Q21" s="86">
        <f>SUMIFS('24-25 events'!$Q:$Q,'24-25 events'!$E:$E,$C21,'24-25 events'!$N:$N,Q$5)</f>
        <v>0</v>
      </c>
      <c r="R21" s="10">
        <f t="shared" si="19"/>
        <v>0</v>
      </c>
      <c r="S21" s="10"/>
      <c r="U21" s="86">
        <v>0</v>
      </c>
      <c r="W21" s="206">
        <f t="shared" si="20"/>
        <v>2024</v>
      </c>
      <c r="X21" s="206"/>
      <c r="Y21" s="207">
        <f t="array" ref="Y21">INDEX('Adj. P&amp;L'!$3:$3,MATCH($C21,'Adj. P&amp;L'!$9:$9,0))</f>
        <v>0</v>
      </c>
      <c r="AB21" s="208">
        <f t="shared" si="21"/>
        <v>3.2679738562091505E-2</v>
      </c>
      <c r="AC21" s="3">
        <f t="shared" si="24"/>
        <v>3</v>
      </c>
      <c r="AD21" s="208"/>
      <c r="AE21" s="3">
        <f t="shared" si="25"/>
        <v>3</v>
      </c>
      <c r="AF21" s="63">
        <f t="shared" si="22"/>
        <v>0.05</v>
      </c>
    </row>
    <row r="22" spans="3:32" ht="15.75" customHeight="1">
      <c r="C22" s="67">
        <f t="shared" si="23"/>
        <v>45412</v>
      </c>
      <c r="D22" s="84">
        <f>COUNTIFS('24-25 events'!$E:$E,$C22,'24-25 events'!$N:$N,D$5)</f>
        <v>8</v>
      </c>
      <c r="E22" s="86">
        <f>SUMIFS('24-25 events'!$Q:$Q,'24-25 events'!$E:$E,$C22,'24-25 events'!$N:$N,E$5)</f>
        <v>56250</v>
      </c>
      <c r="F22" s="10">
        <f t="shared" si="14"/>
        <v>7031.25</v>
      </c>
      <c r="H22" s="84">
        <f>COUNTIFS('24-25 events'!$E:$E,$C22,'24-25 events'!$N:$N,H$5)</f>
        <v>12</v>
      </c>
      <c r="I22" s="86">
        <f>SUMIFS('24-25 events'!$Q:$Q,'24-25 events'!$E:$E,$C22,'24-25 events'!$N:$N,I$5)</f>
        <v>82000</v>
      </c>
      <c r="J22" s="10">
        <f t="shared" si="15"/>
        <v>6833.333333333333</v>
      </c>
      <c r="L22" s="25">
        <f t="shared" si="16"/>
        <v>20</v>
      </c>
      <c r="M22" s="7">
        <f t="shared" si="17"/>
        <v>138250</v>
      </c>
      <c r="N22" s="10">
        <f t="shared" si="18"/>
        <v>6912.5</v>
      </c>
      <c r="P22" s="84">
        <f>COUNTIFS('24-25 events'!$E:$E,$C22,'24-25 events'!$N:$N,P$5)</f>
        <v>1</v>
      </c>
      <c r="Q22" s="86">
        <f>SUMIFS('24-25 events'!$Q:$Q,'24-25 events'!$E:$E,$C22,'24-25 events'!$N:$N,Q$5)</f>
        <v>1500</v>
      </c>
      <c r="R22" s="10">
        <f t="shared" si="19"/>
        <v>1500</v>
      </c>
      <c r="S22" s="10"/>
      <c r="U22" s="86">
        <v>0</v>
      </c>
      <c r="W22" s="206">
        <f t="shared" si="20"/>
        <v>2024</v>
      </c>
      <c r="X22" s="206"/>
      <c r="Y22" s="207">
        <f t="array" ref="Y22">INDEX('Adj. P&amp;L'!$3:$3,MATCH($C22,'Adj. P&amp;L'!$9:$9,0))</f>
        <v>0</v>
      </c>
      <c r="AB22" s="208">
        <f t="shared" si="21"/>
        <v>0.13071895424836602</v>
      </c>
      <c r="AC22" s="3">
        <f t="shared" si="24"/>
        <v>4</v>
      </c>
      <c r="AD22" s="208"/>
      <c r="AE22" s="3">
        <f t="shared" si="25"/>
        <v>4</v>
      </c>
      <c r="AF22" s="63">
        <f t="shared" si="22"/>
        <v>0.12</v>
      </c>
    </row>
    <row r="23" spans="3:32" ht="15.75" customHeight="1">
      <c r="C23" s="67">
        <f t="shared" si="23"/>
        <v>45443</v>
      </c>
      <c r="D23" s="84">
        <f>COUNTIFS('24-25 events'!$E:$E,$C23,'24-25 events'!$N:$N,D$5)</f>
        <v>5</v>
      </c>
      <c r="E23" s="86">
        <f>SUMIFS('24-25 events'!$Q:$Q,'24-25 events'!$E:$E,$C23,'24-25 events'!$N:$N,E$5)</f>
        <v>30000</v>
      </c>
      <c r="F23" s="10">
        <f t="shared" si="14"/>
        <v>6000</v>
      </c>
      <c r="H23" s="84">
        <f>COUNTIFS('24-25 events'!$E:$E,$C23,'24-25 events'!$N:$N,H$5)</f>
        <v>12</v>
      </c>
      <c r="I23" s="86">
        <f>SUMIFS('24-25 events'!$Q:$Q,'24-25 events'!$E:$E,$C23,'24-25 events'!$N:$N,I$5)</f>
        <v>82750</v>
      </c>
      <c r="J23" s="10">
        <f t="shared" si="15"/>
        <v>6895.833333333333</v>
      </c>
      <c r="L23" s="25">
        <f t="shared" si="16"/>
        <v>17</v>
      </c>
      <c r="M23" s="7">
        <f t="shared" si="17"/>
        <v>112750</v>
      </c>
      <c r="N23" s="10">
        <f t="shared" si="18"/>
        <v>6632.3529411764703</v>
      </c>
      <c r="P23" s="84">
        <f>COUNTIFS('24-25 events'!$E:$E,$C23,'24-25 events'!$N:$N,P$5)</f>
        <v>1</v>
      </c>
      <c r="Q23" s="86">
        <f>SUMIFS('24-25 events'!$Q:$Q,'24-25 events'!$E:$E,$C23,'24-25 events'!$N:$N,Q$5)</f>
        <v>1500</v>
      </c>
      <c r="R23" s="10">
        <f t="shared" si="19"/>
        <v>1500</v>
      </c>
      <c r="S23" s="10"/>
      <c r="U23" s="86">
        <v>0</v>
      </c>
      <c r="W23" s="206">
        <f t="shared" si="20"/>
        <v>2024</v>
      </c>
      <c r="X23" s="206"/>
      <c r="Y23" s="207">
        <f t="array" ref="Y23">INDEX('Adj. P&amp;L'!$3:$3,MATCH($C23,'Adj. P&amp;L'!$9:$9,0))</f>
        <v>0</v>
      </c>
      <c r="AB23" s="208">
        <f t="shared" si="21"/>
        <v>0.1111111111111111</v>
      </c>
      <c r="AC23" s="3">
        <f t="shared" si="24"/>
        <v>5</v>
      </c>
      <c r="AD23" s="208"/>
      <c r="AE23" s="3">
        <f t="shared" si="25"/>
        <v>5</v>
      </c>
      <c r="AF23" s="63">
        <f t="shared" si="22"/>
        <v>0.15</v>
      </c>
    </row>
    <row r="24" spans="3:32" ht="15.75" customHeight="1">
      <c r="C24" s="67">
        <f t="shared" si="23"/>
        <v>45473</v>
      </c>
      <c r="D24" s="84">
        <f>COUNTIFS('24-25 events'!$E:$E,$C24,'24-25 events'!$N:$N,D$5)</f>
        <v>3</v>
      </c>
      <c r="E24" s="86">
        <f>SUMIFS('24-25 events'!$Q:$Q,'24-25 events'!$E:$E,$C24,'24-25 events'!$N:$N,E$5)</f>
        <v>19500</v>
      </c>
      <c r="F24" s="10">
        <f t="shared" si="14"/>
        <v>6500</v>
      </c>
      <c r="H24" s="84">
        <f>COUNTIFS('24-25 events'!$E:$E,$C24,'24-25 events'!$N:$N,H$5)</f>
        <v>13</v>
      </c>
      <c r="I24" s="86">
        <f>SUMIFS('24-25 events'!$Q:$Q,'24-25 events'!$E:$E,$C24,'24-25 events'!$N:$N,I$5)</f>
        <v>94000</v>
      </c>
      <c r="J24" s="10">
        <f t="shared" si="15"/>
        <v>7230.7692307692305</v>
      </c>
      <c r="L24" s="25">
        <f t="shared" si="16"/>
        <v>16</v>
      </c>
      <c r="M24" s="7">
        <f t="shared" si="17"/>
        <v>113500</v>
      </c>
      <c r="N24" s="10">
        <f t="shared" si="18"/>
        <v>7093.75</v>
      </c>
      <c r="P24" s="84">
        <f>COUNTIFS('24-25 events'!$E:$E,$C24,'24-25 events'!$N:$N,P$5)</f>
        <v>2</v>
      </c>
      <c r="Q24" s="86">
        <f>SUMIFS('24-25 events'!$Q:$Q,'24-25 events'!$E:$E,$C24,'24-25 events'!$N:$N,Q$5)</f>
        <v>3000</v>
      </c>
      <c r="R24" s="10">
        <f t="shared" si="19"/>
        <v>1500</v>
      </c>
      <c r="S24" s="10"/>
      <c r="U24" s="86">
        <v>0</v>
      </c>
      <c r="W24" s="206">
        <f t="shared" si="20"/>
        <v>2024</v>
      </c>
      <c r="X24" s="206"/>
      <c r="Y24" s="207">
        <f t="array" ref="Y24">INDEX('Adj. P&amp;L'!$3:$3,MATCH($C24,'Adj. P&amp;L'!$9:$9,0))</f>
        <v>0</v>
      </c>
      <c r="AB24" s="208">
        <f t="shared" si="21"/>
        <v>0.10457516339869281</v>
      </c>
      <c r="AC24" s="3">
        <f t="shared" si="24"/>
        <v>6</v>
      </c>
      <c r="AD24" s="208"/>
      <c r="AE24" s="3">
        <f t="shared" si="25"/>
        <v>6</v>
      </c>
      <c r="AF24" s="63">
        <f t="shared" si="22"/>
        <v>0.11</v>
      </c>
    </row>
    <row r="25" spans="3:32" ht="15.75" customHeight="1">
      <c r="C25" s="67">
        <f t="shared" si="23"/>
        <v>45504</v>
      </c>
      <c r="D25" s="84">
        <f>COUNTIFS('24-25 events'!$E:$E,$C25,'24-25 events'!$N:$N,D$5)</f>
        <v>0</v>
      </c>
      <c r="E25" s="86">
        <f>SUMIFS('24-25 events'!$Q:$Q,'24-25 events'!$E:$E,$C25,'24-25 events'!$N:$N,E$5)</f>
        <v>0</v>
      </c>
      <c r="F25" s="10">
        <f t="shared" si="14"/>
        <v>0</v>
      </c>
      <c r="H25" s="84">
        <f>COUNTIFS('24-25 events'!$E:$E,$C25,'24-25 events'!$N:$N,H$5)</f>
        <v>7</v>
      </c>
      <c r="I25" s="86">
        <f>SUMIFS('24-25 events'!$Q:$Q,'24-25 events'!$E:$E,$C25,'24-25 events'!$N:$N,I$5)</f>
        <v>49000</v>
      </c>
      <c r="J25" s="10">
        <f t="shared" si="15"/>
        <v>7000</v>
      </c>
      <c r="L25" s="25">
        <f t="shared" si="16"/>
        <v>7</v>
      </c>
      <c r="M25" s="7">
        <f t="shared" si="17"/>
        <v>49000</v>
      </c>
      <c r="N25" s="10">
        <f t="shared" si="18"/>
        <v>7000</v>
      </c>
      <c r="P25" s="84">
        <f>COUNTIFS('24-25 events'!$E:$E,$C25,'24-25 events'!$N:$N,P$5)</f>
        <v>1</v>
      </c>
      <c r="Q25" s="86">
        <f>SUMIFS('24-25 events'!$Q:$Q,'24-25 events'!$E:$E,$C25,'24-25 events'!$N:$N,Q$5)</f>
        <v>1500</v>
      </c>
      <c r="R25" s="10">
        <f t="shared" si="19"/>
        <v>1500</v>
      </c>
      <c r="S25" s="84">
        <f t="shared" ref="S25:S33" si="26">SUM(P14:P25)</f>
        <v>23</v>
      </c>
      <c r="U25" s="86">
        <v>0</v>
      </c>
      <c r="W25" s="206">
        <f t="shared" si="20"/>
        <v>2024</v>
      </c>
      <c r="X25" s="206"/>
      <c r="Y25" s="207">
        <f t="array" ref="Y25">INDEX('Adj. P&amp;L'!$3:$3,MATCH($C25,'Adj. P&amp;L'!$9:$9,0))</f>
        <v>0</v>
      </c>
      <c r="AB25" s="208">
        <f t="shared" si="21"/>
        <v>4.5751633986928102E-2</v>
      </c>
      <c r="AC25" s="3">
        <f t="shared" si="24"/>
        <v>7</v>
      </c>
      <c r="AD25" s="208"/>
      <c r="AE25" s="3">
        <f t="shared" si="25"/>
        <v>7</v>
      </c>
      <c r="AF25" s="63">
        <f t="shared" si="22"/>
        <v>0.06</v>
      </c>
    </row>
    <row r="26" spans="3:32" ht="15.75" customHeight="1">
      <c r="C26" s="67">
        <f t="shared" si="23"/>
        <v>45535</v>
      </c>
      <c r="D26" s="84">
        <f>COUNTIFS('24-25 events'!$E:$E,$C26,'24-25 events'!$N:$N,D$5)</f>
        <v>3</v>
      </c>
      <c r="E26" s="86">
        <f>SUMIFS('24-25 events'!$Q:$Q,'24-25 events'!$E:$E,$C26,'24-25 events'!$N:$N,E$5)</f>
        <v>19500</v>
      </c>
      <c r="F26" s="10">
        <f t="shared" si="14"/>
        <v>6500</v>
      </c>
      <c r="H26" s="84">
        <f>COUNTIFS('24-25 events'!$E:$E,$C26,'24-25 events'!$N:$N,H$5)</f>
        <v>13</v>
      </c>
      <c r="I26" s="86">
        <f>SUMIFS('24-25 events'!$Q:$Q,'24-25 events'!$E:$E,$C26,'24-25 events'!$N:$N,I$5)</f>
        <v>92750</v>
      </c>
      <c r="J26" s="10">
        <f t="shared" si="15"/>
        <v>7134.6153846153848</v>
      </c>
      <c r="L26" s="25">
        <f t="shared" si="16"/>
        <v>16</v>
      </c>
      <c r="M26" s="7">
        <f t="shared" si="17"/>
        <v>112250</v>
      </c>
      <c r="N26" s="10">
        <f t="shared" si="18"/>
        <v>7015.625</v>
      </c>
      <c r="P26" s="84">
        <f>COUNTIFS('24-25 events'!$E:$E,$C26,'24-25 events'!$N:$N,P$5)</f>
        <v>1</v>
      </c>
      <c r="Q26" s="86">
        <f>SUMIFS('24-25 events'!$Q:$Q,'24-25 events'!$E:$E,$C26,'24-25 events'!$N:$N,Q$5)</f>
        <v>1500</v>
      </c>
      <c r="R26" s="10">
        <f t="shared" si="19"/>
        <v>1500</v>
      </c>
      <c r="S26" s="84">
        <f t="shared" si="26"/>
        <v>6</v>
      </c>
      <c r="U26" s="86">
        <v>0</v>
      </c>
      <c r="W26" s="206">
        <f t="shared" si="20"/>
        <v>2024</v>
      </c>
      <c r="X26" s="206"/>
      <c r="Y26" s="207">
        <f t="array" ref="Y26">INDEX('Adj. P&amp;L'!$3:$3,MATCH($C26,'Adj. P&amp;L'!$9:$9,0))</f>
        <v>0</v>
      </c>
      <c r="AB26" s="208">
        <f t="shared" si="21"/>
        <v>0.10457516339869281</v>
      </c>
      <c r="AC26" s="3">
        <f t="shared" si="24"/>
        <v>8</v>
      </c>
      <c r="AD26" s="208"/>
      <c r="AE26" s="3">
        <f t="shared" si="25"/>
        <v>8</v>
      </c>
      <c r="AF26" s="63">
        <f t="shared" si="22"/>
        <v>0.1</v>
      </c>
    </row>
    <row r="27" spans="3:32" ht="15.75" customHeight="1">
      <c r="C27" s="67">
        <f t="shared" si="23"/>
        <v>45565</v>
      </c>
      <c r="D27" s="84">
        <f>COUNTIFS('24-25 events'!$E:$E,$C27,'24-25 events'!$N:$N,D$5)</f>
        <v>10</v>
      </c>
      <c r="E27" s="86">
        <f>SUMIFS('24-25 events'!$Q:$Q,'24-25 events'!$E:$E,$C27,'24-25 events'!$N:$N,E$5)</f>
        <v>62350</v>
      </c>
      <c r="F27" s="10">
        <f t="shared" si="14"/>
        <v>6235</v>
      </c>
      <c r="H27" s="84">
        <f>COUNTIFS('24-25 events'!$E:$E,$C27,'24-25 events'!$N:$N,H$5)</f>
        <v>12</v>
      </c>
      <c r="I27" s="86">
        <f>SUMIFS('24-25 events'!$Q:$Q,'24-25 events'!$E:$E,$C27,'24-25 events'!$N:$N,I$5)</f>
        <v>88000</v>
      </c>
      <c r="J27" s="10">
        <f t="shared" si="15"/>
        <v>7333.333333333333</v>
      </c>
      <c r="L27" s="25">
        <f t="shared" si="16"/>
        <v>22</v>
      </c>
      <c r="M27" s="7">
        <f t="shared" si="17"/>
        <v>150350</v>
      </c>
      <c r="N27" s="10">
        <f t="shared" si="18"/>
        <v>6834.090909090909</v>
      </c>
      <c r="P27" s="84">
        <f>COUNTIFS('24-25 events'!$E:$E,$C27,'24-25 events'!$N:$N,P$5)</f>
        <v>4</v>
      </c>
      <c r="Q27" s="86">
        <f>SUMIFS('24-25 events'!$Q:$Q,'24-25 events'!$E:$E,$C27,'24-25 events'!$N:$N,Q$5)</f>
        <v>6000</v>
      </c>
      <c r="R27" s="10">
        <f t="shared" si="19"/>
        <v>1500</v>
      </c>
      <c r="S27" s="84">
        <f t="shared" si="26"/>
        <v>10</v>
      </c>
      <c r="U27" s="86">
        <v>0</v>
      </c>
      <c r="W27" s="206">
        <f t="shared" si="20"/>
        <v>2024</v>
      </c>
      <c r="X27" s="206"/>
      <c r="Y27" s="207">
        <f t="array" ref="Y27">INDEX('Adj. P&amp;L'!$3:$3,MATCH($C27,'Adj. P&amp;L'!$9:$9,0))</f>
        <v>0</v>
      </c>
      <c r="AB27" s="208">
        <f t="shared" si="21"/>
        <v>0.1437908496732026</v>
      </c>
      <c r="AC27" s="3">
        <f t="shared" si="24"/>
        <v>9</v>
      </c>
      <c r="AD27" s="208"/>
      <c r="AE27" s="3">
        <f t="shared" si="25"/>
        <v>9</v>
      </c>
      <c r="AF27" s="63">
        <f t="shared" si="22"/>
        <v>0.13</v>
      </c>
    </row>
    <row r="28" spans="3:32" ht="15.75" customHeight="1">
      <c r="C28" s="67">
        <f t="shared" si="23"/>
        <v>45596</v>
      </c>
      <c r="D28" s="84">
        <f>COUNTIFS('24-25 events'!$E:$E,$C28,'24-25 events'!$N:$N,D$5)</f>
        <v>11</v>
      </c>
      <c r="E28" s="86">
        <f>SUMIFS('24-25 events'!$Q:$Q,'24-25 events'!$E:$E,$C28,'24-25 events'!$N:$N,E$5)</f>
        <v>67000</v>
      </c>
      <c r="F28" s="10">
        <f t="shared" si="14"/>
        <v>6090.909090909091</v>
      </c>
      <c r="H28" s="84">
        <f>COUNTIFS('24-25 events'!$E:$E,$C28,'24-25 events'!$N:$N,H$5)</f>
        <v>11</v>
      </c>
      <c r="I28" s="86">
        <f>SUMIFS('24-25 events'!$Q:$Q,'24-25 events'!$E:$E,$C28,'24-25 events'!$N:$N,I$5)</f>
        <v>82000</v>
      </c>
      <c r="J28" s="10">
        <f t="shared" si="15"/>
        <v>7454.545454545455</v>
      </c>
      <c r="L28" s="25">
        <f t="shared" si="16"/>
        <v>22</v>
      </c>
      <c r="M28" s="7">
        <f t="shared" si="17"/>
        <v>149000</v>
      </c>
      <c r="N28" s="10">
        <f t="shared" si="18"/>
        <v>6772.727272727273</v>
      </c>
      <c r="P28" s="84">
        <f>COUNTIFS('24-25 events'!$E:$E,$C28,'24-25 events'!$N:$N,P$5)</f>
        <v>6</v>
      </c>
      <c r="Q28" s="86">
        <f>SUMIFS('24-25 events'!$Q:$Q,'24-25 events'!$E:$E,$C28,'24-25 events'!$N:$N,Q$5)</f>
        <v>9000</v>
      </c>
      <c r="R28" s="10">
        <f t="shared" si="19"/>
        <v>1500</v>
      </c>
      <c r="S28" s="84">
        <f t="shared" si="26"/>
        <v>16</v>
      </c>
      <c r="U28" s="86">
        <v>0</v>
      </c>
      <c r="W28" s="206">
        <f t="shared" si="20"/>
        <v>2024</v>
      </c>
      <c r="X28" s="206"/>
      <c r="Y28" s="207">
        <f t="array" ref="Y28">INDEX('Adj. P&amp;L'!$3:$3,MATCH($C28,'Adj. P&amp;L'!$9:$9,0))</f>
        <v>0</v>
      </c>
      <c r="AB28" s="208">
        <f t="shared" si="21"/>
        <v>0.1437908496732026</v>
      </c>
      <c r="AC28" s="3">
        <f t="shared" si="24"/>
        <v>10</v>
      </c>
      <c r="AD28" s="208"/>
      <c r="AE28" s="3">
        <f t="shared" si="25"/>
        <v>10</v>
      </c>
      <c r="AF28" s="63">
        <f t="shared" si="22"/>
        <v>0.15</v>
      </c>
    </row>
    <row r="29" spans="3:32" ht="15.75" customHeight="1">
      <c r="C29" s="67">
        <f t="shared" si="23"/>
        <v>45626</v>
      </c>
      <c r="D29" s="84">
        <f>COUNTIFS('24-25 events'!$E:$E,$C29,'24-25 events'!$N:$N,D$5)</f>
        <v>7</v>
      </c>
      <c r="E29" s="86">
        <f>SUMIFS('24-25 events'!$Q:$Q,'24-25 events'!$E:$E,$C29,'24-25 events'!$N:$N,E$5)</f>
        <v>43250</v>
      </c>
      <c r="F29" s="10">
        <f t="shared" si="14"/>
        <v>6178.5714285714284</v>
      </c>
      <c r="H29" s="84">
        <f>COUNTIFS('24-25 events'!$E:$E,$C29,'24-25 events'!$N:$N,H$5)</f>
        <v>12</v>
      </c>
      <c r="I29" s="86">
        <f>SUMIFS('24-25 events'!$Q:$Q,'24-25 events'!$E:$E,$C29,'24-25 events'!$N:$N,I$5)</f>
        <v>85750</v>
      </c>
      <c r="J29" s="10">
        <f t="shared" si="15"/>
        <v>7145.833333333333</v>
      </c>
      <c r="L29" s="25">
        <f t="shared" si="16"/>
        <v>19</v>
      </c>
      <c r="M29" s="7">
        <f t="shared" si="17"/>
        <v>129000</v>
      </c>
      <c r="N29" s="10">
        <f t="shared" si="18"/>
        <v>6789.4736842105267</v>
      </c>
      <c r="P29" s="84">
        <f>COUNTIFS('24-25 events'!$E:$E,$C29,'24-25 events'!$N:$N,P$5)</f>
        <v>2</v>
      </c>
      <c r="Q29" s="86">
        <f>SUMIFS('24-25 events'!$Q:$Q,'24-25 events'!$E:$E,$C29,'24-25 events'!$N:$N,Q$5)</f>
        <v>3000</v>
      </c>
      <c r="R29" s="10">
        <f t="shared" si="19"/>
        <v>1500</v>
      </c>
      <c r="S29" s="84">
        <f t="shared" si="26"/>
        <v>18</v>
      </c>
      <c r="U29" s="86">
        <v>0</v>
      </c>
      <c r="W29" s="206">
        <f t="shared" si="20"/>
        <v>2024</v>
      </c>
      <c r="X29" s="206"/>
      <c r="Y29" s="207">
        <f t="array" ref="Y29">INDEX('Adj. P&amp;L'!$3:$3,MATCH($C29,'Adj. P&amp;L'!$9:$9,0))</f>
        <v>0</v>
      </c>
      <c r="AB29" s="208">
        <f t="shared" si="21"/>
        <v>0.12418300653594772</v>
      </c>
      <c r="AC29" s="3">
        <f t="shared" si="24"/>
        <v>11</v>
      </c>
      <c r="AD29" s="208"/>
      <c r="AE29" s="3">
        <f t="shared" si="25"/>
        <v>11</v>
      </c>
      <c r="AF29" s="63">
        <f t="shared" si="22"/>
        <v>0.09</v>
      </c>
    </row>
    <row r="30" spans="3:32" ht="15.75" customHeight="1">
      <c r="C30" s="67">
        <f t="shared" si="23"/>
        <v>45657</v>
      </c>
      <c r="D30" s="84">
        <f>COUNTIFS('24-25 events'!$E:$E,$C30,'24-25 events'!$N:$N,D$5)</f>
        <v>2</v>
      </c>
      <c r="E30" s="86">
        <f>SUMIFS('24-25 events'!$Q:$Q,'24-25 events'!$E:$E,$C30,'24-25 events'!$N:$N,E$5)</f>
        <v>13000</v>
      </c>
      <c r="F30" s="10">
        <f t="shared" si="14"/>
        <v>6500</v>
      </c>
      <c r="H30" s="84">
        <f>COUNTIFS('24-25 events'!$E:$E,$C30,'24-25 events'!$N:$N,H$5)</f>
        <v>7</v>
      </c>
      <c r="I30" s="86">
        <f>SUMIFS('24-25 events'!$Q:$Q,'24-25 events'!$E:$E,$C30,'24-25 events'!$N:$N,I$5)</f>
        <v>48500</v>
      </c>
      <c r="J30" s="10">
        <f t="shared" si="15"/>
        <v>6928.5714285714284</v>
      </c>
      <c r="L30" s="25">
        <f t="shared" si="16"/>
        <v>9</v>
      </c>
      <c r="M30" s="7">
        <f t="shared" si="17"/>
        <v>61500</v>
      </c>
      <c r="N30" s="10">
        <f t="shared" si="18"/>
        <v>6833.333333333333</v>
      </c>
      <c r="P30" s="84">
        <f>COUNTIFS('24-25 events'!$E:$E,$C30,'24-25 events'!$N:$N,P$5)</f>
        <v>4</v>
      </c>
      <c r="Q30" s="86">
        <f>SUMIFS('24-25 events'!$Q:$Q,'24-25 events'!$E:$E,$C30,'24-25 events'!$N:$N,Q$5)</f>
        <v>6000</v>
      </c>
      <c r="R30" s="10">
        <f t="shared" si="19"/>
        <v>1500</v>
      </c>
      <c r="S30" s="84">
        <f t="shared" si="26"/>
        <v>22</v>
      </c>
      <c r="U30" s="86">
        <v>0</v>
      </c>
      <c r="W30" s="206">
        <f t="shared" si="20"/>
        <v>2024</v>
      </c>
      <c r="X30" s="206"/>
      <c r="Y30" s="207">
        <f t="array" ref="Y30">INDEX('Adj. P&amp;L'!$3:$3,MATCH($C30,'Adj. P&amp;L'!$9:$9,0))</f>
        <v>0</v>
      </c>
      <c r="AB30" s="208">
        <f t="shared" si="21"/>
        <v>5.8823529411764705E-2</v>
      </c>
      <c r="AC30" s="3">
        <f t="shared" si="24"/>
        <v>12</v>
      </c>
      <c r="AD30" s="208"/>
      <c r="AE30" s="3">
        <f t="shared" si="25"/>
        <v>12</v>
      </c>
      <c r="AF30" s="63">
        <f t="shared" si="22"/>
        <v>0.04</v>
      </c>
    </row>
    <row r="31" spans="3:32" ht="15.75" customHeight="1">
      <c r="C31" s="67">
        <f t="shared" si="23"/>
        <v>45688</v>
      </c>
      <c r="D31" s="84">
        <f>COUNTIFS('24-25 events'!$E:$E,$C31,'24-25 events'!$N:$N,D$5)</f>
        <v>0</v>
      </c>
      <c r="E31" s="86">
        <f>SUMIFS('24-25 events'!$Q:$Q,'24-25 events'!$E:$E,$C31,'24-25 events'!$N:$N,E$5)</f>
        <v>0</v>
      </c>
      <c r="F31" s="10">
        <f t="shared" si="14"/>
        <v>0</v>
      </c>
      <c r="H31" s="84">
        <f>COUNTIFS('24-25 events'!$E:$E,$C31,'24-25 events'!$N:$N,H$5)</f>
        <v>0</v>
      </c>
      <c r="I31" s="86">
        <f>SUMIFS('24-25 events'!$Q:$Q,'24-25 events'!$E:$E,$C31,'24-25 events'!$N:$N,I$5)</f>
        <v>0</v>
      </c>
      <c r="J31" s="10">
        <f t="shared" si="15"/>
        <v>0</v>
      </c>
      <c r="L31" s="25">
        <f t="shared" si="16"/>
        <v>0</v>
      </c>
      <c r="M31" s="7">
        <f t="shared" si="17"/>
        <v>0</v>
      </c>
      <c r="N31" s="10">
        <f t="shared" si="18"/>
        <v>0</v>
      </c>
      <c r="P31" s="84">
        <f>COUNTIFS('24-25 events'!$E:$E,$C31,'24-25 events'!$N:$N,P$5)</f>
        <v>0</v>
      </c>
      <c r="Q31" s="86">
        <f>SUMIFS('24-25 events'!$Q:$Q,'24-25 events'!$E:$E,$C31,'24-25 events'!$N:$N,Q$5)</f>
        <v>0</v>
      </c>
      <c r="R31" s="10">
        <f t="shared" si="19"/>
        <v>0</v>
      </c>
      <c r="S31" s="84">
        <f t="shared" si="26"/>
        <v>22</v>
      </c>
      <c r="U31" s="86">
        <v>0</v>
      </c>
      <c r="W31" s="206">
        <f t="shared" si="20"/>
        <v>2025</v>
      </c>
      <c r="X31" s="206"/>
      <c r="Y31" s="207">
        <f t="array" ref="Y31">INDEX('Adj. P&amp;L'!$3:$3,MATCH($C31,'Adj. P&amp;L'!$9:$9,0))</f>
        <v>0</v>
      </c>
      <c r="AB31" s="208">
        <f t="shared" si="21"/>
        <v>0</v>
      </c>
      <c r="AC31" s="3">
        <f t="shared" ref="AC31:AC42" si="27">AC19</f>
        <v>1</v>
      </c>
      <c r="AD31" s="208"/>
    </row>
    <row r="32" spans="3:32" ht="15.75" customHeight="1">
      <c r="C32" s="67">
        <f t="shared" si="23"/>
        <v>45716</v>
      </c>
      <c r="D32" s="84">
        <f>COUNTIFS('24-25 events'!$E:$E,$C32,'24-25 events'!$N:$N,D$5)</f>
        <v>0</v>
      </c>
      <c r="E32" s="86">
        <f>SUMIFS('24-25 events'!$Q:$Q,'24-25 events'!$E:$E,$C32,'24-25 events'!$N:$N,E$5)</f>
        <v>0</v>
      </c>
      <c r="F32" s="10">
        <f t="shared" si="14"/>
        <v>0</v>
      </c>
      <c r="H32" s="84">
        <f>COUNTIFS('24-25 events'!$E:$E,$C32,'24-25 events'!$N:$N,H$5)</f>
        <v>0</v>
      </c>
      <c r="I32" s="86">
        <f>SUMIFS('24-25 events'!$Q:$Q,'24-25 events'!$E:$E,$C32,'24-25 events'!$N:$N,I$5)</f>
        <v>0</v>
      </c>
      <c r="J32" s="10">
        <f t="shared" si="15"/>
        <v>0</v>
      </c>
      <c r="L32" s="25">
        <f t="shared" si="16"/>
        <v>0</v>
      </c>
      <c r="M32" s="7">
        <f t="shared" si="17"/>
        <v>0</v>
      </c>
      <c r="N32" s="10">
        <f t="shared" si="18"/>
        <v>0</v>
      </c>
      <c r="P32" s="84">
        <f>COUNTIFS('24-25 events'!$E:$E,$C32,'24-25 events'!$N:$N,P$5)</f>
        <v>0</v>
      </c>
      <c r="Q32" s="86">
        <f>SUMIFS('24-25 events'!$Q:$Q,'24-25 events'!$E:$E,$C32,'24-25 events'!$N:$N,Q$5)</f>
        <v>0</v>
      </c>
      <c r="R32" s="10">
        <f t="shared" si="19"/>
        <v>0</v>
      </c>
      <c r="S32" s="84">
        <f t="shared" si="26"/>
        <v>22</v>
      </c>
      <c r="U32" s="86">
        <v>0</v>
      </c>
      <c r="W32" s="206">
        <f t="shared" si="20"/>
        <v>2025</v>
      </c>
      <c r="X32" s="206"/>
      <c r="Y32" s="207">
        <f t="array" ref="Y32">INDEX('Adj. P&amp;L'!$3:$3,MATCH($C32,'Adj. P&amp;L'!$9:$9,0))</f>
        <v>0</v>
      </c>
      <c r="AB32" s="208">
        <f t="shared" si="21"/>
        <v>0</v>
      </c>
      <c r="AC32" s="3">
        <f t="shared" si="27"/>
        <v>2</v>
      </c>
      <c r="AD32" s="208"/>
    </row>
    <row r="33" spans="3:30" ht="15.75" customHeight="1">
      <c r="C33" s="67">
        <f t="shared" si="23"/>
        <v>45747</v>
      </c>
      <c r="D33" s="84">
        <f>COUNTIFS('24-25 events'!$E:$E,$C33,'24-25 events'!$N:$N,D$5)</f>
        <v>8</v>
      </c>
      <c r="E33" s="86">
        <f>SUMIFS('24-25 events'!$Q:$Q,'24-25 events'!$E:$E,$C33,'24-25 events'!$N:$N,E$5)</f>
        <v>58500</v>
      </c>
      <c r="F33" s="10">
        <f t="shared" si="14"/>
        <v>7312.5</v>
      </c>
      <c r="H33" s="84">
        <f>COUNTIFS('24-25 events'!$E:$E,$C33,'24-25 events'!$N:$N,H$5)</f>
        <v>0</v>
      </c>
      <c r="I33" s="86">
        <f>SUMIFS('24-25 events'!$Q:$Q,'24-25 events'!$E:$E,$C33,'24-25 events'!$N:$N,I$5)</f>
        <v>0</v>
      </c>
      <c r="J33" s="10">
        <f t="shared" si="15"/>
        <v>0</v>
      </c>
      <c r="L33" s="25">
        <f t="shared" si="16"/>
        <v>8</v>
      </c>
      <c r="M33" s="7">
        <f t="shared" si="17"/>
        <v>58500</v>
      </c>
      <c r="N33" s="10">
        <f t="shared" si="18"/>
        <v>7312.5</v>
      </c>
      <c r="P33" s="84">
        <f>COUNTIFS('24-25 events'!$E:$E,$C33,'24-25 events'!$N:$N,P$5)</f>
        <v>1</v>
      </c>
      <c r="Q33" s="86">
        <f>SUMIFS('24-25 events'!$Q:$Q,'24-25 events'!$E:$E,$C33,'24-25 events'!$N:$N,Q$5)</f>
        <v>1500</v>
      </c>
      <c r="R33" s="10">
        <f t="shared" si="19"/>
        <v>1500</v>
      </c>
      <c r="S33" s="84">
        <f t="shared" si="26"/>
        <v>23</v>
      </c>
      <c r="U33" s="86">
        <v>0</v>
      </c>
      <c r="W33" s="206">
        <f t="shared" si="20"/>
        <v>2025</v>
      </c>
      <c r="X33" s="206"/>
      <c r="Y33" s="207">
        <f t="array" ref="Y33">INDEX('Adj. P&amp;L'!$3:$3,MATCH($C33,'Adj. P&amp;L'!$9:$9,0))</f>
        <v>0</v>
      </c>
      <c r="AB33" s="208">
        <f t="shared" si="21"/>
        <v>6.0150375939849621E-2</v>
      </c>
      <c r="AC33" s="3">
        <f t="shared" si="27"/>
        <v>3</v>
      </c>
      <c r="AD33" s="208"/>
    </row>
    <row r="34" spans="3:30" ht="15.75" customHeight="1">
      <c r="C34" s="67">
        <f t="shared" si="23"/>
        <v>45777</v>
      </c>
      <c r="D34" s="84">
        <f>COUNTIFS('24-25 events'!$E:$E,$C34,'24-25 events'!$N:$N,D$5)</f>
        <v>4</v>
      </c>
      <c r="E34" s="86">
        <f>SUMIFS('24-25 events'!$Q:$Q,'24-25 events'!$E:$E,$C34,'24-25 events'!$N:$N,E$5)</f>
        <v>26000</v>
      </c>
      <c r="F34" s="10">
        <f t="shared" si="14"/>
        <v>6500</v>
      </c>
      <c r="H34" s="84">
        <f>COUNTIFS('24-25 events'!$E:$E,$C34,'24-25 events'!$N:$N,H$5)</f>
        <v>11</v>
      </c>
      <c r="I34" s="86">
        <f>SUMIFS('24-25 events'!$Q:$Q,'24-25 events'!$E:$E,$C34,'24-25 events'!$N:$N,I$5)</f>
        <v>78250</v>
      </c>
      <c r="J34" s="10">
        <f t="shared" si="15"/>
        <v>7113.636363636364</v>
      </c>
      <c r="L34" s="25">
        <f t="shared" si="16"/>
        <v>15</v>
      </c>
      <c r="M34" s="7">
        <f t="shared" si="17"/>
        <v>104250</v>
      </c>
      <c r="N34" s="10">
        <f t="shared" si="18"/>
        <v>6950</v>
      </c>
      <c r="P34" s="84">
        <f>COUNTIFS('24-25 events'!$E:$E,$C34,'24-25 events'!$N:$N,P$5)</f>
        <v>2</v>
      </c>
      <c r="Q34" s="86">
        <f>SUMIFS('24-25 events'!$Q:$Q,'24-25 events'!$E:$E,$C34,'24-25 events'!$N:$N,Q$5)</f>
        <v>3000</v>
      </c>
      <c r="R34" s="10">
        <f t="shared" si="19"/>
        <v>1500</v>
      </c>
      <c r="S34" s="84">
        <f>SUM(P23:P34)</f>
        <v>24</v>
      </c>
      <c r="U34" s="86">
        <v>0</v>
      </c>
      <c r="W34" s="206">
        <f t="shared" si="20"/>
        <v>2025</v>
      </c>
      <c r="X34" s="206"/>
      <c r="Y34" s="207">
        <f t="array" ref="Y34">INDEX('Adj. P&amp;L'!$3:$3,MATCH($C34,'Adj. P&amp;L'!$9:$9,0))</f>
        <v>0</v>
      </c>
      <c r="AB34" s="208">
        <f t="shared" si="21"/>
        <v>0.11278195488721804</v>
      </c>
      <c r="AC34" s="3">
        <f t="shared" si="27"/>
        <v>4</v>
      </c>
      <c r="AD34" s="208"/>
    </row>
    <row r="35" spans="3:30" ht="15.75" customHeight="1">
      <c r="C35" s="67">
        <f t="shared" si="23"/>
        <v>45808</v>
      </c>
      <c r="D35" s="84">
        <f>COUNTIFS('24-25 events'!$E:$E,$C35,'24-25 events'!$N:$N,D$5)</f>
        <v>11</v>
      </c>
      <c r="E35" s="86">
        <f>SUMIFS('24-25 events'!$Q:$Q,'24-25 events'!$E:$E,$C35,'24-25 events'!$N:$N,E$5)</f>
        <v>67750</v>
      </c>
      <c r="F35" s="10">
        <f t="shared" si="14"/>
        <v>6159.090909090909</v>
      </c>
      <c r="H35" s="84">
        <f>COUNTIFS('24-25 events'!$E:$E,$C35,'24-25 events'!$N:$N,H$5)</f>
        <v>13</v>
      </c>
      <c r="I35" s="86">
        <f>SUMIFS('24-25 events'!$Q:$Q,'24-25 events'!$E:$E,$C35,'24-25 events'!$N:$N,I$5)</f>
        <v>92500</v>
      </c>
      <c r="J35" s="10">
        <f t="shared" si="15"/>
        <v>7115.3846153846152</v>
      </c>
      <c r="L35" s="25">
        <f t="shared" si="16"/>
        <v>24</v>
      </c>
      <c r="M35" s="7">
        <f t="shared" si="17"/>
        <v>160250</v>
      </c>
      <c r="N35" s="10">
        <f t="shared" si="18"/>
        <v>6677.083333333333</v>
      </c>
      <c r="P35" s="84">
        <f>COUNTIFS('24-25 events'!$E:$E,$C35,'24-25 events'!$N:$N,P$5)</f>
        <v>8</v>
      </c>
      <c r="Q35" s="86">
        <f>SUMIFS('24-25 events'!$Q:$Q,'24-25 events'!$E:$E,$C35,'24-25 events'!$N:$N,Q$5)</f>
        <v>12000</v>
      </c>
      <c r="R35" s="10">
        <f t="shared" si="19"/>
        <v>1500</v>
      </c>
      <c r="S35" s="84">
        <f t="shared" ref="S35:S54" si="28">SUM(P24:P35)</f>
        <v>31</v>
      </c>
      <c r="U35" s="86">
        <v>0</v>
      </c>
      <c r="W35" s="206">
        <f t="shared" si="20"/>
        <v>2025</v>
      </c>
      <c r="X35" s="206" t="s">
        <v>256</v>
      </c>
      <c r="Y35" s="207" t="str">
        <f t="array" ref="Y35">INDEX('Adj. P&amp;L'!$3:$3,MATCH($C35,'Adj. P&amp;L'!$9:$9,0))</f>
        <v>LTM</v>
      </c>
      <c r="AB35" s="208">
        <f t="shared" si="21"/>
        <v>0.18045112781954886</v>
      </c>
      <c r="AC35" s="3">
        <f t="shared" si="27"/>
        <v>5</v>
      </c>
      <c r="AD35" s="208"/>
    </row>
    <row r="36" spans="3:30" ht="15.75" customHeight="1">
      <c r="C36" s="67">
        <f t="shared" si="23"/>
        <v>45838</v>
      </c>
      <c r="D36" s="84">
        <f>COUNTIFS('24-25 events'!$E:$E,$C36,'24-25 events'!$N:$N,D$5)</f>
        <v>5</v>
      </c>
      <c r="E36" s="86">
        <f>SUMIFS('24-25 events'!$Q:$Q,'24-25 events'!$E:$E,$C36,'24-25 events'!$N:$N,E$5)</f>
        <v>30250</v>
      </c>
      <c r="F36" s="10">
        <f t="shared" si="14"/>
        <v>6050</v>
      </c>
      <c r="H36" s="84">
        <f>COUNTIFS('24-25 events'!$E:$E,$C36,'24-25 events'!$N:$N,H$5)</f>
        <v>11</v>
      </c>
      <c r="I36" s="86">
        <f>SUMIFS('24-25 events'!$Q:$Q,'24-25 events'!$E:$E,$C36,'24-25 events'!$N:$N,I$5)</f>
        <v>79500</v>
      </c>
      <c r="J36" s="10">
        <f t="shared" si="15"/>
        <v>7227.272727272727</v>
      </c>
      <c r="L36" s="25">
        <f t="shared" si="16"/>
        <v>16</v>
      </c>
      <c r="M36" s="7">
        <f t="shared" si="17"/>
        <v>109750</v>
      </c>
      <c r="N36" s="10">
        <f t="shared" si="18"/>
        <v>6859.375</v>
      </c>
      <c r="P36" s="84">
        <f>COUNTIFS('24-25 events'!$E:$E,$C36,'24-25 events'!$N:$N,P$5)</f>
        <v>5</v>
      </c>
      <c r="Q36" s="86">
        <f>SUMIFS('24-25 events'!$Q:$Q,'24-25 events'!$E:$E,$C36,'24-25 events'!$N:$N,Q$5)</f>
        <v>7500</v>
      </c>
      <c r="R36" s="10">
        <f t="shared" si="19"/>
        <v>1500</v>
      </c>
      <c r="S36" s="84">
        <f t="shared" si="28"/>
        <v>34</v>
      </c>
      <c r="U36" s="86">
        <v>0</v>
      </c>
      <c r="W36" s="206">
        <f t="shared" si="20"/>
        <v>2025</v>
      </c>
      <c r="X36" s="206" t="s">
        <v>256</v>
      </c>
      <c r="Y36" s="207" t="str">
        <f t="array" ref="Y36">INDEX('Adj. P&amp;L'!$3:$3,MATCH($C36,'Adj. P&amp;L'!$9:$9,0))</f>
        <v>LTM</v>
      </c>
      <c r="AB36" s="208">
        <f t="shared" si="21"/>
        <v>0.12030075187969924</v>
      </c>
      <c r="AC36" s="3">
        <f t="shared" si="27"/>
        <v>6</v>
      </c>
      <c r="AD36" s="208"/>
    </row>
    <row r="37" spans="3:30" ht="15.75" customHeight="1">
      <c r="C37" s="67">
        <f t="shared" si="23"/>
        <v>45869</v>
      </c>
      <c r="D37" s="84">
        <f>COUNTIFS('24-25 events'!$E:$E,$C37,'24-25 events'!$N:$N,D$5)</f>
        <v>1</v>
      </c>
      <c r="E37" s="86">
        <f>SUMIFS('24-25 events'!$Q:$Q,'24-25 events'!$E:$E,$C37,'24-25 events'!$N:$N,E$5)</f>
        <v>6500</v>
      </c>
      <c r="F37" s="10">
        <f t="shared" si="14"/>
        <v>6500</v>
      </c>
      <c r="H37" s="84">
        <f>COUNTIFS('24-25 events'!$E:$E,$C37,'24-25 events'!$N:$N,H$5)</f>
        <v>8</v>
      </c>
      <c r="I37" s="86">
        <f>SUMIFS('24-25 events'!$Q:$Q,'24-25 events'!$E:$E,$C37,'24-25 events'!$N:$N,I$5)</f>
        <v>59500</v>
      </c>
      <c r="J37" s="10">
        <f t="shared" si="15"/>
        <v>7437.5</v>
      </c>
      <c r="L37" s="25">
        <f t="shared" si="16"/>
        <v>9</v>
      </c>
      <c r="M37" s="7">
        <f t="shared" si="17"/>
        <v>66000</v>
      </c>
      <c r="N37" s="10">
        <f t="shared" si="18"/>
        <v>7333.333333333333</v>
      </c>
      <c r="P37" s="84">
        <f>COUNTIFS('24-25 events'!$E:$E,$C37,'24-25 events'!$N:$N,P$5)</f>
        <v>6</v>
      </c>
      <c r="Q37" s="86">
        <f>SUMIFS('24-25 events'!$Q:$Q,'24-25 events'!$E:$E,$C37,'24-25 events'!$N:$N,Q$5)</f>
        <v>9000</v>
      </c>
      <c r="R37" s="10">
        <f t="shared" si="19"/>
        <v>1500</v>
      </c>
      <c r="S37" s="84">
        <f t="shared" si="28"/>
        <v>39</v>
      </c>
      <c r="U37" s="86">
        <v>0</v>
      </c>
      <c r="W37" s="206">
        <f t="shared" si="20"/>
        <v>2025</v>
      </c>
      <c r="X37" s="206" t="s">
        <v>256</v>
      </c>
      <c r="Y37" s="207" t="str">
        <f t="array" ref="Y37">INDEX('Adj. P&amp;L'!$3:$3,MATCH($C37,'Adj. P&amp;L'!$9:$9,0))</f>
        <v>LTM</v>
      </c>
      <c r="AB37" s="208">
        <f t="shared" si="21"/>
        <v>6.7669172932330823E-2</v>
      </c>
      <c r="AC37" s="3">
        <f t="shared" si="27"/>
        <v>7</v>
      </c>
      <c r="AD37" s="208"/>
    </row>
    <row r="38" spans="3:30" ht="15.75" customHeight="1">
      <c r="C38" s="67">
        <f t="shared" si="23"/>
        <v>45900</v>
      </c>
      <c r="D38" s="84">
        <f>COUNTIFS('24-25 events'!$E:$E,$C38,'24-25 events'!$N:$N,D$5)</f>
        <v>2</v>
      </c>
      <c r="E38" s="86">
        <f>SUMIFS('24-25 events'!$Q:$Q,'24-25 events'!$E:$E,$C38,'24-25 events'!$N:$N,E$5)</f>
        <v>13000</v>
      </c>
      <c r="F38" s="10">
        <f t="shared" si="14"/>
        <v>6500</v>
      </c>
      <c r="H38" s="84">
        <f>COUNTIFS('24-25 events'!$E:$E,$C38,'24-25 events'!$N:$N,H$5)</f>
        <v>10</v>
      </c>
      <c r="I38" s="86">
        <f>SUMIFS('24-25 events'!$Q:$Q,'24-25 events'!$E:$E,$C38,'24-25 events'!$N:$N,I$5)</f>
        <v>72500</v>
      </c>
      <c r="J38" s="10">
        <f t="shared" si="15"/>
        <v>7250</v>
      </c>
      <c r="L38" s="25">
        <f t="shared" si="16"/>
        <v>12</v>
      </c>
      <c r="M38" s="7">
        <f t="shared" si="17"/>
        <v>85500</v>
      </c>
      <c r="N38" s="10">
        <f t="shared" si="18"/>
        <v>7125</v>
      </c>
      <c r="P38" s="84">
        <f>COUNTIFS('24-25 events'!$E:$E,$C38,'24-25 events'!$N:$N,P$5)</f>
        <v>3</v>
      </c>
      <c r="Q38" s="86">
        <f>SUMIFS('24-25 events'!$Q:$Q,'24-25 events'!$E:$E,$C38,'24-25 events'!$N:$N,Q$5)</f>
        <v>4500</v>
      </c>
      <c r="R38" s="10">
        <f t="shared" si="19"/>
        <v>1500</v>
      </c>
      <c r="S38" s="84">
        <f t="shared" si="28"/>
        <v>41</v>
      </c>
      <c r="U38" s="86">
        <v>0</v>
      </c>
      <c r="W38" s="206">
        <f t="shared" si="20"/>
        <v>2025</v>
      </c>
      <c r="X38" s="206" t="s">
        <v>256</v>
      </c>
      <c r="Y38" s="207" t="str">
        <f t="array" ref="Y38">INDEX('Adj. P&amp;L'!$3:$3,MATCH($C38,'Adj. P&amp;L'!$9:$9,0))</f>
        <v>LTM</v>
      </c>
      <c r="AB38" s="208">
        <f t="shared" si="21"/>
        <v>9.0225563909774431E-2</v>
      </c>
      <c r="AC38" s="3">
        <f t="shared" si="27"/>
        <v>8</v>
      </c>
      <c r="AD38" s="208"/>
    </row>
    <row r="39" spans="3:30" ht="15.75" customHeight="1">
      <c r="C39" s="67">
        <f t="shared" si="23"/>
        <v>45930</v>
      </c>
      <c r="D39" s="84">
        <f>COUNTIFS('24-25 events'!$E:$E,$C39,'24-25 events'!$N:$N,D$5)</f>
        <v>5</v>
      </c>
      <c r="E39" s="86">
        <f>SUMIFS('24-25 events'!$Q:$Q,'24-25 events'!$E:$E,$C39,'24-25 events'!$N:$N,E$5)</f>
        <v>31500</v>
      </c>
      <c r="F39" s="10">
        <f t="shared" si="14"/>
        <v>6300</v>
      </c>
      <c r="H39" s="84">
        <f>COUNTIFS('24-25 events'!$E:$E,$C39,'24-25 events'!$N:$N,H$5)</f>
        <v>11</v>
      </c>
      <c r="I39" s="86">
        <f>SUMIFS('24-25 events'!$Q:$Q,'24-25 events'!$E:$E,$C39,'24-25 events'!$N:$N,I$5)</f>
        <v>71500</v>
      </c>
      <c r="J39" s="10">
        <f t="shared" si="15"/>
        <v>6500</v>
      </c>
      <c r="L39" s="25">
        <f t="shared" si="16"/>
        <v>16</v>
      </c>
      <c r="M39" s="7">
        <f t="shared" si="17"/>
        <v>103000</v>
      </c>
      <c r="N39" s="10">
        <f t="shared" si="18"/>
        <v>6437.5</v>
      </c>
      <c r="P39" s="84">
        <f>COUNTIFS('24-25 events'!$E:$E,$C39,'24-25 events'!$N:$N,P$5)</f>
        <v>6</v>
      </c>
      <c r="Q39" s="86">
        <f>SUMIFS('24-25 events'!$Q:$Q,'24-25 events'!$E:$E,$C39,'24-25 events'!$N:$N,Q$5)</f>
        <v>9000</v>
      </c>
      <c r="R39" s="10">
        <f t="shared" si="19"/>
        <v>1500</v>
      </c>
      <c r="S39" s="84">
        <f t="shared" si="28"/>
        <v>43</v>
      </c>
      <c r="U39" s="86">
        <v>0</v>
      </c>
      <c r="W39" s="206">
        <f t="shared" si="20"/>
        <v>2025</v>
      </c>
      <c r="X39" s="206" t="s">
        <v>256</v>
      </c>
      <c r="Y39" s="207" t="str">
        <f t="array" ref="Y39">INDEX('Adj. P&amp;L'!$3:$3,MATCH($C39,'Adj. P&amp;L'!$9:$9,0))</f>
        <v>LTM</v>
      </c>
      <c r="AB39" s="208">
        <f t="shared" si="21"/>
        <v>0.12030075187969924</v>
      </c>
      <c r="AC39" s="3">
        <f t="shared" si="27"/>
        <v>9</v>
      </c>
      <c r="AD39" s="208"/>
    </row>
    <row r="40" spans="3:30" ht="15.75" customHeight="1">
      <c r="C40" s="67">
        <f t="shared" si="23"/>
        <v>45961</v>
      </c>
      <c r="D40" s="84">
        <f>COUNTIFS('24-25 events'!$E:$E,$C40,'24-25 events'!$N:$N,D$5)</f>
        <v>8</v>
      </c>
      <c r="E40" s="86">
        <f>SUMIFS('24-25 events'!$Q:$Q,'24-25 events'!$E:$E,$C40,'24-25 events'!$N:$N,E$5)</f>
        <v>50500</v>
      </c>
      <c r="F40" s="10">
        <f t="shared" si="14"/>
        <v>6312.5</v>
      </c>
      <c r="H40" s="84">
        <f>COUNTIFS('24-25 events'!$E:$E,$C40,'24-25 events'!$N:$N,H$5)</f>
        <v>13</v>
      </c>
      <c r="I40" s="86">
        <f>SUMIFS('24-25 events'!$Q:$Q,'24-25 events'!$E:$E,$C40,'24-25 events'!$N:$N,I$5)</f>
        <v>91750</v>
      </c>
      <c r="J40" s="10">
        <f t="shared" si="15"/>
        <v>7057.6923076923076</v>
      </c>
      <c r="L40" s="25">
        <f t="shared" si="16"/>
        <v>21</v>
      </c>
      <c r="M40" s="7">
        <f t="shared" si="17"/>
        <v>142250</v>
      </c>
      <c r="N40" s="10">
        <f t="shared" si="18"/>
        <v>6773.8095238095239</v>
      </c>
      <c r="P40" s="84">
        <f>COUNTIFS('24-25 events'!$E:$E,$C40,'24-25 events'!$N:$N,P$5)</f>
        <v>5</v>
      </c>
      <c r="Q40" s="86">
        <f>SUMIFS('24-25 events'!$Q:$Q,'24-25 events'!$E:$E,$C40,'24-25 events'!$N:$N,Q$5)</f>
        <v>7500</v>
      </c>
      <c r="R40" s="10">
        <f t="shared" si="19"/>
        <v>1500</v>
      </c>
      <c r="S40" s="84">
        <f t="shared" si="28"/>
        <v>42</v>
      </c>
      <c r="U40" s="86">
        <v>0</v>
      </c>
      <c r="W40" s="206">
        <f t="shared" si="20"/>
        <v>2025</v>
      </c>
      <c r="X40" s="206" t="s">
        <v>256</v>
      </c>
      <c r="Y40" s="207" t="str">
        <f t="array" ref="Y40">INDEX('Adj. P&amp;L'!$3:$3,MATCH($C40,'Adj. P&amp;L'!$9:$9,0))</f>
        <v>LTM</v>
      </c>
      <c r="AB40" s="208">
        <f t="shared" si="21"/>
        <v>0.15789473684210525</v>
      </c>
      <c r="AC40" s="3">
        <f t="shared" si="27"/>
        <v>10</v>
      </c>
      <c r="AD40" s="208"/>
    </row>
    <row r="41" spans="3:30" ht="15.75" customHeight="1">
      <c r="C41" s="67">
        <f t="shared" si="23"/>
        <v>45991</v>
      </c>
      <c r="D41" s="84">
        <f>COUNTIFS('24-25 events'!$E:$E,$C41,'24-25 events'!$N:$N,D$5)</f>
        <v>1</v>
      </c>
      <c r="E41" s="86">
        <f>SUMIFS('24-25 events'!$Q:$Q,'24-25 events'!$E:$E,$C41,'24-25 events'!$N:$N,E$5)</f>
        <v>6500</v>
      </c>
      <c r="F41" s="10">
        <f t="shared" si="14"/>
        <v>6500</v>
      </c>
      <c r="H41" s="84">
        <f>COUNTIFS('24-25 events'!$E:$E,$C41,'24-25 events'!$N:$N,H$5)</f>
        <v>7</v>
      </c>
      <c r="I41" s="86">
        <f>SUMIFS('24-25 events'!$Q:$Q,'24-25 events'!$E:$E,$C41,'24-25 events'!$N:$N,I$5)</f>
        <v>47250</v>
      </c>
      <c r="J41" s="10">
        <f t="shared" si="15"/>
        <v>6750</v>
      </c>
      <c r="L41" s="25">
        <f t="shared" si="16"/>
        <v>8</v>
      </c>
      <c r="M41" s="7">
        <f t="shared" si="17"/>
        <v>53750</v>
      </c>
      <c r="N41" s="10">
        <f t="shared" si="18"/>
        <v>6718.75</v>
      </c>
      <c r="P41" s="84">
        <f>COUNTIFS('24-25 events'!$E:$E,$C41,'24-25 events'!$N:$N,P$5)</f>
        <v>3</v>
      </c>
      <c r="Q41" s="86">
        <f>SUMIFS('24-25 events'!$Q:$Q,'24-25 events'!$E:$E,$C41,'24-25 events'!$N:$N,Q$5)</f>
        <v>4500</v>
      </c>
      <c r="R41" s="10">
        <f t="shared" si="19"/>
        <v>1500</v>
      </c>
      <c r="S41" s="84">
        <f t="shared" si="28"/>
        <v>43</v>
      </c>
      <c r="U41" s="86">
        <v>0</v>
      </c>
      <c r="W41" s="206">
        <f t="shared" si="20"/>
        <v>2025</v>
      </c>
      <c r="X41" s="206" t="s">
        <v>256</v>
      </c>
      <c r="Y41" s="207" t="str">
        <f t="array" ref="Y41">INDEX('Adj. P&amp;L'!$3:$3,MATCH($C41,'Adj. P&amp;L'!$9:$9,0))</f>
        <v>LTM</v>
      </c>
      <c r="AB41" s="208">
        <f t="shared" si="21"/>
        <v>6.0150375939849621E-2</v>
      </c>
      <c r="AC41" s="3">
        <f t="shared" si="27"/>
        <v>11</v>
      </c>
      <c r="AD41" s="208"/>
    </row>
    <row r="42" spans="3:30" ht="15.75" customHeight="1">
      <c r="C42" s="67">
        <f t="shared" si="23"/>
        <v>46022</v>
      </c>
      <c r="D42" s="84">
        <f>COUNTIFS('24-25 events'!$E:$E,$C42,'24-25 events'!$N:$N,D$5)</f>
        <v>2</v>
      </c>
      <c r="E42" s="86">
        <f>SUMIFS('24-25 events'!$Q:$Q,'24-25 events'!$E:$E,$C42,'24-25 events'!$N:$N,E$5)</f>
        <v>14000</v>
      </c>
      <c r="F42" s="10">
        <f t="shared" si="14"/>
        <v>7000</v>
      </c>
      <c r="H42" s="84">
        <f>COUNTIFS('24-25 events'!$E:$E,$C42,'24-25 events'!$N:$N,H$5)</f>
        <v>2</v>
      </c>
      <c r="I42" s="86">
        <f>SUMIFS('24-25 events'!$Q:$Q,'24-25 events'!$E:$E,$C42,'24-25 events'!$N:$N,I$5)</f>
        <v>12750</v>
      </c>
      <c r="J42" s="10">
        <f t="shared" si="15"/>
        <v>6375</v>
      </c>
      <c r="L42" s="25">
        <f t="shared" si="16"/>
        <v>4</v>
      </c>
      <c r="M42" s="7">
        <f t="shared" si="17"/>
        <v>26750</v>
      </c>
      <c r="N42" s="10">
        <f t="shared" si="18"/>
        <v>6687.5</v>
      </c>
      <c r="P42" s="84">
        <f>COUNTIFS('24-25 events'!$E:$E,$C42,'24-25 events'!$N:$N,P$5)</f>
        <v>0</v>
      </c>
      <c r="Q42" s="86">
        <f>SUMIFS('24-25 events'!$Q:$Q,'24-25 events'!$E:$E,$C42,'24-25 events'!$N:$N,Q$5)</f>
        <v>0</v>
      </c>
      <c r="R42" s="10">
        <f t="shared" si="19"/>
        <v>0</v>
      </c>
      <c r="S42" s="84">
        <f t="shared" si="28"/>
        <v>39</v>
      </c>
      <c r="U42" s="86">
        <v>0</v>
      </c>
      <c r="W42" s="206">
        <f t="shared" si="20"/>
        <v>2025</v>
      </c>
      <c r="X42" s="206" t="s">
        <v>256</v>
      </c>
      <c r="Y42" s="207" t="str">
        <f t="array" ref="Y42">INDEX('Adj. P&amp;L'!$3:$3,MATCH($C42,'Adj. P&amp;L'!$9:$9,0))</f>
        <v>LTM</v>
      </c>
      <c r="AB42" s="208">
        <f t="shared" si="21"/>
        <v>3.007518796992481E-2</v>
      </c>
      <c r="AC42" s="3">
        <f t="shared" si="27"/>
        <v>12</v>
      </c>
      <c r="AD42" s="208"/>
    </row>
    <row r="43" spans="3:30" ht="15.75" customHeight="1">
      <c r="C43" s="67"/>
      <c r="D43" s="84"/>
      <c r="E43" s="86"/>
      <c r="F43" s="10"/>
      <c r="H43" s="84"/>
      <c r="I43" s="86"/>
      <c r="J43" s="10"/>
      <c r="L43" s="25"/>
      <c r="M43" s="7"/>
      <c r="N43" s="10"/>
      <c r="P43" s="84"/>
      <c r="Q43" s="86"/>
      <c r="R43" s="10"/>
      <c r="S43" s="84">
        <f t="shared" si="28"/>
        <v>39</v>
      </c>
      <c r="U43" s="86"/>
      <c r="W43" s="206"/>
      <c r="X43" s="206"/>
      <c r="Y43" s="209"/>
      <c r="AB43" s="208"/>
      <c r="AD43" s="208"/>
    </row>
    <row r="44" spans="3:30" ht="15.75" customHeight="1">
      <c r="C44" s="67">
        <f>EOMONTH(C42,1)</f>
        <v>46053</v>
      </c>
      <c r="D44" s="84">
        <f>COUNTIFS('Future Events'!$G:$G,D$5,'Future Events'!$D:$D,$C44)</f>
        <v>0</v>
      </c>
      <c r="E44" s="86">
        <f>SUMIFS('Future Events'!$I:$I,'Future Events'!$G:$G,E$5,'Future Events'!$D:$D,$C44)</f>
        <v>0</v>
      </c>
      <c r="F44" s="10">
        <f t="shared" ref="F44:F79" si="29">IFERROR(E44/D44,0)</f>
        <v>0</v>
      </c>
      <c r="H44" s="84">
        <f>COUNTIFS('Future Events'!$G:$G,H$5,'Future Events'!$D:$D,$C44)</f>
        <v>0</v>
      </c>
      <c r="I44" s="86">
        <f>SUMIFS('Future Events'!$I:$I,'Future Events'!$G:$G,I$5,'Future Events'!$D:$D,$C44)</f>
        <v>0</v>
      </c>
      <c r="J44" s="10">
        <f t="shared" ref="J44:J79" si="30">IFERROR(I44/H44,0)</f>
        <v>0</v>
      </c>
      <c r="L44" s="25">
        <f t="shared" ref="L44:L79" si="31">D44+H44</f>
        <v>0</v>
      </c>
      <c r="M44" s="7">
        <f t="shared" ref="M44:M79" si="32">E44+I44</f>
        <v>0</v>
      </c>
      <c r="N44" s="10">
        <f t="shared" ref="N44:N79" si="33">IFERROR(M44/L44,0)</f>
        <v>0</v>
      </c>
      <c r="P44" s="84">
        <f>COUNTIFS('Future Events'!$G:$G,P$5,'Future Events'!$D:$D,$C44)</f>
        <v>0</v>
      </c>
      <c r="Q44" s="86">
        <f>SUMIFS('Future Events'!$I:$I,'Future Events'!$G:$G,Q$5,'Future Events'!$D:$D,$C44)</f>
        <v>0</v>
      </c>
      <c r="R44" s="10">
        <f t="shared" ref="R44:R79" si="34">IFERROR(Q44/P44,0)</f>
        <v>0</v>
      </c>
      <c r="S44" s="84">
        <f t="shared" si="28"/>
        <v>39</v>
      </c>
      <c r="U44" s="86">
        <v>0</v>
      </c>
      <c r="W44" s="206">
        <f t="shared" ref="W44:W79" si="35">YEAR(C44)</f>
        <v>2026</v>
      </c>
      <c r="X44" s="206" t="s">
        <v>256</v>
      </c>
      <c r="Y44" s="207" t="str">
        <f t="array" ref="Y44">INDEX('Adj. P&amp;L'!$3:$3,MATCH($C44,'Adj. P&amp;L'!$9:$9,0))</f>
        <v>LTM</v>
      </c>
      <c r="AB44" s="208"/>
      <c r="AD44" s="208"/>
    </row>
    <row r="45" spans="3:30" ht="15.75" customHeight="1">
      <c r="C45" s="67">
        <f t="shared" ref="C45:C79" si="36">EOMONTH(C44,1)</f>
        <v>46081</v>
      </c>
      <c r="D45" s="84">
        <f>COUNTIFS('Future Events'!$G:$G,D$5,'Future Events'!$D:$D,$C45)</f>
        <v>0</v>
      </c>
      <c r="E45" s="86">
        <f>SUMIFS('Future Events'!$I:$I,'Future Events'!$G:$G,E$5,'Future Events'!$D:$D,$C45)</f>
        <v>0</v>
      </c>
      <c r="F45" s="10">
        <f t="shared" si="29"/>
        <v>0</v>
      </c>
      <c r="H45" s="84">
        <f>COUNTIFS('Future Events'!$G:$G,H$5,'Future Events'!$D:$D,$C45)</f>
        <v>0</v>
      </c>
      <c r="I45" s="86">
        <f>SUMIFS('Future Events'!$I:$I,'Future Events'!$G:$G,I$5,'Future Events'!$D:$D,$C45)</f>
        <v>0</v>
      </c>
      <c r="J45" s="10">
        <f t="shared" si="30"/>
        <v>0</v>
      </c>
      <c r="L45" s="25">
        <f t="shared" si="31"/>
        <v>0</v>
      </c>
      <c r="M45" s="7">
        <f t="shared" si="32"/>
        <v>0</v>
      </c>
      <c r="N45" s="10">
        <f t="shared" si="33"/>
        <v>0</v>
      </c>
      <c r="P45" s="84">
        <f>COUNTIFS('Future Events'!$G:$G,P$5,'Future Events'!$D:$D,$C45)</f>
        <v>0</v>
      </c>
      <c r="Q45" s="86">
        <f>SUMIFS('Future Events'!$I:$I,'Future Events'!$G:$G,Q$5,'Future Events'!$D:$D,$C45)</f>
        <v>0</v>
      </c>
      <c r="R45" s="10">
        <f t="shared" si="34"/>
        <v>0</v>
      </c>
      <c r="S45" s="84">
        <f t="shared" si="28"/>
        <v>38</v>
      </c>
      <c r="U45" s="86">
        <v>0</v>
      </c>
      <c r="W45" s="206">
        <f t="shared" si="35"/>
        <v>2026</v>
      </c>
      <c r="X45" s="206" t="s">
        <v>256</v>
      </c>
      <c r="Y45" s="207" t="str">
        <f t="array" ref="Y45">INDEX('Adj. P&amp;L'!$3:$3,MATCH($C45,'Adj. P&amp;L'!$9:$9,0))</f>
        <v>LTM</v>
      </c>
      <c r="AB45" s="208"/>
      <c r="AD45" s="208"/>
    </row>
    <row r="46" spans="3:30" ht="15.75" customHeight="1">
      <c r="C46" s="67">
        <f t="shared" si="36"/>
        <v>46112</v>
      </c>
      <c r="D46" s="84">
        <f>COUNTIFS('Future Events'!$G:$G,D$5,'Future Events'!$D:$D,$C46)</f>
        <v>1</v>
      </c>
      <c r="E46" s="86">
        <f>SUMIFS('Future Events'!$I:$I,'Future Events'!$G:$G,E$5,'Future Events'!$D:$D,$C46)</f>
        <v>8000</v>
      </c>
      <c r="F46" s="10">
        <f t="shared" si="29"/>
        <v>8000</v>
      </c>
      <c r="H46" s="84">
        <f>COUNTIFS('Future Events'!$G:$G,H$5,'Future Events'!$D:$D,$C46)</f>
        <v>4</v>
      </c>
      <c r="I46" s="86">
        <f>SUMIFS('Future Events'!$I:$I,'Future Events'!$G:$G,I$5,'Future Events'!$D:$D,$C46)</f>
        <v>31750</v>
      </c>
      <c r="J46" s="10">
        <f t="shared" si="30"/>
        <v>7937.5</v>
      </c>
      <c r="L46" s="25">
        <f t="shared" si="31"/>
        <v>5</v>
      </c>
      <c r="M46" s="7">
        <f t="shared" si="32"/>
        <v>39750</v>
      </c>
      <c r="N46" s="10">
        <f t="shared" si="33"/>
        <v>7950</v>
      </c>
      <c r="P46" s="84">
        <f>COUNTIFS('Future Events'!$G:$G,P$5,'Future Events'!$D:$D,$C46)</f>
        <v>1</v>
      </c>
      <c r="Q46" s="86">
        <f>SUMIFS('Future Events'!$I:$I,'Future Events'!$G:$G,Q$5,'Future Events'!$D:$D,$C46)</f>
        <v>1750</v>
      </c>
      <c r="R46" s="10">
        <f t="shared" si="34"/>
        <v>1750</v>
      </c>
      <c r="S46" s="84">
        <f t="shared" si="28"/>
        <v>37</v>
      </c>
      <c r="U46" s="86">
        <v>0</v>
      </c>
      <c r="W46" s="206">
        <f t="shared" si="35"/>
        <v>2026</v>
      </c>
      <c r="X46" s="206" t="s">
        <v>256</v>
      </c>
      <c r="Y46" s="207" t="str">
        <f t="array" ref="Y46">INDEX('Adj. P&amp;L'!$3:$3,MATCH($C46,'Adj. P&amp;L'!$9:$9,0))</f>
        <v>LTM</v>
      </c>
      <c r="AB46" s="208"/>
      <c r="AD46" s="208"/>
    </row>
    <row r="47" spans="3:30" ht="15.75" customHeight="1">
      <c r="C47" s="67">
        <f t="shared" si="36"/>
        <v>46142</v>
      </c>
      <c r="D47" s="84">
        <f>COUNTIFS('Future Events'!$G:$G,D$5,'Future Events'!$D:$D,$C47)</f>
        <v>4</v>
      </c>
      <c r="E47" s="86">
        <f>SUMIFS('Future Events'!$I:$I,'Future Events'!$G:$G,E$5,'Future Events'!$D:$D,$C47)</f>
        <v>21250</v>
      </c>
      <c r="F47" s="10">
        <f t="shared" si="29"/>
        <v>5312.5</v>
      </c>
      <c r="H47" s="84">
        <f>COUNTIFS('Future Events'!$G:$G,H$5,'Future Events'!$D:$D,$C47)</f>
        <v>12</v>
      </c>
      <c r="I47" s="86">
        <f>SUMIFS('Future Events'!$I:$I,'Future Events'!$G:$G,I$5,'Future Events'!$D:$D,$C47)</f>
        <v>91500</v>
      </c>
      <c r="J47" s="10">
        <f t="shared" si="30"/>
        <v>7625</v>
      </c>
      <c r="L47" s="25">
        <f t="shared" si="31"/>
        <v>16</v>
      </c>
      <c r="M47" s="7">
        <f t="shared" si="32"/>
        <v>112750</v>
      </c>
      <c r="N47" s="10">
        <f t="shared" si="33"/>
        <v>7046.875</v>
      </c>
      <c r="P47" s="84">
        <f>COUNTIFS('Future Events'!$G:$G,P$5,'Future Events'!$D:$D,$C47)</f>
        <v>3</v>
      </c>
      <c r="Q47" s="86">
        <f>SUMIFS('Future Events'!$I:$I,'Future Events'!$G:$G,Q$5,'Future Events'!$D:$D,$C47)</f>
        <v>11250</v>
      </c>
      <c r="R47" s="10">
        <f t="shared" si="34"/>
        <v>3750</v>
      </c>
      <c r="S47" s="84">
        <f t="shared" si="28"/>
        <v>32</v>
      </c>
      <c r="U47" s="86">
        <v>0</v>
      </c>
      <c r="W47" s="206">
        <f t="shared" si="35"/>
        <v>2026</v>
      </c>
      <c r="X47" s="210" t="s">
        <v>256</v>
      </c>
      <c r="Y47" s="207" t="str">
        <f t="array" ref="Y47">INDEX('Adj. P&amp;L'!$3:$3,MATCH($C47,'Adj. P&amp;L'!$9:$9,0))</f>
        <v>LTM</v>
      </c>
      <c r="AB47" s="208"/>
      <c r="AD47" s="208"/>
    </row>
    <row r="48" spans="3:30" ht="15.75" customHeight="1">
      <c r="C48" s="67">
        <f t="shared" si="36"/>
        <v>46173</v>
      </c>
      <c r="D48" s="84">
        <f>COUNTIFS('Future Events'!$G:$G,D$5,'Future Events'!$D:$D,$C48)</f>
        <v>7</v>
      </c>
      <c r="E48" s="86">
        <f>SUMIFS('Future Events'!$I:$I,'Future Events'!$G:$G,E$5,'Future Events'!$D:$D,$C48)</f>
        <v>46900</v>
      </c>
      <c r="F48" s="10">
        <f t="shared" si="29"/>
        <v>6700</v>
      </c>
      <c r="H48" s="84">
        <f>COUNTIFS('Future Events'!$G:$G,H$5,'Future Events'!$D:$D,$C48)</f>
        <v>15</v>
      </c>
      <c r="I48" s="86">
        <f>SUMIFS('Future Events'!$I:$I,'Future Events'!$G:$G,I$5,'Future Events'!$D:$D,$C48)</f>
        <v>122810</v>
      </c>
      <c r="J48" s="10">
        <f t="shared" si="30"/>
        <v>8187.333333333333</v>
      </c>
      <c r="L48" s="25">
        <f t="shared" si="31"/>
        <v>22</v>
      </c>
      <c r="M48" s="7">
        <f t="shared" si="32"/>
        <v>169710</v>
      </c>
      <c r="N48" s="10">
        <f t="shared" si="33"/>
        <v>7714.090909090909</v>
      </c>
      <c r="P48" s="84">
        <f>COUNTIFS('Future Events'!$G:$G,P$5,'Future Events'!$D:$D,$C48)</f>
        <v>5</v>
      </c>
      <c r="Q48" s="86">
        <f>SUMIFS('Future Events'!$I:$I,'Future Events'!$G:$G,Q$5,'Future Events'!$D:$D,$C48)</f>
        <v>8500</v>
      </c>
      <c r="R48" s="10">
        <f t="shared" si="34"/>
        <v>1700</v>
      </c>
      <c r="S48" s="84">
        <f t="shared" si="28"/>
        <v>32</v>
      </c>
      <c r="U48" s="86">
        <v>0</v>
      </c>
      <c r="W48" s="206">
        <f t="shared" si="35"/>
        <v>2026</v>
      </c>
      <c r="X48" s="206"/>
      <c r="Y48" s="209">
        <f t="array" ref="Y48">INDEX('Adj. P&amp;L'!$3:$3,MATCH($C48,'Adj. P&amp;L'!$9:$9,0))</f>
        <v>0</v>
      </c>
      <c r="AB48" s="208"/>
      <c r="AD48" s="208"/>
    </row>
    <row r="49" spans="3:30" ht="15.75" customHeight="1">
      <c r="C49" s="67">
        <f t="shared" si="36"/>
        <v>46203</v>
      </c>
      <c r="D49" s="84">
        <f>COUNTIFS('Future Events'!$G:$G,D$5,'Future Events'!$D:$D,$C49)</f>
        <v>2</v>
      </c>
      <c r="E49" s="86">
        <f>SUMIFS('Future Events'!$I:$I,'Future Events'!$G:$G,E$5,'Future Events'!$D:$D,$C49)</f>
        <v>14250</v>
      </c>
      <c r="F49" s="10">
        <f t="shared" si="29"/>
        <v>7125</v>
      </c>
      <c r="H49" s="84">
        <f>COUNTIFS('Future Events'!$G:$G,H$5,'Future Events'!$D:$D,$C49)</f>
        <v>10</v>
      </c>
      <c r="I49" s="86">
        <f>SUMIFS('Future Events'!$I:$I,'Future Events'!$G:$G,I$5,'Future Events'!$D:$D,$C49)</f>
        <v>77450</v>
      </c>
      <c r="J49" s="10">
        <f t="shared" si="30"/>
        <v>7745</v>
      </c>
      <c r="L49" s="25">
        <f t="shared" si="31"/>
        <v>12</v>
      </c>
      <c r="M49" s="7">
        <f t="shared" si="32"/>
        <v>91700</v>
      </c>
      <c r="N49" s="10">
        <f t="shared" si="33"/>
        <v>7641.666666666667</v>
      </c>
      <c r="P49" s="84">
        <f>COUNTIFS('Future Events'!$G:$G,P$5,'Future Events'!$D:$D,$C49)</f>
        <v>4</v>
      </c>
      <c r="Q49" s="86">
        <f>SUMIFS('Future Events'!$I:$I,'Future Events'!$G:$G,Q$5,'Future Events'!$D:$D,$C49)</f>
        <v>7000</v>
      </c>
      <c r="R49" s="10">
        <f t="shared" si="34"/>
        <v>1750</v>
      </c>
      <c r="S49" s="84">
        <f t="shared" si="28"/>
        <v>30</v>
      </c>
      <c r="U49" s="86">
        <v>0</v>
      </c>
      <c r="W49" s="206">
        <f t="shared" si="35"/>
        <v>2026</v>
      </c>
      <c r="X49" s="206" t="s">
        <v>257</v>
      </c>
      <c r="Y49" s="211">
        <f t="array" ref="Y49">INDEX('Adj. P&amp;L'!$3:$3,MATCH($C49,'Adj. P&amp;L'!$9:$9,0))</f>
        <v>1</v>
      </c>
      <c r="AB49" s="208"/>
      <c r="AD49" s="208"/>
    </row>
    <row r="50" spans="3:30" ht="15.75" customHeight="1">
      <c r="C50" s="67">
        <f t="shared" si="36"/>
        <v>46234</v>
      </c>
      <c r="D50" s="84">
        <f>COUNTIFS('Future Events'!$G:$G,D$5,'Future Events'!$D:$D,$C50)</f>
        <v>1</v>
      </c>
      <c r="E50" s="86">
        <f>SUMIFS('Future Events'!$I:$I,'Future Events'!$G:$G,E$5,'Future Events'!$D:$D,$C50)</f>
        <v>7250</v>
      </c>
      <c r="F50" s="10">
        <f t="shared" si="29"/>
        <v>7250</v>
      </c>
      <c r="H50" s="84">
        <f>COUNTIFS('Future Events'!$G:$G,H$5,'Future Events'!$D:$D,$C50)</f>
        <v>9</v>
      </c>
      <c r="I50" s="86">
        <f>SUMIFS('Future Events'!$I:$I,'Future Events'!$G:$G,I$5,'Future Events'!$D:$D,$C50)</f>
        <v>73500</v>
      </c>
      <c r="J50" s="10">
        <f t="shared" si="30"/>
        <v>8166.666666666667</v>
      </c>
      <c r="L50" s="25">
        <f t="shared" si="31"/>
        <v>10</v>
      </c>
      <c r="M50" s="7">
        <f t="shared" si="32"/>
        <v>80750</v>
      </c>
      <c r="N50" s="10">
        <f t="shared" si="33"/>
        <v>8075</v>
      </c>
      <c r="P50" s="84">
        <f>COUNTIFS('Future Events'!$G:$G,P$5,'Future Events'!$D:$D,$C50)</f>
        <v>0</v>
      </c>
      <c r="Q50" s="86">
        <f>SUMIFS('Future Events'!$I:$I,'Future Events'!$G:$G,Q$5,'Future Events'!$D:$D,$C50)</f>
        <v>0</v>
      </c>
      <c r="R50" s="10">
        <f t="shared" si="34"/>
        <v>0</v>
      </c>
      <c r="S50" s="84">
        <f t="shared" si="28"/>
        <v>27</v>
      </c>
      <c r="U50" s="86">
        <v>0</v>
      </c>
      <c r="W50" s="206">
        <f t="shared" si="35"/>
        <v>2026</v>
      </c>
      <c r="X50" s="206" t="s">
        <v>257</v>
      </c>
      <c r="Y50" s="211">
        <f t="array" ref="Y50">INDEX('Adj. P&amp;L'!$3:$3,MATCH($C50,'Adj. P&amp;L'!$9:$9,0))</f>
        <v>1</v>
      </c>
      <c r="AB50" s="208"/>
      <c r="AD50" s="208"/>
    </row>
    <row r="51" spans="3:30" ht="15.75" customHeight="1">
      <c r="C51" s="67">
        <f t="shared" si="36"/>
        <v>46265</v>
      </c>
      <c r="D51" s="84">
        <f>COUNTIFS('Future Events'!$G:$G,D$5,'Future Events'!$D:$D,$C51)</f>
        <v>3</v>
      </c>
      <c r="E51" s="86">
        <f>SUMIFS('Future Events'!$I:$I,'Future Events'!$G:$G,E$5,'Future Events'!$D:$D,$C51)</f>
        <v>21250</v>
      </c>
      <c r="F51" s="10">
        <f t="shared" si="29"/>
        <v>7083.333333333333</v>
      </c>
      <c r="H51" s="84">
        <f>COUNTIFS('Future Events'!$G:$G,H$5,'Future Events'!$D:$D,$C51)</f>
        <v>12</v>
      </c>
      <c r="I51" s="86">
        <f>SUMIFS('Future Events'!$I:$I,'Future Events'!$G:$G,I$5,'Future Events'!$D:$D,$C51)</f>
        <v>90450</v>
      </c>
      <c r="J51" s="10">
        <f t="shared" si="30"/>
        <v>7537.5</v>
      </c>
      <c r="L51" s="25">
        <f t="shared" si="31"/>
        <v>15</v>
      </c>
      <c r="M51" s="7">
        <f t="shared" si="32"/>
        <v>111700</v>
      </c>
      <c r="N51" s="10">
        <f t="shared" si="33"/>
        <v>7446.666666666667</v>
      </c>
      <c r="P51" s="84">
        <f>COUNTIFS('Future Events'!$G:$G,P$5,'Future Events'!$D:$D,$C51)</f>
        <v>2</v>
      </c>
      <c r="Q51" s="86">
        <f>SUMIFS('Future Events'!$I:$I,'Future Events'!$G:$G,Q$5,'Future Events'!$D:$D,$C51)</f>
        <v>3500</v>
      </c>
      <c r="R51" s="10">
        <f t="shared" si="34"/>
        <v>1750</v>
      </c>
      <c r="S51" s="84">
        <f t="shared" si="28"/>
        <v>23</v>
      </c>
      <c r="U51" s="86">
        <v>0</v>
      </c>
      <c r="W51" s="206">
        <f t="shared" si="35"/>
        <v>2026</v>
      </c>
      <c r="X51" s="206" t="s">
        <v>257</v>
      </c>
      <c r="Y51" s="211">
        <f t="array" ref="Y51">INDEX('Adj. P&amp;L'!$3:$3,MATCH($C51,'Adj. P&amp;L'!$9:$9,0))</f>
        <v>1</v>
      </c>
      <c r="AB51" s="208"/>
      <c r="AD51" s="208"/>
    </row>
    <row r="52" spans="3:30" ht="15.75" customHeight="1">
      <c r="C52" s="67">
        <f t="shared" si="36"/>
        <v>46295</v>
      </c>
      <c r="D52" s="84">
        <f>COUNTIFS('Future Events'!$G:$G,D$5,'Future Events'!$D:$D,$C52)</f>
        <v>8</v>
      </c>
      <c r="E52" s="86">
        <f>SUMIFS('Future Events'!$I:$I,'Future Events'!$G:$G,E$5,'Future Events'!$D:$D,$C52)</f>
        <v>47900</v>
      </c>
      <c r="F52" s="10">
        <f t="shared" si="29"/>
        <v>5987.5</v>
      </c>
      <c r="H52" s="84">
        <f>COUNTIFS('Future Events'!$G:$G,H$5,'Future Events'!$D:$D,$C52)</f>
        <v>11</v>
      </c>
      <c r="I52" s="86">
        <f>SUMIFS('Future Events'!$I:$I,'Future Events'!$G:$G,I$5,'Future Events'!$D:$D,$C52)</f>
        <v>86200</v>
      </c>
      <c r="J52" s="10">
        <f t="shared" si="30"/>
        <v>7836.363636363636</v>
      </c>
      <c r="L52" s="25">
        <f t="shared" si="31"/>
        <v>19</v>
      </c>
      <c r="M52" s="7">
        <f t="shared" si="32"/>
        <v>134100</v>
      </c>
      <c r="N52" s="10">
        <f t="shared" si="33"/>
        <v>7057.894736842105</v>
      </c>
      <c r="P52" s="84">
        <f>COUNTIFS('Future Events'!$G:$G,P$5,'Future Events'!$D:$D,$C52)</f>
        <v>5</v>
      </c>
      <c r="Q52" s="86">
        <f>SUMIFS('Future Events'!$I:$I,'Future Events'!$G:$G,Q$5,'Future Events'!$D:$D,$C52)</f>
        <v>8500</v>
      </c>
      <c r="R52" s="10">
        <f t="shared" si="34"/>
        <v>1700</v>
      </c>
      <c r="S52" s="84">
        <f t="shared" si="28"/>
        <v>23</v>
      </c>
      <c r="U52" s="86">
        <v>0</v>
      </c>
      <c r="W52" s="206">
        <f t="shared" si="35"/>
        <v>2026</v>
      </c>
      <c r="X52" s="206" t="s">
        <v>257</v>
      </c>
      <c r="Y52" s="211">
        <f t="array" ref="Y52">INDEX('Adj. P&amp;L'!$3:$3,MATCH($C52,'Adj. P&amp;L'!$9:$9,0))</f>
        <v>1</v>
      </c>
      <c r="AB52" s="208"/>
      <c r="AD52" s="208"/>
    </row>
    <row r="53" spans="3:30" ht="15.75" customHeight="1">
      <c r="C53" s="67">
        <f t="shared" si="36"/>
        <v>46326</v>
      </c>
      <c r="D53" s="84">
        <f>COUNTIFS('Future Events'!$G:$G,D$5,'Future Events'!$D:$D,$C53)</f>
        <v>11</v>
      </c>
      <c r="E53" s="86">
        <f>SUMIFS('Future Events'!$I:$I,'Future Events'!$G:$G,E$5,'Future Events'!$D:$D,$C53)</f>
        <v>73775</v>
      </c>
      <c r="F53" s="10">
        <f t="shared" si="29"/>
        <v>6706.818181818182</v>
      </c>
      <c r="H53" s="84">
        <f>COUNTIFS('Future Events'!$G:$G,H$5,'Future Events'!$D:$D,$C53)</f>
        <v>13</v>
      </c>
      <c r="I53" s="86">
        <f>SUMIFS('Future Events'!$I:$I,'Future Events'!$G:$G,I$5,'Future Events'!$D:$D,$C53)</f>
        <v>97000</v>
      </c>
      <c r="J53" s="10">
        <f t="shared" si="30"/>
        <v>7461.5384615384619</v>
      </c>
      <c r="L53" s="25">
        <f t="shared" si="31"/>
        <v>24</v>
      </c>
      <c r="M53" s="7">
        <f t="shared" si="32"/>
        <v>170775</v>
      </c>
      <c r="N53" s="10">
        <f t="shared" si="33"/>
        <v>7115.625</v>
      </c>
      <c r="P53" s="84">
        <f>COUNTIFS('Future Events'!$G:$G,P$5,'Future Events'!$D:$D,$C53)</f>
        <v>6</v>
      </c>
      <c r="Q53" s="86">
        <f>SUMIFS('Future Events'!$I:$I,'Future Events'!$G:$G,Q$5,'Future Events'!$D:$D,$C53)</f>
        <v>10500</v>
      </c>
      <c r="R53" s="10">
        <f t="shared" si="34"/>
        <v>1750</v>
      </c>
      <c r="S53" s="84">
        <f t="shared" si="28"/>
        <v>26</v>
      </c>
      <c r="U53" s="86">
        <v>0</v>
      </c>
      <c r="W53" s="206">
        <f t="shared" si="35"/>
        <v>2026</v>
      </c>
      <c r="X53" s="206" t="s">
        <v>257</v>
      </c>
      <c r="Y53" s="211">
        <f t="array" ref="Y53">INDEX('Adj. P&amp;L'!$3:$3,MATCH($C53,'Adj. P&amp;L'!$9:$9,0))</f>
        <v>1</v>
      </c>
      <c r="AB53" s="208"/>
      <c r="AD53" s="208"/>
    </row>
    <row r="54" spans="3:30" ht="15.75" customHeight="1">
      <c r="C54" s="67">
        <f t="shared" si="36"/>
        <v>46356</v>
      </c>
      <c r="D54" s="84">
        <f>COUNTIFS('Future Events'!$G:$G,D$5,'Future Events'!$D:$D,$C54)</f>
        <v>2</v>
      </c>
      <c r="E54" s="86">
        <f>SUMIFS('Future Events'!$I:$I,'Future Events'!$G:$G,E$5,'Future Events'!$D:$D,$C54)</f>
        <v>13500</v>
      </c>
      <c r="F54" s="10">
        <f t="shared" si="29"/>
        <v>6750</v>
      </c>
      <c r="H54" s="84">
        <f>COUNTIFS('Future Events'!$G:$G,H$5,'Future Events'!$D:$D,$C54)</f>
        <v>10</v>
      </c>
      <c r="I54" s="86">
        <f>SUMIFS('Future Events'!$I:$I,'Future Events'!$G:$G,I$5,'Future Events'!$D:$D,$C54)</f>
        <v>81000</v>
      </c>
      <c r="J54" s="10">
        <f t="shared" si="30"/>
        <v>8100</v>
      </c>
      <c r="L54" s="25">
        <f t="shared" si="31"/>
        <v>12</v>
      </c>
      <c r="M54" s="7">
        <f t="shared" si="32"/>
        <v>94500</v>
      </c>
      <c r="N54" s="10">
        <f t="shared" si="33"/>
        <v>7875</v>
      </c>
      <c r="P54" s="84">
        <f>COUNTIFS('Future Events'!$G:$G,P$5,'Future Events'!$D:$D,$C54)</f>
        <v>1</v>
      </c>
      <c r="Q54" s="86">
        <f>SUMIFS('Future Events'!$I:$I,'Future Events'!$G:$G,Q$5,'Future Events'!$D:$D,$C54)</f>
        <v>1750</v>
      </c>
      <c r="R54" s="10">
        <f t="shared" si="34"/>
        <v>1750</v>
      </c>
      <c r="S54" s="84">
        <f t="shared" si="28"/>
        <v>27</v>
      </c>
      <c r="U54" s="86">
        <v>0</v>
      </c>
      <c r="W54" s="206">
        <f t="shared" si="35"/>
        <v>2026</v>
      </c>
      <c r="X54" s="206" t="s">
        <v>257</v>
      </c>
      <c r="Y54" s="211">
        <f t="array" ref="Y54">INDEX('Adj. P&amp;L'!$3:$3,MATCH($C54,'Adj. P&amp;L'!$9:$9,0))</f>
        <v>1</v>
      </c>
      <c r="AB54" s="208"/>
      <c r="AD54" s="208"/>
    </row>
    <row r="55" spans="3:30" ht="15.75" customHeight="1">
      <c r="C55" s="67">
        <f t="shared" si="36"/>
        <v>46387</v>
      </c>
      <c r="D55" s="84">
        <f>COUNTIFS('Future Events'!$G:$G,D$5,'Future Events'!$D:$D,$C55)</f>
        <v>0</v>
      </c>
      <c r="E55" s="86">
        <f>SUMIFS('Future Events'!$I:$I,'Future Events'!$G:$G,E$5,'Future Events'!$D:$D,$C55)</f>
        <v>0</v>
      </c>
      <c r="F55" s="10">
        <f t="shared" si="29"/>
        <v>0</v>
      </c>
      <c r="H55" s="84">
        <f>COUNTIFS('Future Events'!$G:$G,H$5,'Future Events'!$D:$D,$C55)</f>
        <v>2</v>
      </c>
      <c r="I55" s="86">
        <f>SUMIFS('Future Events'!$I:$I,'Future Events'!$G:$G,I$5,'Future Events'!$D:$D,$C55)</f>
        <v>16000</v>
      </c>
      <c r="J55" s="10">
        <f t="shared" si="30"/>
        <v>8000</v>
      </c>
      <c r="L55" s="25">
        <f t="shared" si="31"/>
        <v>2</v>
      </c>
      <c r="M55" s="7">
        <f t="shared" si="32"/>
        <v>16000</v>
      </c>
      <c r="N55" s="10">
        <f t="shared" si="33"/>
        <v>8000</v>
      </c>
      <c r="P55" s="84">
        <f>COUNTIFS('Future Events'!$G:$G,P$5,'Future Events'!$D:$D,$C55)</f>
        <v>0</v>
      </c>
      <c r="Q55" s="86">
        <f>SUMIFS('Future Events'!$I:$I,'Future Events'!$G:$G,Q$5,'Future Events'!$D:$D,$C55)</f>
        <v>0</v>
      </c>
      <c r="R55" s="10">
        <f t="shared" si="34"/>
        <v>0</v>
      </c>
      <c r="S55" s="10"/>
      <c r="U55" s="86">
        <v>0</v>
      </c>
      <c r="W55" s="206">
        <f t="shared" si="35"/>
        <v>2026</v>
      </c>
      <c r="X55" s="206" t="s">
        <v>257</v>
      </c>
      <c r="Y55" s="211">
        <f t="array" ref="Y55">INDEX('Adj. P&amp;L'!$3:$3,MATCH($C55,'Adj. P&amp;L'!$9:$9,0))</f>
        <v>1</v>
      </c>
      <c r="AB55" s="208"/>
      <c r="AD55" s="208"/>
    </row>
    <row r="56" spans="3:30" ht="15.75" customHeight="1">
      <c r="C56" s="67">
        <f t="shared" si="36"/>
        <v>46418</v>
      </c>
      <c r="D56" s="84">
        <f>COUNTIFS('Future Events'!$G:$G,D$5,'Future Events'!$D:$D,$C56)</f>
        <v>0</v>
      </c>
      <c r="E56" s="86">
        <f>SUMIFS('Future Events'!$I:$I,'Future Events'!$G:$G,E$5,'Future Events'!$D:$D,$C56)</f>
        <v>0</v>
      </c>
      <c r="F56" s="10">
        <f t="shared" si="29"/>
        <v>0</v>
      </c>
      <c r="H56" s="84">
        <f>COUNTIFS('Future Events'!$G:$G,H$5,'Future Events'!$D:$D,$C56)</f>
        <v>0</v>
      </c>
      <c r="I56" s="86">
        <f>SUMIFS('Future Events'!$I:$I,'Future Events'!$G:$G,I$5,'Future Events'!$D:$D,$C56)</f>
        <v>0</v>
      </c>
      <c r="J56" s="10">
        <f t="shared" si="30"/>
        <v>0</v>
      </c>
      <c r="L56" s="25">
        <f t="shared" si="31"/>
        <v>0</v>
      </c>
      <c r="M56" s="7">
        <f t="shared" si="32"/>
        <v>0</v>
      </c>
      <c r="N56" s="10">
        <f t="shared" si="33"/>
        <v>0</v>
      </c>
      <c r="P56" s="84">
        <f>COUNTIFS('Future Events'!$G:$G,P$5,'Future Events'!$D:$D,$C56)</f>
        <v>0</v>
      </c>
      <c r="Q56" s="86">
        <f>SUMIFS('Future Events'!$I:$I,'Future Events'!$G:$G,Q$5,'Future Events'!$D:$D,$C56)</f>
        <v>0</v>
      </c>
      <c r="R56" s="10">
        <f t="shared" si="34"/>
        <v>0</v>
      </c>
      <c r="S56" s="10"/>
      <c r="U56" s="86">
        <v>0</v>
      </c>
      <c r="W56" s="206">
        <f t="shared" si="35"/>
        <v>2027</v>
      </c>
      <c r="X56" s="206" t="s">
        <v>257</v>
      </c>
      <c r="Y56" s="211">
        <f t="array" ref="Y56">INDEX('Adj. P&amp;L'!$3:$3,MATCH($C56,'Adj. P&amp;L'!$9:$9,0))</f>
        <v>1</v>
      </c>
      <c r="AB56" s="208"/>
      <c r="AD56" s="208"/>
    </row>
    <row r="57" spans="3:30" ht="15.75" customHeight="1">
      <c r="C57" s="67">
        <f t="shared" si="36"/>
        <v>46446</v>
      </c>
      <c r="D57" s="84">
        <f>COUNTIFS('Future Events'!$G:$G,D$5,'Future Events'!$D:$D,$C57)</f>
        <v>0</v>
      </c>
      <c r="E57" s="86">
        <f>SUMIFS('Future Events'!$I:$I,'Future Events'!$G:$G,E$5,'Future Events'!$D:$D,$C57)</f>
        <v>0</v>
      </c>
      <c r="F57" s="10">
        <f t="shared" si="29"/>
        <v>0</v>
      </c>
      <c r="H57" s="84">
        <f>COUNTIFS('Future Events'!$G:$G,H$5,'Future Events'!$D:$D,$C57)</f>
        <v>0</v>
      </c>
      <c r="I57" s="86">
        <f>SUMIFS('Future Events'!$I:$I,'Future Events'!$G:$G,I$5,'Future Events'!$D:$D,$C57)</f>
        <v>0</v>
      </c>
      <c r="J57" s="10">
        <f t="shared" si="30"/>
        <v>0</v>
      </c>
      <c r="L57" s="25">
        <f t="shared" si="31"/>
        <v>0</v>
      </c>
      <c r="M57" s="7">
        <f t="shared" si="32"/>
        <v>0</v>
      </c>
      <c r="N57" s="10">
        <f t="shared" si="33"/>
        <v>0</v>
      </c>
      <c r="P57" s="84">
        <f>COUNTIFS('Future Events'!$G:$G,P$5,'Future Events'!$D:$D,$C57)</f>
        <v>0</v>
      </c>
      <c r="Q57" s="86">
        <f>SUMIFS('Future Events'!$I:$I,'Future Events'!$G:$G,Q$5,'Future Events'!$D:$D,$C57)</f>
        <v>0</v>
      </c>
      <c r="R57" s="10">
        <f t="shared" si="34"/>
        <v>0</v>
      </c>
      <c r="S57" s="10"/>
      <c r="U57" s="86">
        <v>0</v>
      </c>
      <c r="W57" s="206">
        <f t="shared" si="35"/>
        <v>2027</v>
      </c>
      <c r="X57" s="206" t="s">
        <v>257</v>
      </c>
      <c r="Y57" s="211">
        <f t="array" ref="Y57">INDEX('Adj. P&amp;L'!$3:$3,MATCH($C57,'Adj. P&amp;L'!$9:$9,0))</f>
        <v>1</v>
      </c>
      <c r="AB57" s="208"/>
      <c r="AD57" s="208"/>
    </row>
    <row r="58" spans="3:30" ht="15.75" customHeight="1">
      <c r="C58" s="67">
        <f t="shared" si="36"/>
        <v>46477</v>
      </c>
      <c r="D58" s="84">
        <f>COUNTIFS('Future Events'!$G:$G,D$5,'Future Events'!$D:$D,$C58)</f>
        <v>1</v>
      </c>
      <c r="E58" s="86">
        <f>SUMIFS('Future Events'!$I:$I,'Future Events'!$G:$G,E$5,'Future Events'!$D:$D,$C58)</f>
        <v>8500</v>
      </c>
      <c r="F58" s="10">
        <f t="shared" si="29"/>
        <v>8500</v>
      </c>
      <c r="H58" s="84">
        <f>COUNTIFS('Future Events'!$G:$G,H$5,'Future Events'!$D:$D,$C58)</f>
        <v>0</v>
      </c>
      <c r="I58" s="86">
        <f>SUMIFS('Future Events'!$I:$I,'Future Events'!$G:$G,I$5,'Future Events'!$D:$D,$C58)</f>
        <v>0</v>
      </c>
      <c r="J58" s="10">
        <f t="shared" si="30"/>
        <v>0</v>
      </c>
      <c r="L58" s="25">
        <f t="shared" si="31"/>
        <v>1</v>
      </c>
      <c r="M58" s="7">
        <f t="shared" si="32"/>
        <v>8500</v>
      </c>
      <c r="N58" s="10">
        <f t="shared" si="33"/>
        <v>8500</v>
      </c>
      <c r="P58" s="84">
        <f>COUNTIFS('Future Events'!$G:$G,P$5,'Future Events'!$D:$D,$C58)</f>
        <v>0</v>
      </c>
      <c r="Q58" s="86">
        <f>SUMIFS('Future Events'!$I:$I,'Future Events'!$G:$G,Q$5,'Future Events'!$D:$D,$C58)</f>
        <v>0</v>
      </c>
      <c r="R58" s="10">
        <f t="shared" si="34"/>
        <v>0</v>
      </c>
      <c r="S58" s="10"/>
      <c r="U58" s="86">
        <v>0</v>
      </c>
      <c r="W58" s="206">
        <f t="shared" si="35"/>
        <v>2027</v>
      </c>
      <c r="X58" s="206" t="s">
        <v>257</v>
      </c>
      <c r="Y58" s="211">
        <f t="array" ref="Y58">INDEX('Adj. P&amp;L'!$3:$3,MATCH($C58,'Adj. P&amp;L'!$9:$9,0))</f>
        <v>1</v>
      </c>
      <c r="AB58" s="208"/>
      <c r="AD58" s="208"/>
    </row>
    <row r="59" spans="3:30" ht="15.75" customHeight="1">
      <c r="C59" s="67">
        <f t="shared" si="36"/>
        <v>46507</v>
      </c>
      <c r="D59" s="84">
        <f>COUNTIFS('Future Events'!$G:$G,D$5,'Future Events'!$D:$D,$C59)</f>
        <v>2</v>
      </c>
      <c r="E59" s="86">
        <f>SUMIFS('Future Events'!$I:$I,'Future Events'!$G:$G,E$5,'Future Events'!$D:$D,$C59)</f>
        <v>8500</v>
      </c>
      <c r="F59" s="10">
        <f t="shared" si="29"/>
        <v>4250</v>
      </c>
      <c r="H59" s="84">
        <f>COUNTIFS('Future Events'!$G:$G,H$5,'Future Events'!$D:$D,$C59)</f>
        <v>7</v>
      </c>
      <c r="I59" s="86">
        <f>SUMIFS('Future Events'!$I:$I,'Future Events'!$G:$G,I$5,'Future Events'!$D:$D,$C59)</f>
        <v>62100</v>
      </c>
      <c r="J59" s="10">
        <f t="shared" si="30"/>
        <v>8871.4285714285706</v>
      </c>
      <c r="L59" s="25">
        <f t="shared" si="31"/>
        <v>9</v>
      </c>
      <c r="M59" s="7">
        <f t="shared" si="32"/>
        <v>70600</v>
      </c>
      <c r="N59" s="10">
        <f t="shared" si="33"/>
        <v>7844.4444444444443</v>
      </c>
      <c r="P59" s="84">
        <f>COUNTIFS('Future Events'!$G:$G,P$5,'Future Events'!$D:$D,$C59)</f>
        <v>0</v>
      </c>
      <c r="Q59" s="86">
        <f>SUMIFS('Future Events'!$I:$I,'Future Events'!$G:$G,Q$5,'Future Events'!$D:$D,$C59)</f>
        <v>0</v>
      </c>
      <c r="R59" s="10">
        <f t="shared" si="34"/>
        <v>0</v>
      </c>
      <c r="S59" s="10"/>
      <c r="U59" s="86">
        <v>0</v>
      </c>
      <c r="W59" s="206">
        <f t="shared" si="35"/>
        <v>2027</v>
      </c>
      <c r="X59" s="206" t="s">
        <v>257</v>
      </c>
      <c r="Y59" s="211">
        <f t="array" ref="Y59">INDEX('Adj. P&amp;L'!$3:$3,MATCH($C59,'Adj. P&amp;L'!$9:$9,0))</f>
        <v>1</v>
      </c>
      <c r="AB59" s="208"/>
      <c r="AD59" s="208"/>
    </row>
    <row r="60" spans="3:30" ht="15.75" customHeight="1">
      <c r="C60" s="67">
        <f t="shared" si="36"/>
        <v>46538</v>
      </c>
      <c r="D60" s="84">
        <f>COUNTIFS('Future Events'!$G:$G,D$5,'Future Events'!$D:$D,$C60)</f>
        <v>5</v>
      </c>
      <c r="E60" s="86">
        <f>SUMIFS('Future Events'!$I:$I,'Future Events'!$G:$G,E$5,'Future Events'!$D:$D,$C60)</f>
        <v>36750</v>
      </c>
      <c r="F60" s="10">
        <f t="shared" si="29"/>
        <v>7350</v>
      </c>
      <c r="H60" s="84">
        <f>COUNTIFS('Future Events'!$G:$G,H$5,'Future Events'!$D:$D,$C60)</f>
        <v>13</v>
      </c>
      <c r="I60" s="86">
        <f>SUMIFS('Future Events'!$I:$I,'Future Events'!$G:$G,I$5,'Future Events'!$D:$D,$C60)</f>
        <v>108250</v>
      </c>
      <c r="J60" s="10">
        <f t="shared" si="30"/>
        <v>8326.9230769230762</v>
      </c>
      <c r="L60" s="25">
        <f t="shared" si="31"/>
        <v>18</v>
      </c>
      <c r="M60" s="7">
        <f t="shared" si="32"/>
        <v>145000</v>
      </c>
      <c r="N60" s="10">
        <f t="shared" si="33"/>
        <v>8055.5555555555557</v>
      </c>
      <c r="P60" s="84">
        <f>COUNTIFS('Future Events'!$G:$G,P$5,'Future Events'!$D:$D,$C60)</f>
        <v>0</v>
      </c>
      <c r="Q60" s="86">
        <f>SUMIFS('Future Events'!$I:$I,'Future Events'!$G:$G,Q$5,'Future Events'!$D:$D,$C60)</f>
        <v>0</v>
      </c>
      <c r="R60" s="10">
        <f t="shared" si="34"/>
        <v>0</v>
      </c>
      <c r="S60" s="10"/>
      <c r="U60" s="86">
        <v>0</v>
      </c>
      <c r="W60" s="206">
        <f t="shared" si="35"/>
        <v>2027</v>
      </c>
      <c r="X60" s="210" t="s">
        <v>257</v>
      </c>
      <c r="Y60" s="211">
        <f t="array" ref="Y60">INDEX('Adj. P&amp;L'!$3:$3,MATCH($C60,'Adj. P&amp;L'!$9:$9,0))</f>
        <v>1</v>
      </c>
      <c r="AB60" s="208"/>
      <c r="AD60" s="208"/>
    </row>
    <row r="61" spans="3:30" ht="15.75" customHeight="1">
      <c r="C61" s="67">
        <f t="shared" si="36"/>
        <v>46568</v>
      </c>
      <c r="D61" s="84">
        <f>COUNTIFS('Future Events'!$G:$G,D$5,'Future Events'!$D:$D,$C61)</f>
        <v>1</v>
      </c>
      <c r="E61" s="86">
        <f>SUMIFS('Future Events'!$I:$I,'Future Events'!$G:$G,E$5,'Future Events'!$D:$D,$C61)</f>
        <v>7500</v>
      </c>
      <c r="F61" s="10">
        <f t="shared" si="29"/>
        <v>7500</v>
      </c>
      <c r="H61" s="84">
        <f>COUNTIFS('Future Events'!$G:$G,H$5,'Future Events'!$D:$D,$C61)</f>
        <v>10</v>
      </c>
      <c r="I61" s="86">
        <f>SUMIFS('Future Events'!$I:$I,'Future Events'!$G:$G,I$5,'Future Events'!$D:$D,$C61)</f>
        <v>86775</v>
      </c>
      <c r="J61" s="10">
        <f t="shared" si="30"/>
        <v>8677.5</v>
      </c>
      <c r="L61" s="25">
        <f t="shared" si="31"/>
        <v>11</v>
      </c>
      <c r="M61" s="7">
        <f t="shared" si="32"/>
        <v>94275</v>
      </c>
      <c r="N61" s="10">
        <f t="shared" si="33"/>
        <v>8570.454545454546</v>
      </c>
      <c r="P61" s="84">
        <f>COUNTIFS('Future Events'!$G:$G,P$5,'Future Events'!$D:$D,$C61)</f>
        <v>0</v>
      </c>
      <c r="Q61" s="86">
        <f>SUMIFS('Future Events'!$I:$I,'Future Events'!$G:$G,Q$5,'Future Events'!$D:$D,$C61)</f>
        <v>0</v>
      </c>
      <c r="R61" s="10">
        <f t="shared" si="34"/>
        <v>0</v>
      </c>
      <c r="S61" s="10"/>
      <c r="U61" s="86">
        <v>0</v>
      </c>
      <c r="W61" s="206">
        <f t="shared" si="35"/>
        <v>2027</v>
      </c>
      <c r="X61" s="206" t="s">
        <v>258</v>
      </c>
      <c r="Y61" s="211">
        <f t="array" ref="Y61">INDEX('Adj. P&amp;L'!$3:$3,MATCH($C61,'Adj. P&amp;L'!$9:$9,0))</f>
        <v>2</v>
      </c>
      <c r="AB61" s="208"/>
      <c r="AD61" s="208"/>
    </row>
    <row r="62" spans="3:30" ht="15.75" customHeight="1">
      <c r="C62" s="67">
        <f t="shared" si="36"/>
        <v>46599</v>
      </c>
      <c r="D62" s="84">
        <f>COUNTIFS('Future Events'!$G:$G,D$5,'Future Events'!$D:$D,$C62)</f>
        <v>0</v>
      </c>
      <c r="E62" s="86">
        <f>SUMIFS('Future Events'!$I:$I,'Future Events'!$G:$G,E$5,'Future Events'!$D:$D,$C62)</f>
        <v>0</v>
      </c>
      <c r="F62" s="10">
        <f t="shared" si="29"/>
        <v>0</v>
      </c>
      <c r="H62" s="84">
        <f>COUNTIFS('Future Events'!$G:$G,H$5,'Future Events'!$D:$D,$C62)</f>
        <v>2</v>
      </c>
      <c r="I62" s="86">
        <f>SUMIFS('Future Events'!$I:$I,'Future Events'!$G:$G,I$5,'Future Events'!$D:$D,$C62)</f>
        <v>16500</v>
      </c>
      <c r="J62" s="10">
        <f t="shared" si="30"/>
        <v>8250</v>
      </c>
      <c r="L62" s="25">
        <f t="shared" si="31"/>
        <v>2</v>
      </c>
      <c r="M62" s="7">
        <f t="shared" si="32"/>
        <v>16500</v>
      </c>
      <c r="N62" s="10">
        <f t="shared" si="33"/>
        <v>8250</v>
      </c>
      <c r="P62" s="84">
        <f>COUNTIFS('Future Events'!$G:$G,P$5,'Future Events'!$D:$D,$C62)</f>
        <v>0</v>
      </c>
      <c r="Q62" s="86">
        <f>SUMIFS('Future Events'!$I:$I,'Future Events'!$G:$G,Q$5,'Future Events'!$D:$D,$C62)</f>
        <v>0</v>
      </c>
      <c r="R62" s="10">
        <f t="shared" si="34"/>
        <v>0</v>
      </c>
      <c r="S62" s="10"/>
      <c r="U62" s="86">
        <v>0</v>
      </c>
      <c r="W62" s="206">
        <f t="shared" si="35"/>
        <v>2027</v>
      </c>
      <c r="X62" s="206" t="s">
        <v>258</v>
      </c>
      <c r="Y62" s="211">
        <f t="array" ref="Y62">INDEX('Adj. P&amp;L'!$3:$3,MATCH($C62,'Adj. P&amp;L'!$9:$9,0))</f>
        <v>2</v>
      </c>
      <c r="AB62" s="208"/>
      <c r="AD62" s="208"/>
    </row>
    <row r="63" spans="3:30" ht="15.75" customHeight="1">
      <c r="C63" s="67">
        <f t="shared" si="36"/>
        <v>46630</v>
      </c>
      <c r="D63" s="84">
        <f>COUNTIFS('Future Events'!$G:$G,D$5,'Future Events'!$D:$D,$C63)</f>
        <v>1</v>
      </c>
      <c r="E63" s="86">
        <f>SUMIFS('Future Events'!$I:$I,'Future Events'!$G:$G,E$5,'Future Events'!$D:$D,$C63)</f>
        <v>7500</v>
      </c>
      <c r="F63" s="10">
        <f t="shared" si="29"/>
        <v>7500</v>
      </c>
      <c r="H63" s="84">
        <f>COUNTIFS('Future Events'!$G:$G,H$5,'Future Events'!$D:$D,$C63)</f>
        <v>2</v>
      </c>
      <c r="I63" s="86">
        <f>SUMIFS('Future Events'!$I:$I,'Future Events'!$G:$G,I$5,'Future Events'!$D:$D,$C63)</f>
        <v>16500</v>
      </c>
      <c r="J63" s="10">
        <f t="shared" si="30"/>
        <v>8250</v>
      </c>
      <c r="L63" s="25">
        <f t="shared" si="31"/>
        <v>3</v>
      </c>
      <c r="M63" s="7">
        <f t="shared" si="32"/>
        <v>24000</v>
      </c>
      <c r="N63" s="10">
        <f t="shared" si="33"/>
        <v>8000</v>
      </c>
      <c r="P63" s="84">
        <f>COUNTIFS('Future Events'!$G:$G,P$5,'Future Events'!$D:$D,$C63)</f>
        <v>0</v>
      </c>
      <c r="Q63" s="86">
        <f>SUMIFS('Future Events'!$I:$I,'Future Events'!$G:$G,Q$5,'Future Events'!$D:$D,$C63)</f>
        <v>0</v>
      </c>
      <c r="R63" s="10">
        <f t="shared" si="34"/>
        <v>0</v>
      </c>
      <c r="S63" s="10"/>
      <c r="U63" s="86">
        <v>0</v>
      </c>
      <c r="W63" s="206">
        <f t="shared" si="35"/>
        <v>2027</v>
      </c>
      <c r="X63" s="206" t="s">
        <v>258</v>
      </c>
      <c r="Y63" s="211">
        <f t="array" ref="Y63">INDEX('Adj. P&amp;L'!$3:$3,MATCH($C63,'Adj. P&amp;L'!$9:$9,0))</f>
        <v>2</v>
      </c>
      <c r="AB63" s="208"/>
      <c r="AD63" s="208"/>
    </row>
    <row r="64" spans="3:30" ht="15.75" customHeight="1">
      <c r="C64" s="67">
        <f t="shared" si="36"/>
        <v>46660</v>
      </c>
      <c r="D64" s="84">
        <f>COUNTIFS('Future Events'!$G:$G,D$5,'Future Events'!$D:$D,$C64)</f>
        <v>3</v>
      </c>
      <c r="E64" s="86">
        <f>SUMIFS('Future Events'!$I:$I,'Future Events'!$G:$G,E$5,'Future Events'!$D:$D,$C64)</f>
        <v>22250</v>
      </c>
      <c r="F64" s="10">
        <f t="shared" si="29"/>
        <v>7416.666666666667</v>
      </c>
      <c r="H64" s="84">
        <f>COUNTIFS('Future Events'!$G:$G,H$5,'Future Events'!$D:$D,$C64)</f>
        <v>4</v>
      </c>
      <c r="I64" s="86">
        <f>SUMIFS('Future Events'!$I:$I,'Future Events'!$G:$G,I$5,'Future Events'!$D:$D,$C64)</f>
        <v>33500</v>
      </c>
      <c r="J64" s="10">
        <f t="shared" si="30"/>
        <v>8375</v>
      </c>
      <c r="L64" s="25">
        <f t="shared" si="31"/>
        <v>7</v>
      </c>
      <c r="M64" s="7">
        <f t="shared" si="32"/>
        <v>55750</v>
      </c>
      <c r="N64" s="10">
        <f t="shared" si="33"/>
        <v>7964.2857142857147</v>
      </c>
      <c r="P64" s="84">
        <f>COUNTIFS('Future Events'!$G:$G,P$5,'Future Events'!$D:$D,$C64)</f>
        <v>0</v>
      </c>
      <c r="Q64" s="86">
        <f>SUMIFS('Future Events'!$I:$I,'Future Events'!$G:$G,Q$5,'Future Events'!$D:$D,$C64)</f>
        <v>0</v>
      </c>
      <c r="R64" s="10">
        <f t="shared" si="34"/>
        <v>0</v>
      </c>
      <c r="S64" s="10"/>
      <c r="U64" s="86">
        <v>0</v>
      </c>
      <c r="W64" s="206">
        <f t="shared" si="35"/>
        <v>2027</v>
      </c>
      <c r="X64" s="206" t="s">
        <v>258</v>
      </c>
      <c r="Y64" s="211">
        <f t="array" ref="Y64">INDEX('Adj. P&amp;L'!$3:$3,MATCH($C64,'Adj. P&amp;L'!$9:$9,0))</f>
        <v>2</v>
      </c>
      <c r="AB64" s="208"/>
      <c r="AD64" s="208"/>
    </row>
    <row r="65" spans="3:30" ht="15.75" customHeight="1">
      <c r="C65" s="67">
        <f t="shared" si="36"/>
        <v>46691</v>
      </c>
      <c r="D65" s="84">
        <f>COUNTIFS('Future Events'!$G:$G,D$5,'Future Events'!$D:$D,$C65)</f>
        <v>1</v>
      </c>
      <c r="E65" s="86">
        <f>SUMIFS('Future Events'!$I:$I,'Future Events'!$G:$G,E$5,'Future Events'!$D:$D,$C65)</f>
        <v>7500</v>
      </c>
      <c r="F65" s="10">
        <f t="shared" si="29"/>
        <v>7500</v>
      </c>
      <c r="H65" s="84">
        <f>COUNTIFS('Future Events'!$G:$G,H$5,'Future Events'!$D:$D,$C65)</f>
        <v>4</v>
      </c>
      <c r="I65" s="86">
        <f>SUMIFS('Future Events'!$I:$I,'Future Events'!$G:$G,I$5,'Future Events'!$D:$D,$C65)</f>
        <v>35000</v>
      </c>
      <c r="J65" s="10">
        <f t="shared" si="30"/>
        <v>8750</v>
      </c>
      <c r="L65" s="25">
        <f t="shared" si="31"/>
        <v>5</v>
      </c>
      <c r="M65" s="7">
        <f t="shared" si="32"/>
        <v>42500</v>
      </c>
      <c r="N65" s="10">
        <f t="shared" si="33"/>
        <v>8500</v>
      </c>
      <c r="P65" s="84">
        <f>COUNTIFS('Future Events'!$G:$G,P$5,'Future Events'!$D:$D,$C65)</f>
        <v>0</v>
      </c>
      <c r="Q65" s="86">
        <f>SUMIFS('Future Events'!$I:$I,'Future Events'!$G:$G,Q$5,'Future Events'!$D:$D,$C65)</f>
        <v>0</v>
      </c>
      <c r="R65" s="10">
        <f t="shared" si="34"/>
        <v>0</v>
      </c>
      <c r="S65" s="10"/>
      <c r="U65" s="86">
        <v>0</v>
      </c>
      <c r="W65" s="206">
        <f t="shared" si="35"/>
        <v>2027</v>
      </c>
      <c r="X65" s="206" t="s">
        <v>258</v>
      </c>
      <c r="Y65" s="211">
        <f t="array" ref="Y65">INDEX('Adj. P&amp;L'!$3:$3,MATCH($C65,'Adj. P&amp;L'!$9:$9,0))</f>
        <v>2</v>
      </c>
      <c r="AB65" s="208"/>
      <c r="AD65" s="208"/>
    </row>
    <row r="66" spans="3:30" ht="15.75" customHeight="1">
      <c r="C66" s="67">
        <f t="shared" si="36"/>
        <v>46721</v>
      </c>
      <c r="D66" s="84">
        <f>COUNTIFS('Future Events'!$G:$G,D$5,'Future Events'!$D:$D,$C66)</f>
        <v>1</v>
      </c>
      <c r="E66" s="86">
        <f>SUMIFS('Future Events'!$I:$I,'Future Events'!$G:$G,E$5,'Future Events'!$D:$D,$C66)</f>
        <v>6750</v>
      </c>
      <c r="F66" s="10">
        <f t="shared" si="29"/>
        <v>6750</v>
      </c>
      <c r="H66" s="84">
        <f>COUNTIFS('Future Events'!$G:$G,H$5,'Future Events'!$D:$D,$C66)</f>
        <v>1</v>
      </c>
      <c r="I66" s="86">
        <f>SUMIFS('Future Events'!$I:$I,'Future Events'!$G:$G,I$5,'Future Events'!$D:$D,$C66)</f>
        <v>8500</v>
      </c>
      <c r="J66" s="10">
        <f t="shared" si="30"/>
        <v>8500</v>
      </c>
      <c r="L66" s="25">
        <f t="shared" si="31"/>
        <v>2</v>
      </c>
      <c r="M66" s="7">
        <f t="shared" si="32"/>
        <v>15250</v>
      </c>
      <c r="N66" s="10">
        <f t="shared" si="33"/>
        <v>7625</v>
      </c>
      <c r="P66" s="84">
        <f>COUNTIFS('Future Events'!$G:$G,P$5,'Future Events'!$D:$D,$C66)</f>
        <v>0</v>
      </c>
      <c r="Q66" s="86">
        <f>SUMIFS('Future Events'!$I:$I,'Future Events'!$G:$G,Q$5,'Future Events'!$D:$D,$C66)</f>
        <v>0</v>
      </c>
      <c r="R66" s="10">
        <f t="shared" si="34"/>
        <v>0</v>
      </c>
      <c r="S66" s="10"/>
      <c r="U66" s="86">
        <v>0</v>
      </c>
      <c r="W66" s="206">
        <f t="shared" si="35"/>
        <v>2027</v>
      </c>
      <c r="X66" s="206" t="s">
        <v>258</v>
      </c>
      <c r="Y66" s="211">
        <f t="array" ref="Y66">INDEX('Adj. P&amp;L'!$3:$3,MATCH($C66,'Adj. P&amp;L'!$9:$9,0))</f>
        <v>2</v>
      </c>
      <c r="AB66" s="208"/>
      <c r="AD66" s="208"/>
    </row>
    <row r="67" spans="3:30" ht="15.75" customHeight="1">
      <c r="C67" s="67">
        <f t="shared" si="36"/>
        <v>46752</v>
      </c>
      <c r="D67" s="84">
        <f>COUNTIFS('Future Events'!$G:$G,D$5,'Future Events'!$D:$D,$C67)</f>
        <v>0</v>
      </c>
      <c r="E67" s="86">
        <f>SUMIFS('Future Events'!$I:$I,'Future Events'!$G:$G,E$5,'Future Events'!$D:$D,$C67)</f>
        <v>0</v>
      </c>
      <c r="F67" s="10">
        <f t="shared" si="29"/>
        <v>0</v>
      </c>
      <c r="H67" s="84">
        <f>COUNTIFS('Future Events'!$G:$G,H$5,'Future Events'!$D:$D,$C67)</f>
        <v>0</v>
      </c>
      <c r="I67" s="86">
        <f>SUMIFS('Future Events'!$I:$I,'Future Events'!$G:$G,I$5,'Future Events'!$D:$D,$C67)</f>
        <v>0</v>
      </c>
      <c r="J67" s="10">
        <f t="shared" si="30"/>
        <v>0</v>
      </c>
      <c r="L67" s="25">
        <f t="shared" si="31"/>
        <v>0</v>
      </c>
      <c r="M67" s="7">
        <f t="shared" si="32"/>
        <v>0</v>
      </c>
      <c r="N67" s="10">
        <f t="shared" si="33"/>
        <v>0</v>
      </c>
      <c r="P67" s="84">
        <f>COUNTIFS('Future Events'!$G:$G,P$5,'Future Events'!$D:$D,$C67)</f>
        <v>0</v>
      </c>
      <c r="Q67" s="86">
        <f>SUMIFS('Future Events'!$I:$I,'Future Events'!$G:$G,Q$5,'Future Events'!$D:$D,$C67)</f>
        <v>0</v>
      </c>
      <c r="R67" s="10">
        <f t="shared" si="34"/>
        <v>0</v>
      </c>
      <c r="S67" s="10"/>
      <c r="U67" s="86">
        <v>0</v>
      </c>
      <c r="W67" s="206">
        <f t="shared" si="35"/>
        <v>2027</v>
      </c>
      <c r="X67" s="206" t="s">
        <v>258</v>
      </c>
      <c r="Y67" s="211">
        <f t="array" ref="Y67">INDEX('Adj. P&amp;L'!$3:$3,MATCH($C67,'Adj. P&amp;L'!$9:$9,0))</f>
        <v>2</v>
      </c>
      <c r="AB67" s="208"/>
      <c r="AD67" s="208"/>
    </row>
    <row r="68" spans="3:30" ht="15.75" customHeight="1">
      <c r="C68" s="67">
        <f t="shared" si="36"/>
        <v>46783</v>
      </c>
      <c r="D68" s="84">
        <f>COUNTIFS('Future Events'!$G:$G,D$5,'Future Events'!$D:$D,$C68)</f>
        <v>0</v>
      </c>
      <c r="E68" s="86">
        <f>SUMIFS('Future Events'!$I:$I,'Future Events'!$G:$G,E$5,'Future Events'!$D:$D,$C68)</f>
        <v>0</v>
      </c>
      <c r="F68" s="10">
        <f t="shared" si="29"/>
        <v>0</v>
      </c>
      <c r="H68" s="84">
        <f>COUNTIFS('Future Events'!$G:$G,H$5,'Future Events'!$D:$D,$C68)</f>
        <v>0</v>
      </c>
      <c r="I68" s="86">
        <f>SUMIFS('Future Events'!$I:$I,'Future Events'!$G:$G,I$5,'Future Events'!$D:$D,$C68)</f>
        <v>0</v>
      </c>
      <c r="J68" s="10">
        <f t="shared" si="30"/>
        <v>0</v>
      </c>
      <c r="L68" s="25">
        <f t="shared" si="31"/>
        <v>0</v>
      </c>
      <c r="M68" s="7">
        <f t="shared" si="32"/>
        <v>0</v>
      </c>
      <c r="N68" s="10">
        <f t="shared" si="33"/>
        <v>0</v>
      </c>
      <c r="P68" s="84">
        <f>COUNTIFS('Future Events'!$G:$G,P$5,'Future Events'!$D:$D,$C68)</f>
        <v>0</v>
      </c>
      <c r="Q68" s="86">
        <f>SUMIFS('Future Events'!$I:$I,'Future Events'!$G:$G,Q$5,'Future Events'!$D:$D,$C68)</f>
        <v>0</v>
      </c>
      <c r="R68" s="10">
        <f t="shared" si="34"/>
        <v>0</v>
      </c>
      <c r="S68" s="10"/>
      <c r="U68" s="86">
        <v>0</v>
      </c>
      <c r="W68" s="206">
        <f t="shared" si="35"/>
        <v>2028</v>
      </c>
      <c r="X68" s="206" t="s">
        <v>258</v>
      </c>
      <c r="Y68" s="211">
        <f t="array" ref="Y68">INDEX('Adj. P&amp;L'!$3:$3,MATCH($C68,'Adj. P&amp;L'!$9:$9,0))</f>
        <v>2</v>
      </c>
      <c r="AB68" s="208"/>
      <c r="AD68" s="208"/>
    </row>
    <row r="69" spans="3:30" ht="15.75" customHeight="1">
      <c r="C69" s="67">
        <f t="shared" si="36"/>
        <v>46812</v>
      </c>
      <c r="D69" s="84">
        <f>COUNTIFS('Future Events'!$G:$G,D$5,'Future Events'!$D:$D,$C69)</f>
        <v>0</v>
      </c>
      <c r="E69" s="86">
        <f>SUMIFS('Future Events'!$I:$I,'Future Events'!$G:$G,E$5,'Future Events'!$D:$D,$C69)</f>
        <v>0</v>
      </c>
      <c r="F69" s="10">
        <f t="shared" si="29"/>
        <v>0</v>
      </c>
      <c r="H69" s="84">
        <f>COUNTIFS('Future Events'!$G:$G,H$5,'Future Events'!$D:$D,$C69)</f>
        <v>0</v>
      </c>
      <c r="I69" s="86">
        <f>SUMIFS('Future Events'!$I:$I,'Future Events'!$G:$G,I$5,'Future Events'!$D:$D,$C69)</f>
        <v>0</v>
      </c>
      <c r="J69" s="10">
        <f t="shared" si="30"/>
        <v>0</v>
      </c>
      <c r="L69" s="25">
        <f t="shared" si="31"/>
        <v>0</v>
      </c>
      <c r="M69" s="7">
        <f t="shared" si="32"/>
        <v>0</v>
      </c>
      <c r="N69" s="10">
        <f t="shared" si="33"/>
        <v>0</v>
      </c>
      <c r="P69" s="84">
        <f>COUNTIFS('Future Events'!$G:$G,P$5,'Future Events'!$D:$D,$C69)</f>
        <v>0</v>
      </c>
      <c r="Q69" s="86">
        <f>SUMIFS('Future Events'!$I:$I,'Future Events'!$G:$G,Q$5,'Future Events'!$D:$D,$C69)</f>
        <v>0</v>
      </c>
      <c r="R69" s="10">
        <f t="shared" si="34"/>
        <v>0</v>
      </c>
      <c r="S69" s="10"/>
      <c r="U69" s="86">
        <v>0</v>
      </c>
      <c r="W69" s="206">
        <f t="shared" si="35"/>
        <v>2028</v>
      </c>
      <c r="X69" s="206" t="s">
        <v>258</v>
      </c>
      <c r="Y69" s="211">
        <f t="array" ref="Y69">INDEX('Adj. P&amp;L'!$3:$3,MATCH($C69,'Adj. P&amp;L'!$9:$9,0))</f>
        <v>2</v>
      </c>
      <c r="AB69" s="208"/>
      <c r="AD69" s="208"/>
    </row>
    <row r="70" spans="3:30" ht="15.75" customHeight="1">
      <c r="C70" s="67">
        <f t="shared" si="36"/>
        <v>46843</v>
      </c>
      <c r="D70" s="84">
        <f>COUNTIFS('Future Events'!$G:$G,D$5,'Future Events'!$D:$D,$C70)</f>
        <v>0</v>
      </c>
      <c r="E70" s="86">
        <f>SUMIFS('Future Events'!$I:$I,'Future Events'!$G:$G,E$5,'Future Events'!$D:$D,$C70)</f>
        <v>0</v>
      </c>
      <c r="F70" s="10">
        <f t="shared" si="29"/>
        <v>0</v>
      </c>
      <c r="H70" s="84">
        <f>COUNTIFS('Future Events'!$G:$G,H$5,'Future Events'!$D:$D,$C70)</f>
        <v>0</v>
      </c>
      <c r="I70" s="86">
        <f>SUMIFS('Future Events'!$I:$I,'Future Events'!$G:$G,I$5,'Future Events'!$D:$D,$C70)</f>
        <v>0</v>
      </c>
      <c r="J70" s="10">
        <f t="shared" si="30"/>
        <v>0</v>
      </c>
      <c r="L70" s="25">
        <f t="shared" si="31"/>
        <v>0</v>
      </c>
      <c r="M70" s="7">
        <f t="shared" si="32"/>
        <v>0</v>
      </c>
      <c r="N70" s="10">
        <f t="shared" si="33"/>
        <v>0</v>
      </c>
      <c r="P70" s="84">
        <f>COUNTIFS('Future Events'!$G:$G,P$5,'Future Events'!$D:$D,$C70)</f>
        <v>0</v>
      </c>
      <c r="Q70" s="86">
        <f>SUMIFS('Future Events'!$I:$I,'Future Events'!$G:$G,Q$5,'Future Events'!$D:$D,$C70)</f>
        <v>0</v>
      </c>
      <c r="R70" s="10">
        <f t="shared" si="34"/>
        <v>0</v>
      </c>
      <c r="S70" s="10"/>
      <c r="U70" s="86">
        <v>0</v>
      </c>
      <c r="W70" s="206">
        <f t="shared" si="35"/>
        <v>2028</v>
      </c>
      <c r="X70" s="206" t="s">
        <v>258</v>
      </c>
      <c r="Y70" s="211">
        <f t="array" ref="Y70">INDEX('Adj. P&amp;L'!$3:$3,MATCH($C70,'Adj. P&amp;L'!$9:$9,0))</f>
        <v>2</v>
      </c>
      <c r="AB70" s="208"/>
      <c r="AD70" s="208"/>
    </row>
    <row r="71" spans="3:30" ht="15.75" customHeight="1">
      <c r="C71" s="67">
        <f t="shared" si="36"/>
        <v>46873</v>
      </c>
      <c r="D71" s="84">
        <f>COUNTIFS('Future Events'!$G:$G,D$5,'Future Events'!$D:$D,$C71)</f>
        <v>0</v>
      </c>
      <c r="E71" s="86">
        <f>SUMIFS('Future Events'!$I:$I,'Future Events'!$G:$G,E$5,'Future Events'!$D:$D,$C71)</f>
        <v>0</v>
      </c>
      <c r="F71" s="10">
        <f t="shared" si="29"/>
        <v>0</v>
      </c>
      <c r="H71" s="84">
        <f>COUNTIFS('Future Events'!$G:$G,H$5,'Future Events'!$D:$D,$C71)</f>
        <v>0</v>
      </c>
      <c r="I71" s="86">
        <f>SUMIFS('Future Events'!$I:$I,'Future Events'!$G:$G,I$5,'Future Events'!$D:$D,$C71)</f>
        <v>0</v>
      </c>
      <c r="J71" s="10">
        <f t="shared" si="30"/>
        <v>0</v>
      </c>
      <c r="L71" s="25">
        <f t="shared" si="31"/>
        <v>0</v>
      </c>
      <c r="M71" s="7">
        <f t="shared" si="32"/>
        <v>0</v>
      </c>
      <c r="N71" s="10">
        <f t="shared" si="33"/>
        <v>0</v>
      </c>
      <c r="P71" s="84">
        <f>COUNTIFS('Future Events'!$G:$G,P$5,'Future Events'!$D:$D,$C71)</f>
        <v>0</v>
      </c>
      <c r="Q71" s="86">
        <f>SUMIFS('Future Events'!$I:$I,'Future Events'!$G:$G,Q$5,'Future Events'!$D:$D,$C71)</f>
        <v>0</v>
      </c>
      <c r="R71" s="10">
        <f t="shared" si="34"/>
        <v>0</v>
      </c>
      <c r="S71" s="10"/>
      <c r="U71" s="86">
        <v>0</v>
      </c>
      <c r="W71" s="206">
        <f t="shared" si="35"/>
        <v>2028</v>
      </c>
      <c r="X71" s="206" t="s">
        <v>258</v>
      </c>
      <c r="Y71" s="211">
        <f t="array" ref="Y71">INDEX('Adj. P&amp;L'!$3:$3,MATCH($C71,'Adj. P&amp;L'!$9:$9,0))</f>
        <v>2</v>
      </c>
      <c r="AB71" s="208"/>
      <c r="AD71" s="208"/>
    </row>
    <row r="72" spans="3:30" ht="15.75" customHeight="1">
      <c r="C72" s="67">
        <f t="shared" si="36"/>
        <v>46904</v>
      </c>
      <c r="D72" s="84">
        <f>COUNTIFS('Future Events'!$G:$G,D$5,'Future Events'!$D:$D,$C72)</f>
        <v>0</v>
      </c>
      <c r="E72" s="86">
        <f>SUMIFS('Future Events'!$I:$I,'Future Events'!$G:$G,E$5,'Future Events'!$D:$D,$C72)</f>
        <v>0</v>
      </c>
      <c r="F72" s="10">
        <f t="shared" si="29"/>
        <v>0</v>
      </c>
      <c r="H72" s="84">
        <f>COUNTIFS('Future Events'!$G:$G,H$5,'Future Events'!$D:$D,$C72)</f>
        <v>0</v>
      </c>
      <c r="I72" s="86">
        <f>SUMIFS('Future Events'!$I:$I,'Future Events'!$G:$G,I$5,'Future Events'!$D:$D,$C72)</f>
        <v>0</v>
      </c>
      <c r="J72" s="10">
        <f t="shared" si="30"/>
        <v>0</v>
      </c>
      <c r="L72" s="25">
        <f t="shared" si="31"/>
        <v>0</v>
      </c>
      <c r="M72" s="7">
        <f t="shared" si="32"/>
        <v>0</v>
      </c>
      <c r="N72" s="10">
        <f t="shared" si="33"/>
        <v>0</v>
      </c>
      <c r="P72" s="84">
        <f>COUNTIFS('Future Events'!$G:$G,P$5,'Future Events'!$D:$D,$C72)</f>
        <v>0</v>
      </c>
      <c r="Q72" s="86">
        <f>SUMIFS('Future Events'!$I:$I,'Future Events'!$G:$G,Q$5,'Future Events'!$D:$D,$C72)</f>
        <v>0</v>
      </c>
      <c r="R72" s="10">
        <f t="shared" si="34"/>
        <v>0</v>
      </c>
      <c r="S72" s="10"/>
      <c r="U72" s="86">
        <v>0</v>
      </c>
      <c r="W72" s="206">
        <f t="shared" si="35"/>
        <v>2028</v>
      </c>
      <c r="X72" s="210" t="s">
        <v>258</v>
      </c>
      <c r="Y72" s="211">
        <f t="array" ref="Y72">INDEX('Adj. P&amp;L'!$3:$3,MATCH($C72,'Adj. P&amp;L'!$9:$9,0))</f>
        <v>2</v>
      </c>
      <c r="AB72" s="208"/>
      <c r="AD72" s="208"/>
    </row>
    <row r="73" spans="3:30" ht="15.75" customHeight="1">
      <c r="C73" s="67">
        <f t="shared" si="36"/>
        <v>46934</v>
      </c>
      <c r="D73" s="84">
        <f>COUNTIFS('Future Events'!$G:$G,D$5,'Future Events'!$D:$D,$C73)</f>
        <v>0</v>
      </c>
      <c r="E73" s="86">
        <f>SUMIFS('Future Events'!$I:$I,'Future Events'!$G:$G,E$5,'Future Events'!$D:$D,$C73)</f>
        <v>0</v>
      </c>
      <c r="F73" s="10">
        <f t="shared" si="29"/>
        <v>0</v>
      </c>
      <c r="H73" s="84">
        <f>COUNTIFS('Future Events'!$G:$G,H$5,'Future Events'!$D:$D,$C73)</f>
        <v>0</v>
      </c>
      <c r="I73" s="86">
        <f>SUMIFS('Future Events'!$I:$I,'Future Events'!$G:$G,I$5,'Future Events'!$D:$D,$C73)</f>
        <v>0</v>
      </c>
      <c r="J73" s="10">
        <f t="shared" si="30"/>
        <v>0</v>
      </c>
      <c r="L73" s="25">
        <f t="shared" si="31"/>
        <v>0</v>
      </c>
      <c r="M73" s="7">
        <f t="shared" si="32"/>
        <v>0</v>
      </c>
      <c r="N73" s="10">
        <f t="shared" si="33"/>
        <v>0</v>
      </c>
      <c r="P73" s="84">
        <f>COUNTIFS('Future Events'!$G:$G,P$5,'Future Events'!$D:$D,$C73)</f>
        <v>0</v>
      </c>
      <c r="Q73" s="86">
        <f>SUMIFS('Future Events'!$I:$I,'Future Events'!$G:$G,Q$5,'Future Events'!$D:$D,$C73)</f>
        <v>0</v>
      </c>
      <c r="R73" s="10">
        <f t="shared" si="34"/>
        <v>0</v>
      </c>
      <c r="S73" s="10"/>
      <c r="U73" s="86">
        <v>0</v>
      </c>
      <c r="W73" s="206">
        <f t="shared" si="35"/>
        <v>2028</v>
      </c>
      <c r="X73" s="206" t="s">
        <v>260</v>
      </c>
      <c r="Y73" s="211">
        <f t="array" ref="Y73">INDEX('Adj. P&amp;L'!$3:$3,MATCH($C73,'Adj. P&amp;L'!$9:$9,0))</f>
        <v>3</v>
      </c>
      <c r="AB73" s="208"/>
      <c r="AD73" s="208"/>
    </row>
    <row r="74" spans="3:30" ht="15.75" customHeight="1">
      <c r="C74" s="67">
        <f t="shared" si="36"/>
        <v>46965</v>
      </c>
      <c r="D74" s="84">
        <f>COUNTIFS('Future Events'!$G:$G,D$5,'Future Events'!$D:$D,$C74)</f>
        <v>0</v>
      </c>
      <c r="E74" s="86">
        <f>SUMIFS('Future Events'!$I:$I,'Future Events'!$G:$G,E$5,'Future Events'!$D:$D,$C74)</f>
        <v>0</v>
      </c>
      <c r="F74" s="10">
        <f t="shared" si="29"/>
        <v>0</v>
      </c>
      <c r="H74" s="84">
        <f>COUNTIFS('Future Events'!$G:$G,H$5,'Future Events'!$D:$D,$C74)</f>
        <v>0</v>
      </c>
      <c r="I74" s="86">
        <f>SUMIFS('Future Events'!$I:$I,'Future Events'!$G:$G,I$5,'Future Events'!$D:$D,$C74)</f>
        <v>0</v>
      </c>
      <c r="J74" s="10">
        <f t="shared" si="30"/>
        <v>0</v>
      </c>
      <c r="L74" s="25">
        <f t="shared" si="31"/>
        <v>0</v>
      </c>
      <c r="M74" s="7">
        <f t="shared" si="32"/>
        <v>0</v>
      </c>
      <c r="N74" s="10">
        <f t="shared" si="33"/>
        <v>0</v>
      </c>
      <c r="P74" s="84">
        <f>COUNTIFS('Future Events'!$G:$G,P$5,'Future Events'!$D:$D,$C74)</f>
        <v>0</v>
      </c>
      <c r="Q74" s="86">
        <f>SUMIFS('Future Events'!$I:$I,'Future Events'!$G:$G,Q$5,'Future Events'!$D:$D,$C74)</f>
        <v>0</v>
      </c>
      <c r="R74" s="10">
        <f t="shared" si="34"/>
        <v>0</v>
      </c>
      <c r="S74" s="10"/>
      <c r="U74" s="86">
        <v>0</v>
      </c>
      <c r="W74" s="206">
        <f t="shared" si="35"/>
        <v>2028</v>
      </c>
      <c r="X74" s="206" t="s">
        <v>260</v>
      </c>
      <c r="Y74" s="211">
        <f t="array" ref="Y74">INDEX('Adj. P&amp;L'!$3:$3,MATCH($C74,'Adj. P&amp;L'!$9:$9,0))</f>
        <v>3</v>
      </c>
      <c r="AB74" s="208"/>
      <c r="AD74" s="208"/>
    </row>
    <row r="75" spans="3:30" ht="15.75" customHeight="1">
      <c r="C75" s="67">
        <f t="shared" si="36"/>
        <v>46996</v>
      </c>
      <c r="D75" s="84">
        <f>COUNTIFS('Future Events'!$G:$G,D$5,'Future Events'!$D:$D,$C75)</f>
        <v>0</v>
      </c>
      <c r="E75" s="86">
        <f>SUMIFS('Future Events'!$I:$I,'Future Events'!$G:$G,E$5,'Future Events'!$D:$D,$C75)</f>
        <v>0</v>
      </c>
      <c r="F75" s="10">
        <f t="shared" si="29"/>
        <v>0</v>
      </c>
      <c r="H75" s="84">
        <f>COUNTIFS('Future Events'!$G:$G,H$5,'Future Events'!$D:$D,$C75)</f>
        <v>0</v>
      </c>
      <c r="I75" s="86">
        <f>SUMIFS('Future Events'!$I:$I,'Future Events'!$G:$G,I$5,'Future Events'!$D:$D,$C75)</f>
        <v>0</v>
      </c>
      <c r="J75" s="10">
        <f t="shared" si="30"/>
        <v>0</v>
      </c>
      <c r="L75" s="25">
        <f t="shared" si="31"/>
        <v>0</v>
      </c>
      <c r="M75" s="7">
        <f t="shared" si="32"/>
        <v>0</v>
      </c>
      <c r="N75" s="10">
        <f t="shared" si="33"/>
        <v>0</v>
      </c>
      <c r="P75" s="84">
        <f>COUNTIFS('Future Events'!$G:$G,P$5,'Future Events'!$D:$D,$C75)</f>
        <v>0</v>
      </c>
      <c r="Q75" s="86">
        <f>SUMIFS('Future Events'!$I:$I,'Future Events'!$G:$G,Q$5,'Future Events'!$D:$D,$C75)</f>
        <v>0</v>
      </c>
      <c r="R75" s="10">
        <f t="shared" si="34"/>
        <v>0</v>
      </c>
      <c r="S75" s="10"/>
      <c r="U75" s="86">
        <v>0</v>
      </c>
      <c r="W75" s="206">
        <f t="shared" si="35"/>
        <v>2028</v>
      </c>
      <c r="X75" s="206" t="s">
        <v>260</v>
      </c>
      <c r="Y75" s="211">
        <f t="array" ref="Y75">INDEX('Adj. P&amp;L'!$3:$3,MATCH($C75,'Adj. P&amp;L'!$9:$9,0))</f>
        <v>3</v>
      </c>
      <c r="AB75" s="208"/>
      <c r="AD75" s="208"/>
    </row>
    <row r="76" spans="3:30" ht="15.75" customHeight="1">
      <c r="C76" s="67">
        <f t="shared" si="36"/>
        <v>47026</v>
      </c>
      <c r="D76" s="84">
        <f>COUNTIFS('Future Events'!$G:$G,D$5,'Future Events'!$D:$D,$C76)</f>
        <v>0</v>
      </c>
      <c r="E76" s="86">
        <f>SUMIFS('Future Events'!$I:$I,'Future Events'!$G:$G,E$5,'Future Events'!$D:$D,$C76)</f>
        <v>0</v>
      </c>
      <c r="F76" s="10">
        <f t="shared" si="29"/>
        <v>0</v>
      </c>
      <c r="H76" s="84">
        <f>COUNTIFS('Future Events'!$G:$G,H$5,'Future Events'!$D:$D,$C76)</f>
        <v>0</v>
      </c>
      <c r="I76" s="86">
        <f>SUMIFS('Future Events'!$I:$I,'Future Events'!$G:$G,I$5,'Future Events'!$D:$D,$C76)</f>
        <v>0</v>
      </c>
      <c r="J76" s="10">
        <f t="shared" si="30"/>
        <v>0</v>
      </c>
      <c r="L76" s="25">
        <f t="shared" si="31"/>
        <v>0</v>
      </c>
      <c r="M76" s="7">
        <f t="shared" si="32"/>
        <v>0</v>
      </c>
      <c r="N76" s="10">
        <f t="shared" si="33"/>
        <v>0</v>
      </c>
      <c r="P76" s="84">
        <f>COUNTIFS('Future Events'!$G:$G,P$5,'Future Events'!$D:$D,$C76)</f>
        <v>0</v>
      </c>
      <c r="Q76" s="86">
        <f>SUMIFS('Future Events'!$I:$I,'Future Events'!$G:$G,Q$5,'Future Events'!$D:$D,$C76)</f>
        <v>0</v>
      </c>
      <c r="R76" s="10">
        <f t="shared" si="34"/>
        <v>0</v>
      </c>
      <c r="S76" s="10"/>
      <c r="U76" s="86">
        <v>0</v>
      </c>
      <c r="W76" s="206">
        <f t="shared" si="35"/>
        <v>2028</v>
      </c>
      <c r="X76" s="206" t="s">
        <v>260</v>
      </c>
      <c r="Y76" s="211">
        <f t="array" ref="Y76">INDEX('Adj. P&amp;L'!$3:$3,MATCH($C76,'Adj. P&amp;L'!$9:$9,0))</f>
        <v>3</v>
      </c>
      <c r="AB76" s="208"/>
      <c r="AD76" s="208"/>
    </row>
    <row r="77" spans="3:30" ht="15.75" customHeight="1">
      <c r="C77" s="67">
        <f t="shared" si="36"/>
        <v>47057</v>
      </c>
      <c r="D77" s="84">
        <f>COUNTIFS('Future Events'!$G:$G,D$5,'Future Events'!$D:$D,$C77)</f>
        <v>0</v>
      </c>
      <c r="E77" s="86">
        <f>SUMIFS('Future Events'!$I:$I,'Future Events'!$G:$G,E$5,'Future Events'!$D:$D,$C77)</f>
        <v>0</v>
      </c>
      <c r="F77" s="10">
        <f t="shared" si="29"/>
        <v>0</v>
      </c>
      <c r="H77" s="84">
        <f>COUNTIFS('Future Events'!$G:$G,H$5,'Future Events'!$D:$D,$C77)</f>
        <v>0</v>
      </c>
      <c r="I77" s="86">
        <f>SUMIFS('Future Events'!$I:$I,'Future Events'!$G:$G,I$5,'Future Events'!$D:$D,$C77)</f>
        <v>0</v>
      </c>
      <c r="J77" s="10">
        <f t="shared" si="30"/>
        <v>0</v>
      </c>
      <c r="L77" s="25">
        <f t="shared" si="31"/>
        <v>0</v>
      </c>
      <c r="M77" s="7">
        <f t="shared" si="32"/>
        <v>0</v>
      </c>
      <c r="N77" s="10">
        <f t="shared" si="33"/>
        <v>0</v>
      </c>
      <c r="P77" s="84">
        <f>COUNTIFS('Future Events'!$G:$G,P$5,'Future Events'!$D:$D,$C77)</f>
        <v>0</v>
      </c>
      <c r="Q77" s="86">
        <f>SUMIFS('Future Events'!$I:$I,'Future Events'!$G:$G,Q$5,'Future Events'!$D:$D,$C77)</f>
        <v>0</v>
      </c>
      <c r="R77" s="10">
        <f t="shared" si="34"/>
        <v>0</v>
      </c>
      <c r="S77" s="10"/>
      <c r="U77" s="86">
        <v>0</v>
      </c>
      <c r="W77" s="206">
        <f t="shared" si="35"/>
        <v>2028</v>
      </c>
      <c r="X77" s="206" t="s">
        <v>260</v>
      </c>
      <c r="Y77" s="211">
        <f t="array" ref="Y77">INDEX('Adj. P&amp;L'!$3:$3,MATCH($C77,'Adj. P&amp;L'!$9:$9,0))</f>
        <v>3</v>
      </c>
      <c r="AB77" s="208"/>
      <c r="AD77" s="208"/>
    </row>
    <row r="78" spans="3:30" ht="15.75" customHeight="1">
      <c r="C78" s="67">
        <f t="shared" si="36"/>
        <v>47087</v>
      </c>
      <c r="D78" s="84">
        <f>COUNTIFS('Future Events'!$G:$G,D$5,'Future Events'!$D:$D,$C78)</f>
        <v>0</v>
      </c>
      <c r="E78" s="86">
        <f>SUMIFS('Future Events'!$I:$I,'Future Events'!$G:$G,E$5,'Future Events'!$D:$D,$C78)</f>
        <v>0</v>
      </c>
      <c r="F78" s="10">
        <f t="shared" si="29"/>
        <v>0</v>
      </c>
      <c r="H78" s="84">
        <f>COUNTIFS('Future Events'!$G:$G,H$5,'Future Events'!$D:$D,$C78)</f>
        <v>0</v>
      </c>
      <c r="I78" s="86">
        <f>SUMIFS('Future Events'!$I:$I,'Future Events'!$G:$G,I$5,'Future Events'!$D:$D,$C78)</f>
        <v>0</v>
      </c>
      <c r="J78" s="10">
        <f t="shared" si="30"/>
        <v>0</v>
      </c>
      <c r="L78" s="25">
        <f t="shared" si="31"/>
        <v>0</v>
      </c>
      <c r="M78" s="7">
        <f t="shared" si="32"/>
        <v>0</v>
      </c>
      <c r="N78" s="10">
        <f t="shared" si="33"/>
        <v>0</v>
      </c>
      <c r="P78" s="84">
        <f>COUNTIFS('Future Events'!$G:$G,P$5,'Future Events'!$D:$D,$C78)</f>
        <v>0</v>
      </c>
      <c r="Q78" s="86">
        <f>SUMIFS('Future Events'!$I:$I,'Future Events'!$G:$G,Q$5,'Future Events'!$D:$D,$C78)</f>
        <v>0</v>
      </c>
      <c r="R78" s="10">
        <f t="shared" si="34"/>
        <v>0</v>
      </c>
      <c r="S78" s="10"/>
      <c r="U78" s="86">
        <v>0</v>
      </c>
      <c r="W78" s="206">
        <f t="shared" si="35"/>
        <v>2028</v>
      </c>
      <c r="X78" s="206" t="s">
        <v>260</v>
      </c>
      <c r="Y78" s="211">
        <f t="array" ref="Y78">INDEX('Adj. P&amp;L'!$3:$3,MATCH($C78,'Adj. P&amp;L'!$9:$9,0))</f>
        <v>3</v>
      </c>
      <c r="AB78" s="208"/>
      <c r="AD78" s="208"/>
    </row>
    <row r="79" spans="3:30" ht="15.75" customHeight="1">
      <c r="C79" s="67">
        <f t="shared" si="36"/>
        <v>47118</v>
      </c>
      <c r="D79" s="84">
        <f>COUNTIFS('Future Events'!$G:$G,D$5,'Future Events'!$D:$D,$C79)</f>
        <v>0</v>
      </c>
      <c r="E79" s="86">
        <f>SUMIFS('Future Events'!$I:$I,'Future Events'!$G:$G,E$5,'Future Events'!$D:$D,$C79)</f>
        <v>0</v>
      </c>
      <c r="F79" s="10">
        <f t="shared" si="29"/>
        <v>0</v>
      </c>
      <c r="H79" s="84">
        <f>COUNTIFS('Future Events'!$G:$G,H$5,'Future Events'!$D:$D,$C79)</f>
        <v>0</v>
      </c>
      <c r="I79" s="86">
        <f>SUMIFS('Future Events'!$I:$I,'Future Events'!$G:$G,I$5,'Future Events'!$D:$D,$C79)</f>
        <v>0</v>
      </c>
      <c r="J79" s="10">
        <f t="shared" si="30"/>
        <v>0</v>
      </c>
      <c r="L79" s="25">
        <f t="shared" si="31"/>
        <v>0</v>
      </c>
      <c r="M79" s="7">
        <f t="shared" si="32"/>
        <v>0</v>
      </c>
      <c r="N79" s="10">
        <f t="shared" si="33"/>
        <v>0</v>
      </c>
      <c r="P79" s="84">
        <f>COUNTIFS('Future Events'!$G:$G,P$5,'Future Events'!$D:$D,$C79)</f>
        <v>0</v>
      </c>
      <c r="Q79" s="86">
        <f>SUMIFS('Future Events'!$I:$I,'Future Events'!$G:$G,Q$5,'Future Events'!$D:$D,$C79)</f>
        <v>0</v>
      </c>
      <c r="R79" s="10">
        <f t="shared" si="34"/>
        <v>0</v>
      </c>
      <c r="S79" s="10"/>
      <c r="U79" s="86">
        <v>0</v>
      </c>
      <c r="W79" s="206">
        <f t="shared" si="35"/>
        <v>2028</v>
      </c>
      <c r="X79" s="206" t="s">
        <v>260</v>
      </c>
      <c r="Y79" s="211">
        <f t="array" ref="Y79">INDEX('Adj. P&amp;L'!$3:$3,MATCH($C79,'Adj. P&amp;L'!$9:$9,0))</f>
        <v>3</v>
      </c>
      <c r="AB79" s="208"/>
      <c r="AD79" s="208"/>
    </row>
    <row r="80" spans="3:30" ht="15.75" customHeight="1">
      <c r="C80" s="67"/>
      <c r="F80" s="10"/>
      <c r="J80" s="10"/>
      <c r="N80" s="10"/>
      <c r="R80" s="10"/>
      <c r="S80" s="10"/>
      <c r="W80" s="42"/>
      <c r="X80" s="206" t="s">
        <v>260</v>
      </c>
      <c r="Y80" s="212"/>
    </row>
    <row r="81" spans="3:25" ht="15.75" customHeight="1">
      <c r="C81" s="67"/>
      <c r="F81" s="10"/>
      <c r="J81" s="10"/>
      <c r="N81" s="10"/>
      <c r="R81" s="10"/>
      <c r="S81" s="10"/>
      <c r="W81" s="42"/>
      <c r="X81" s="206" t="s">
        <v>260</v>
      </c>
      <c r="Y81" s="212"/>
    </row>
    <row r="82" spans="3:25" ht="15.75" customHeight="1">
      <c r="C82" s="67"/>
      <c r="F82" s="10"/>
      <c r="J82" s="10"/>
      <c r="N82" s="10"/>
      <c r="R82" s="10"/>
      <c r="S82" s="10"/>
      <c r="W82" s="42"/>
      <c r="X82" s="206" t="s">
        <v>260</v>
      </c>
      <c r="Y82" s="212"/>
    </row>
    <row r="83" spans="3:25" ht="15.75" customHeight="1">
      <c r="C83" s="67"/>
      <c r="F83" s="10"/>
      <c r="J83" s="10"/>
      <c r="N83" s="10"/>
      <c r="R83" s="10"/>
      <c r="S83" s="10"/>
      <c r="W83" s="42"/>
      <c r="X83" s="206" t="s">
        <v>260</v>
      </c>
      <c r="Y83" s="212"/>
    </row>
    <row r="84" spans="3:25" ht="15.75" customHeight="1">
      <c r="F84" s="10"/>
      <c r="J84" s="10"/>
      <c r="N84" s="10"/>
      <c r="R84" s="10"/>
      <c r="S84" s="10"/>
      <c r="W84" s="42"/>
      <c r="X84" s="210" t="s">
        <v>260</v>
      </c>
      <c r="Y84" s="212"/>
    </row>
    <row r="85" spans="3:25" ht="15.75" customHeight="1">
      <c r="F85" s="10"/>
      <c r="J85" s="10"/>
      <c r="N85" s="10"/>
      <c r="R85" s="10"/>
      <c r="S85" s="10"/>
      <c r="W85" s="42"/>
      <c r="X85" s="42"/>
      <c r="Y85" s="42"/>
    </row>
    <row r="86" spans="3:25" ht="15.75" customHeight="1">
      <c r="F86" s="10"/>
      <c r="J86" s="10"/>
      <c r="N86" s="10"/>
      <c r="R86" s="10"/>
      <c r="S86" s="10"/>
      <c r="W86" s="42"/>
      <c r="X86" s="42"/>
      <c r="Y86" s="42"/>
    </row>
    <row r="87" spans="3:25" ht="15.75" customHeight="1">
      <c r="F87" s="10"/>
      <c r="J87" s="10"/>
      <c r="N87" s="10"/>
      <c r="R87" s="10"/>
      <c r="S87" s="10"/>
      <c r="W87" s="42"/>
      <c r="X87" s="42"/>
      <c r="Y87" s="42"/>
    </row>
    <row r="88" spans="3:25" ht="15.75" customHeight="1">
      <c r="F88" s="10"/>
      <c r="J88" s="10"/>
      <c r="N88" s="10"/>
      <c r="R88" s="10"/>
      <c r="S88" s="10"/>
      <c r="W88" s="42"/>
      <c r="X88" s="42"/>
      <c r="Y88" s="42"/>
    </row>
    <row r="89" spans="3:25" ht="15.75" customHeight="1">
      <c r="F89" s="10"/>
      <c r="J89" s="10"/>
      <c r="N89" s="10"/>
      <c r="R89" s="10"/>
      <c r="S89" s="10"/>
      <c r="W89" s="42"/>
      <c r="X89" s="42"/>
      <c r="Y89" s="42"/>
    </row>
    <row r="90" spans="3:25" ht="15.75" customHeight="1">
      <c r="F90" s="10"/>
      <c r="J90" s="10"/>
      <c r="N90" s="10"/>
      <c r="R90" s="10"/>
      <c r="S90" s="10"/>
      <c r="W90" s="42"/>
      <c r="X90" s="42"/>
      <c r="Y90" s="42"/>
    </row>
    <row r="91" spans="3:25" ht="15.75" customHeight="1">
      <c r="F91" s="10"/>
      <c r="J91" s="10"/>
      <c r="N91" s="10"/>
      <c r="R91" s="10"/>
      <c r="S91" s="10"/>
      <c r="W91" s="42"/>
      <c r="X91" s="42"/>
      <c r="Y91" s="42"/>
    </row>
    <row r="92" spans="3:25" ht="15.75" customHeight="1">
      <c r="F92" s="10"/>
      <c r="J92" s="10"/>
      <c r="N92" s="10"/>
      <c r="R92" s="10"/>
      <c r="S92" s="10"/>
      <c r="W92" s="42"/>
      <c r="X92" s="42"/>
      <c r="Y92" s="42"/>
    </row>
    <row r="93" spans="3:25" ht="15.75" customHeight="1">
      <c r="F93" s="10"/>
      <c r="J93" s="10"/>
      <c r="N93" s="10"/>
      <c r="R93" s="10"/>
      <c r="S93" s="10"/>
      <c r="W93" s="42"/>
      <c r="X93" s="42"/>
      <c r="Y93" s="42"/>
    </row>
    <row r="94" spans="3:25" ht="15.75" customHeight="1">
      <c r="F94" s="10"/>
      <c r="J94" s="10"/>
      <c r="N94" s="10"/>
      <c r="R94" s="10"/>
      <c r="S94" s="10"/>
      <c r="W94" s="42"/>
      <c r="X94" s="42"/>
      <c r="Y94" s="42"/>
    </row>
    <row r="95" spans="3:25" ht="15.75" customHeight="1">
      <c r="F95" s="10"/>
      <c r="J95" s="10"/>
      <c r="N95" s="10"/>
      <c r="R95" s="10"/>
      <c r="S95" s="10"/>
      <c r="W95" s="42"/>
      <c r="X95" s="42"/>
      <c r="Y95" s="42"/>
    </row>
    <row r="96" spans="3:25" ht="15.75" customHeight="1">
      <c r="F96" s="10"/>
      <c r="J96" s="10"/>
      <c r="N96" s="10"/>
      <c r="R96" s="10"/>
      <c r="S96" s="10"/>
      <c r="W96" s="42"/>
      <c r="X96" s="42"/>
      <c r="Y96" s="42"/>
    </row>
    <row r="97" spans="6:25" ht="15.75" customHeight="1">
      <c r="F97" s="10"/>
      <c r="J97" s="10"/>
      <c r="N97" s="10"/>
      <c r="R97" s="10"/>
      <c r="S97" s="10"/>
      <c r="W97" s="42"/>
      <c r="X97" s="42"/>
      <c r="Y97" s="42"/>
    </row>
    <row r="98" spans="6:25" ht="15.75" customHeight="1">
      <c r="F98" s="10"/>
      <c r="J98" s="10"/>
      <c r="N98" s="10"/>
      <c r="R98" s="10"/>
      <c r="S98" s="10"/>
      <c r="W98" s="42"/>
      <c r="X98" s="42"/>
      <c r="Y98" s="42"/>
    </row>
    <row r="99" spans="6:25" ht="15.75" customHeight="1">
      <c r="F99" s="10"/>
      <c r="J99" s="10"/>
      <c r="N99" s="10"/>
      <c r="R99" s="10"/>
      <c r="S99" s="10"/>
      <c r="W99" s="42"/>
      <c r="X99" s="42"/>
      <c r="Y99" s="42"/>
    </row>
    <row r="100" spans="6:25" ht="15.75" customHeight="1">
      <c r="F100" s="10"/>
      <c r="J100" s="10"/>
      <c r="N100" s="10"/>
      <c r="R100" s="10"/>
      <c r="S100" s="10"/>
      <c r="W100" s="42"/>
      <c r="X100" s="42"/>
      <c r="Y100" s="42"/>
    </row>
    <row r="101" spans="6:25" ht="15.75" customHeight="1">
      <c r="F101" s="10"/>
      <c r="J101" s="10"/>
      <c r="N101" s="10"/>
      <c r="R101" s="10"/>
      <c r="S101" s="10"/>
      <c r="W101" s="42"/>
      <c r="X101" s="42"/>
      <c r="Y101" s="42"/>
    </row>
    <row r="102" spans="6:25" ht="15.75" customHeight="1">
      <c r="F102" s="10"/>
      <c r="J102" s="10"/>
      <c r="N102" s="10"/>
      <c r="R102" s="10"/>
      <c r="S102" s="10"/>
      <c r="W102" s="42"/>
      <c r="X102" s="42"/>
      <c r="Y102" s="42"/>
    </row>
    <row r="103" spans="6:25" ht="15.75" customHeight="1">
      <c r="F103" s="10"/>
      <c r="J103" s="10"/>
      <c r="N103" s="10"/>
      <c r="R103" s="10"/>
      <c r="S103" s="10"/>
      <c r="W103" s="42"/>
      <c r="X103" s="42"/>
      <c r="Y103" s="42"/>
    </row>
    <row r="104" spans="6:25" ht="15.75" customHeight="1">
      <c r="F104" s="10"/>
      <c r="J104" s="10"/>
      <c r="N104" s="10"/>
      <c r="R104" s="10"/>
      <c r="S104" s="10"/>
      <c r="W104" s="42"/>
      <c r="X104" s="42"/>
      <c r="Y104" s="42"/>
    </row>
    <row r="105" spans="6:25" ht="15.75" customHeight="1">
      <c r="F105" s="10"/>
      <c r="J105" s="10"/>
      <c r="N105" s="10"/>
      <c r="R105" s="10"/>
      <c r="S105" s="10"/>
      <c r="W105" s="42"/>
      <c r="X105" s="42"/>
      <c r="Y105" s="42"/>
    </row>
    <row r="106" spans="6:25" ht="15.75" customHeight="1">
      <c r="F106" s="10"/>
      <c r="J106" s="10"/>
      <c r="N106" s="10"/>
      <c r="R106" s="10"/>
      <c r="S106" s="10"/>
      <c r="W106" s="42"/>
      <c r="X106" s="42"/>
      <c r="Y106" s="42"/>
    </row>
    <row r="107" spans="6:25" ht="15.75" customHeight="1">
      <c r="F107" s="10"/>
      <c r="J107" s="10"/>
      <c r="N107" s="10"/>
      <c r="R107" s="10"/>
      <c r="S107" s="10"/>
      <c r="W107" s="42"/>
      <c r="X107" s="42"/>
      <c r="Y107" s="42"/>
    </row>
    <row r="108" spans="6:25" ht="15.75" customHeight="1">
      <c r="F108" s="10"/>
      <c r="J108" s="10"/>
      <c r="N108" s="10"/>
      <c r="R108" s="10"/>
      <c r="S108" s="10"/>
      <c r="W108" s="42"/>
      <c r="X108" s="42"/>
      <c r="Y108" s="42"/>
    </row>
    <row r="109" spans="6:25" ht="15.75" customHeight="1">
      <c r="F109" s="10"/>
      <c r="J109" s="10"/>
      <c r="N109" s="10"/>
      <c r="R109" s="10"/>
      <c r="S109" s="10"/>
      <c r="W109" s="42"/>
      <c r="X109" s="42"/>
      <c r="Y109" s="42"/>
    </row>
    <row r="110" spans="6:25" ht="15.75" customHeight="1">
      <c r="F110" s="10"/>
      <c r="J110" s="10"/>
      <c r="N110" s="10"/>
      <c r="R110" s="10"/>
      <c r="S110" s="10"/>
      <c r="W110" s="42"/>
      <c r="X110" s="42"/>
      <c r="Y110" s="42"/>
    </row>
    <row r="111" spans="6:25" ht="15.75" customHeight="1">
      <c r="F111" s="10"/>
      <c r="J111" s="10"/>
      <c r="N111" s="10"/>
      <c r="R111" s="10"/>
      <c r="S111" s="10"/>
      <c r="W111" s="42"/>
      <c r="X111" s="42"/>
      <c r="Y111" s="42"/>
    </row>
    <row r="112" spans="6:25" ht="15.75" customHeight="1">
      <c r="F112" s="10"/>
      <c r="J112" s="10"/>
      <c r="N112" s="10"/>
      <c r="R112" s="10"/>
      <c r="S112" s="10"/>
      <c r="W112" s="42"/>
      <c r="X112" s="42"/>
      <c r="Y112" s="42"/>
    </row>
    <row r="113" spans="6:25" ht="15.75" customHeight="1">
      <c r="F113" s="10"/>
      <c r="J113" s="10"/>
      <c r="N113" s="10"/>
      <c r="R113" s="10"/>
      <c r="S113" s="10"/>
      <c r="W113" s="42"/>
      <c r="X113" s="42"/>
      <c r="Y113" s="42"/>
    </row>
    <row r="114" spans="6:25" ht="15.75" customHeight="1">
      <c r="F114" s="10"/>
      <c r="J114" s="10"/>
      <c r="N114" s="10"/>
      <c r="R114" s="10"/>
      <c r="S114" s="10"/>
      <c r="W114" s="42"/>
      <c r="X114" s="42"/>
      <c r="Y114" s="42"/>
    </row>
    <row r="115" spans="6:25" ht="15.75" customHeight="1">
      <c r="F115" s="10"/>
      <c r="J115" s="10"/>
      <c r="N115" s="10"/>
      <c r="R115" s="10"/>
      <c r="S115" s="10"/>
      <c r="W115" s="42"/>
      <c r="X115" s="42"/>
      <c r="Y115" s="42"/>
    </row>
    <row r="116" spans="6:25" ht="15.75" customHeight="1">
      <c r="F116" s="10"/>
      <c r="J116" s="10"/>
      <c r="N116" s="10"/>
      <c r="R116" s="10"/>
      <c r="S116" s="10"/>
      <c r="W116" s="42"/>
      <c r="X116" s="42"/>
      <c r="Y116" s="42"/>
    </row>
    <row r="117" spans="6:25" ht="15.75" customHeight="1">
      <c r="F117" s="10"/>
      <c r="J117" s="10"/>
      <c r="N117" s="10"/>
      <c r="R117" s="10"/>
      <c r="S117" s="10"/>
      <c r="W117" s="42"/>
      <c r="X117" s="42"/>
      <c r="Y117" s="42"/>
    </row>
    <row r="118" spans="6:25" ht="15.75" customHeight="1">
      <c r="F118" s="10"/>
      <c r="J118" s="10"/>
      <c r="N118" s="10"/>
      <c r="R118" s="10"/>
      <c r="S118" s="10"/>
      <c r="W118" s="42"/>
      <c r="X118" s="42"/>
      <c r="Y118" s="42"/>
    </row>
    <row r="119" spans="6:25" ht="15.75" customHeight="1">
      <c r="F119" s="10"/>
      <c r="J119" s="10"/>
      <c r="N119" s="10"/>
      <c r="R119" s="10"/>
      <c r="S119" s="10"/>
      <c r="W119" s="42"/>
      <c r="X119" s="42"/>
      <c r="Y119" s="42"/>
    </row>
    <row r="120" spans="6:25" ht="15.75" customHeight="1">
      <c r="F120" s="10"/>
      <c r="J120" s="10"/>
      <c r="N120" s="10"/>
      <c r="R120" s="10"/>
      <c r="S120" s="10"/>
      <c r="W120" s="42"/>
      <c r="X120" s="42"/>
      <c r="Y120" s="42"/>
    </row>
    <row r="121" spans="6:25" ht="15.75" customHeight="1">
      <c r="F121" s="10"/>
      <c r="J121" s="10"/>
      <c r="N121" s="10"/>
      <c r="R121" s="10"/>
      <c r="S121" s="10"/>
      <c r="W121" s="42"/>
      <c r="X121" s="42"/>
      <c r="Y121" s="42"/>
    </row>
    <row r="122" spans="6:25" ht="15.75" customHeight="1">
      <c r="F122" s="10"/>
      <c r="J122" s="10"/>
      <c r="N122" s="10"/>
      <c r="R122" s="10"/>
      <c r="S122" s="10"/>
      <c r="W122" s="42"/>
      <c r="X122" s="42"/>
      <c r="Y122" s="42"/>
    </row>
    <row r="123" spans="6:25" ht="15.75" customHeight="1">
      <c r="F123" s="10"/>
      <c r="J123" s="10"/>
      <c r="N123" s="10"/>
      <c r="R123" s="10"/>
      <c r="S123" s="10"/>
      <c r="W123" s="42"/>
      <c r="X123" s="42"/>
      <c r="Y123" s="42"/>
    </row>
    <row r="124" spans="6:25" ht="15.75" customHeight="1">
      <c r="F124" s="10"/>
      <c r="J124" s="10"/>
      <c r="N124" s="10"/>
      <c r="R124" s="10"/>
      <c r="S124" s="10"/>
      <c r="W124" s="42"/>
      <c r="X124" s="42"/>
      <c r="Y124" s="42"/>
    </row>
    <row r="125" spans="6:25" ht="15.75" customHeight="1">
      <c r="F125" s="10"/>
      <c r="J125" s="10"/>
      <c r="N125" s="10"/>
      <c r="R125" s="10"/>
      <c r="S125" s="10"/>
      <c r="W125" s="42"/>
      <c r="X125" s="42"/>
      <c r="Y125" s="42"/>
    </row>
    <row r="126" spans="6:25" ht="15.75" customHeight="1">
      <c r="F126" s="10"/>
      <c r="J126" s="10"/>
      <c r="N126" s="10"/>
      <c r="R126" s="10"/>
      <c r="S126" s="10"/>
      <c r="W126" s="42"/>
      <c r="X126" s="42"/>
      <c r="Y126" s="42"/>
    </row>
    <row r="127" spans="6:25" ht="15.75" customHeight="1">
      <c r="F127" s="10"/>
      <c r="J127" s="10"/>
      <c r="N127" s="10"/>
      <c r="R127" s="10"/>
      <c r="S127" s="10"/>
      <c r="W127" s="42"/>
      <c r="X127" s="42"/>
      <c r="Y127" s="42"/>
    </row>
    <row r="128" spans="6:25" ht="15.75" customHeight="1">
      <c r="F128" s="10"/>
      <c r="J128" s="10"/>
      <c r="N128" s="10"/>
      <c r="R128" s="10"/>
      <c r="S128" s="10"/>
      <c r="W128" s="42"/>
      <c r="X128" s="42"/>
      <c r="Y128" s="42"/>
    </row>
    <row r="129" spans="6:25" ht="15.75" customHeight="1">
      <c r="F129" s="10"/>
      <c r="J129" s="10"/>
      <c r="N129" s="10"/>
      <c r="R129" s="10"/>
      <c r="S129" s="10"/>
      <c r="W129" s="42"/>
      <c r="X129" s="42"/>
      <c r="Y129" s="42"/>
    </row>
    <row r="130" spans="6:25" ht="15.75" customHeight="1">
      <c r="F130" s="10"/>
      <c r="J130" s="10"/>
      <c r="N130" s="10"/>
      <c r="R130" s="10"/>
      <c r="S130" s="10"/>
      <c r="W130" s="42"/>
      <c r="X130" s="42"/>
      <c r="Y130" s="42"/>
    </row>
    <row r="131" spans="6:25" ht="15.75" customHeight="1">
      <c r="F131" s="10"/>
      <c r="J131" s="10"/>
      <c r="N131" s="10"/>
      <c r="R131" s="10"/>
      <c r="S131" s="10"/>
      <c r="W131" s="42"/>
      <c r="X131" s="42"/>
      <c r="Y131" s="42"/>
    </row>
    <row r="132" spans="6:25" ht="15.75" customHeight="1">
      <c r="F132" s="10"/>
      <c r="J132" s="10"/>
      <c r="N132" s="10"/>
      <c r="R132" s="10"/>
      <c r="S132" s="10"/>
      <c r="W132" s="42"/>
      <c r="X132" s="42"/>
      <c r="Y132" s="42"/>
    </row>
    <row r="133" spans="6:25" ht="15.75" customHeight="1">
      <c r="F133" s="10"/>
      <c r="J133" s="10"/>
      <c r="N133" s="10"/>
      <c r="R133" s="10"/>
      <c r="S133" s="10"/>
      <c r="W133" s="42"/>
      <c r="X133" s="42"/>
      <c r="Y133" s="42"/>
    </row>
    <row r="134" spans="6:25" ht="15.75" customHeight="1">
      <c r="F134" s="10"/>
      <c r="J134" s="10"/>
      <c r="N134" s="10"/>
      <c r="R134" s="10"/>
      <c r="S134" s="10"/>
      <c r="W134" s="42"/>
      <c r="X134" s="42"/>
      <c r="Y134" s="42"/>
    </row>
    <row r="135" spans="6:25" ht="15.75" customHeight="1">
      <c r="F135" s="10"/>
      <c r="J135" s="10"/>
      <c r="N135" s="10"/>
      <c r="R135" s="10"/>
      <c r="S135" s="10"/>
      <c r="W135" s="42"/>
      <c r="X135" s="42"/>
      <c r="Y135" s="42"/>
    </row>
    <row r="136" spans="6:25" ht="15.75" customHeight="1">
      <c r="F136" s="10"/>
      <c r="J136" s="10"/>
      <c r="N136" s="10"/>
      <c r="R136" s="10"/>
      <c r="S136" s="10"/>
      <c r="W136" s="42"/>
      <c r="X136" s="42"/>
      <c r="Y136" s="42"/>
    </row>
    <row r="137" spans="6:25" ht="15.75" customHeight="1">
      <c r="F137" s="10"/>
      <c r="J137" s="10"/>
      <c r="N137" s="10"/>
      <c r="R137" s="10"/>
      <c r="S137" s="10"/>
      <c r="W137" s="42"/>
      <c r="X137" s="42"/>
      <c r="Y137" s="42"/>
    </row>
    <row r="138" spans="6:25" ht="15.75" customHeight="1">
      <c r="F138" s="10"/>
      <c r="J138" s="10"/>
      <c r="N138" s="10"/>
      <c r="R138" s="10"/>
      <c r="S138" s="10"/>
      <c r="W138" s="42"/>
      <c r="X138" s="42"/>
      <c r="Y138" s="42"/>
    </row>
    <row r="139" spans="6:25" ht="15.75" customHeight="1">
      <c r="F139" s="10"/>
      <c r="J139" s="10"/>
      <c r="N139" s="10"/>
      <c r="R139" s="10"/>
      <c r="S139" s="10"/>
      <c r="W139" s="42"/>
      <c r="X139" s="42"/>
      <c r="Y139" s="42"/>
    </row>
    <row r="140" spans="6:25" ht="15.75" customHeight="1">
      <c r="F140" s="10"/>
      <c r="J140" s="10"/>
      <c r="N140" s="10"/>
      <c r="R140" s="10"/>
      <c r="S140" s="10"/>
      <c r="W140" s="42"/>
      <c r="X140" s="42"/>
      <c r="Y140" s="42"/>
    </row>
    <row r="141" spans="6:25" ht="15.75" customHeight="1">
      <c r="F141" s="10"/>
      <c r="J141" s="10"/>
      <c r="N141" s="10"/>
      <c r="R141" s="10"/>
      <c r="S141" s="10"/>
      <c r="W141" s="42"/>
      <c r="X141" s="42"/>
      <c r="Y141" s="42"/>
    </row>
    <row r="142" spans="6:25" ht="15.75" customHeight="1">
      <c r="F142" s="10"/>
      <c r="J142" s="10"/>
      <c r="N142" s="10"/>
      <c r="R142" s="10"/>
      <c r="S142" s="10"/>
      <c r="W142" s="42"/>
      <c r="X142" s="42"/>
      <c r="Y142" s="42"/>
    </row>
    <row r="143" spans="6:25" ht="15.75" customHeight="1">
      <c r="F143" s="10"/>
      <c r="J143" s="10"/>
      <c r="N143" s="10"/>
      <c r="R143" s="10"/>
      <c r="S143" s="10"/>
      <c r="W143" s="42"/>
      <c r="X143" s="42"/>
      <c r="Y143" s="42"/>
    </row>
    <row r="144" spans="6:25" ht="15.75" customHeight="1">
      <c r="F144" s="10"/>
      <c r="J144" s="10"/>
      <c r="N144" s="10"/>
      <c r="R144" s="10"/>
      <c r="S144" s="10"/>
      <c r="W144" s="42"/>
      <c r="X144" s="42"/>
      <c r="Y144" s="42"/>
    </row>
    <row r="145" spans="6:25" ht="15.75" customHeight="1">
      <c r="F145" s="10"/>
      <c r="J145" s="10"/>
      <c r="N145" s="10"/>
      <c r="R145" s="10"/>
      <c r="S145" s="10"/>
      <c r="W145" s="42"/>
      <c r="X145" s="42"/>
      <c r="Y145" s="42"/>
    </row>
    <row r="146" spans="6:25" ht="15.75" customHeight="1">
      <c r="F146" s="10"/>
      <c r="J146" s="10"/>
      <c r="N146" s="10"/>
      <c r="R146" s="10"/>
      <c r="S146" s="10"/>
      <c r="W146" s="42"/>
      <c r="X146" s="42"/>
      <c r="Y146" s="42"/>
    </row>
    <row r="147" spans="6:25" ht="15.75" customHeight="1">
      <c r="F147" s="10"/>
      <c r="J147" s="10"/>
      <c r="N147" s="10"/>
      <c r="R147" s="10"/>
      <c r="S147" s="10"/>
      <c r="W147" s="42"/>
      <c r="X147" s="42"/>
      <c r="Y147" s="42"/>
    </row>
    <row r="148" spans="6:25" ht="15.75" customHeight="1">
      <c r="F148" s="10"/>
      <c r="J148" s="10"/>
      <c r="N148" s="10"/>
      <c r="R148" s="10"/>
      <c r="S148" s="10"/>
      <c r="W148" s="42"/>
      <c r="X148" s="42"/>
      <c r="Y148" s="42"/>
    </row>
    <row r="149" spans="6:25" ht="15.75" customHeight="1">
      <c r="F149" s="10"/>
      <c r="J149" s="10"/>
      <c r="N149" s="10"/>
      <c r="R149" s="10"/>
      <c r="S149" s="10"/>
      <c r="W149" s="42"/>
      <c r="X149" s="42"/>
      <c r="Y149" s="42"/>
    </row>
    <row r="150" spans="6:25" ht="15.75" customHeight="1">
      <c r="F150" s="10"/>
      <c r="J150" s="10"/>
      <c r="N150" s="10"/>
      <c r="R150" s="10"/>
      <c r="S150" s="10"/>
      <c r="W150" s="42"/>
      <c r="X150" s="42"/>
      <c r="Y150" s="42"/>
    </row>
    <row r="151" spans="6:25" ht="15.75" customHeight="1">
      <c r="F151" s="10"/>
      <c r="J151" s="10"/>
      <c r="N151" s="10"/>
      <c r="R151" s="10"/>
      <c r="S151" s="10"/>
      <c r="W151" s="42"/>
      <c r="X151" s="42"/>
      <c r="Y151" s="42"/>
    </row>
    <row r="152" spans="6:25" ht="15.75" customHeight="1">
      <c r="F152" s="10"/>
      <c r="J152" s="10"/>
      <c r="N152" s="10"/>
      <c r="R152" s="10"/>
      <c r="S152" s="10"/>
      <c r="W152" s="42"/>
      <c r="X152" s="42"/>
      <c r="Y152" s="42"/>
    </row>
    <row r="153" spans="6:25" ht="15.75" customHeight="1">
      <c r="F153" s="10"/>
      <c r="J153" s="10"/>
      <c r="N153" s="10"/>
      <c r="R153" s="10"/>
      <c r="S153" s="10"/>
      <c r="W153" s="42"/>
      <c r="X153" s="42"/>
      <c r="Y153" s="42"/>
    </row>
    <row r="154" spans="6:25" ht="15.75" customHeight="1">
      <c r="F154" s="10"/>
      <c r="J154" s="10"/>
      <c r="N154" s="10"/>
      <c r="R154" s="10"/>
      <c r="S154" s="10"/>
      <c r="W154" s="42"/>
      <c r="X154" s="42"/>
      <c r="Y154" s="42"/>
    </row>
    <row r="155" spans="6:25" ht="15.75" customHeight="1">
      <c r="F155" s="10"/>
      <c r="J155" s="10"/>
      <c r="N155" s="10"/>
      <c r="R155" s="10"/>
      <c r="S155" s="10"/>
      <c r="W155" s="42"/>
      <c r="X155" s="42"/>
      <c r="Y155" s="42"/>
    </row>
    <row r="156" spans="6:25" ht="15.75" customHeight="1">
      <c r="F156" s="10"/>
      <c r="J156" s="10"/>
      <c r="N156" s="10"/>
      <c r="R156" s="10"/>
      <c r="S156" s="10"/>
      <c r="W156" s="42"/>
      <c r="X156" s="42"/>
      <c r="Y156" s="42"/>
    </row>
    <row r="157" spans="6:25" ht="15.75" customHeight="1">
      <c r="F157" s="10"/>
      <c r="J157" s="10"/>
      <c r="N157" s="10"/>
      <c r="R157" s="10"/>
      <c r="S157" s="10"/>
      <c r="W157" s="42"/>
      <c r="X157" s="42"/>
      <c r="Y157" s="42"/>
    </row>
    <row r="158" spans="6:25" ht="15.75" customHeight="1">
      <c r="F158" s="10"/>
      <c r="J158" s="10"/>
      <c r="N158" s="10"/>
      <c r="R158" s="10"/>
      <c r="S158" s="10"/>
      <c r="W158" s="42"/>
      <c r="X158" s="42"/>
      <c r="Y158" s="42"/>
    </row>
    <row r="159" spans="6:25" ht="15.75" customHeight="1">
      <c r="F159" s="10"/>
      <c r="J159" s="10"/>
      <c r="N159" s="10"/>
      <c r="R159" s="10"/>
      <c r="S159" s="10"/>
      <c r="W159" s="42"/>
      <c r="X159" s="42"/>
      <c r="Y159" s="42"/>
    </row>
    <row r="160" spans="6:25" ht="15.75" customHeight="1">
      <c r="F160" s="10"/>
      <c r="J160" s="10"/>
      <c r="N160" s="10"/>
      <c r="R160" s="10"/>
      <c r="S160" s="10"/>
      <c r="W160" s="42"/>
      <c r="X160" s="42"/>
      <c r="Y160" s="42"/>
    </row>
    <row r="161" spans="6:25" ht="15.75" customHeight="1">
      <c r="F161" s="10"/>
      <c r="J161" s="10"/>
      <c r="N161" s="10"/>
      <c r="R161" s="10"/>
      <c r="S161" s="10"/>
      <c r="W161" s="42"/>
      <c r="X161" s="42"/>
      <c r="Y161" s="42"/>
    </row>
    <row r="162" spans="6:25" ht="15.75" customHeight="1">
      <c r="F162" s="10"/>
      <c r="J162" s="10"/>
      <c r="N162" s="10"/>
      <c r="R162" s="10"/>
      <c r="S162" s="10"/>
      <c r="W162" s="42"/>
      <c r="X162" s="42"/>
      <c r="Y162" s="42"/>
    </row>
    <row r="163" spans="6:25" ht="15.75" customHeight="1">
      <c r="F163" s="10"/>
      <c r="J163" s="10"/>
      <c r="N163" s="10"/>
      <c r="R163" s="10"/>
      <c r="S163" s="10"/>
      <c r="W163" s="42"/>
      <c r="X163" s="42"/>
      <c r="Y163" s="42"/>
    </row>
    <row r="164" spans="6:25" ht="15.75" customHeight="1">
      <c r="F164" s="10"/>
      <c r="J164" s="10"/>
      <c r="N164" s="10"/>
      <c r="R164" s="10"/>
      <c r="S164" s="10"/>
      <c r="W164" s="42"/>
      <c r="X164" s="42"/>
      <c r="Y164" s="42"/>
    </row>
    <row r="165" spans="6:25" ht="15.75" customHeight="1">
      <c r="F165" s="10"/>
      <c r="J165" s="10"/>
      <c r="N165" s="10"/>
      <c r="R165" s="10"/>
      <c r="S165" s="10"/>
      <c r="W165" s="42"/>
      <c r="X165" s="42"/>
      <c r="Y165" s="42"/>
    </row>
    <row r="166" spans="6:25" ht="15.75" customHeight="1">
      <c r="F166" s="10"/>
      <c r="J166" s="10"/>
      <c r="N166" s="10"/>
      <c r="R166" s="10"/>
      <c r="S166" s="10"/>
      <c r="W166" s="42"/>
      <c r="X166" s="42"/>
      <c r="Y166" s="42"/>
    </row>
    <row r="167" spans="6:25" ht="15.75" customHeight="1">
      <c r="F167" s="10"/>
      <c r="J167" s="10"/>
      <c r="N167" s="10"/>
      <c r="R167" s="10"/>
      <c r="S167" s="10"/>
      <c r="W167" s="42"/>
      <c r="X167" s="42"/>
      <c r="Y167" s="42"/>
    </row>
    <row r="168" spans="6:25" ht="15.75" customHeight="1">
      <c r="F168" s="10"/>
      <c r="J168" s="10"/>
      <c r="N168" s="10"/>
      <c r="R168" s="10"/>
      <c r="S168" s="10"/>
      <c r="W168" s="42"/>
      <c r="X168" s="42"/>
      <c r="Y168" s="42"/>
    </row>
    <row r="169" spans="6:25" ht="15.75" customHeight="1">
      <c r="F169" s="10"/>
      <c r="J169" s="10"/>
      <c r="N169" s="10"/>
      <c r="R169" s="10"/>
      <c r="S169" s="10"/>
      <c r="W169" s="42"/>
      <c r="X169" s="42"/>
      <c r="Y169" s="42"/>
    </row>
    <row r="170" spans="6:25" ht="15.75" customHeight="1">
      <c r="F170" s="10"/>
      <c r="J170" s="10"/>
      <c r="N170" s="10"/>
      <c r="R170" s="10"/>
      <c r="S170" s="10"/>
      <c r="W170" s="42"/>
      <c r="X170" s="42"/>
      <c r="Y170" s="42"/>
    </row>
    <row r="171" spans="6:25" ht="15.75" customHeight="1">
      <c r="F171" s="10"/>
      <c r="J171" s="10"/>
      <c r="N171" s="10"/>
      <c r="R171" s="10"/>
      <c r="S171" s="10"/>
      <c r="W171" s="42"/>
      <c r="X171" s="42"/>
      <c r="Y171" s="42"/>
    </row>
    <row r="172" spans="6:25" ht="15.75" customHeight="1">
      <c r="F172" s="10"/>
      <c r="J172" s="10"/>
      <c r="N172" s="10"/>
      <c r="R172" s="10"/>
      <c r="S172" s="10"/>
      <c r="W172" s="42"/>
      <c r="X172" s="42"/>
      <c r="Y172" s="42"/>
    </row>
    <row r="173" spans="6:25" ht="15.75" customHeight="1">
      <c r="F173" s="10"/>
      <c r="J173" s="10"/>
      <c r="N173" s="10"/>
      <c r="R173" s="10"/>
      <c r="S173" s="10"/>
      <c r="W173" s="42"/>
      <c r="X173" s="42"/>
      <c r="Y173" s="42"/>
    </row>
    <row r="174" spans="6:25" ht="15.75" customHeight="1">
      <c r="F174" s="10"/>
      <c r="J174" s="10"/>
      <c r="N174" s="10"/>
      <c r="R174" s="10"/>
      <c r="S174" s="10"/>
      <c r="W174" s="42"/>
      <c r="X174" s="42"/>
      <c r="Y174" s="42"/>
    </row>
    <row r="175" spans="6:25" ht="15.75" customHeight="1">
      <c r="F175" s="10"/>
      <c r="J175" s="10"/>
      <c r="N175" s="10"/>
      <c r="R175" s="10"/>
      <c r="S175" s="10"/>
      <c r="W175" s="42"/>
      <c r="X175" s="42"/>
      <c r="Y175" s="42"/>
    </row>
    <row r="176" spans="6:25" ht="15.75" customHeight="1">
      <c r="F176" s="10"/>
      <c r="J176" s="10"/>
      <c r="N176" s="10"/>
      <c r="R176" s="10"/>
      <c r="S176" s="10"/>
      <c r="W176" s="42"/>
      <c r="X176" s="42"/>
      <c r="Y176" s="42"/>
    </row>
    <row r="177" spans="6:25" ht="15.75" customHeight="1">
      <c r="F177" s="10"/>
      <c r="J177" s="10"/>
      <c r="N177" s="10"/>
      <c r="R177" s="10"/>
      <c r="S177" s="10"/>
      <c r="W177" s="42"/>
      <c r="X177" s="42"/>
      <c r="Y177" s="42"/>
    </row>
    <row r="178" spans="6:25" ht="15.75" customHeight="1">
      <c r="F178" s="10"/>
      <c r="J178" s="10"/>
      <c r="N178" s="10"/>
      <c r="R178" s="10"/>
      <c r="S178" s="10"/>
      <c r="W178" s="42"/>
      <c r="X178" s="42"/>
      <c r="Y178" s="42"/>
    </row>
    <row r="179" spans="6:25" ht="15.75" customHeight="1">
      <c r="F179" s="10"/>
      <c r="J179" s="10"/>
      <c r="N179" s="10"/>
      <c r="R179" s="10"/>
      <c r="S179" s="10"/>
      <c r="W179" s="42"/>
      <c r="X179" s="42"/>
      <c r="Y179" s="42"/>
    </row>
    <row r="180" spans="6:25" ht="15.75" customHeight="1">
      <c r="F180" s="10"/>
      <c r="J180" s="10"/>
      <c r="N180" s="10"/>
      <c r="R180" s="10"/>
      <c r="S180" s="10"/>
      <c r="W180" s="42"/>
      <c r="X180" s="42"/>
      <c r="Y180" s="42"/>
    </row>
    <row r="181" spans="6:25" ht="15.75" customHeight="1">
      <c r="F181" s="10"/>
      <c r="J181" s="10"/>
      <c r="N181" s="10"/>
      <c r="R181" s="10"/>
      <c r="S181" s="10"/>
      <c r="W181" s="42"/>
      <c r="X181" s="42"/>
      <c r="Y181" s="42"/>
    </row>
    <row r="182" spans="6:25" ht="15.75" customHeight="1">
      <c r="F182" s="10"/>
      <c r="J182" s="10"/>
      <c r="N182" s="10"/>
      <c r="R182" s="10"/>
      <c r="S182" s="10"/>
      <c r="W182" s="42"/>
      <c r="X182" s="42"/>
      <c r="Y182" s="42"/>
    </row>
    <row r="183" spans="6:25" ht="15.75" customHeight="1">
      <c r="F183" s="10"/>
      <c r="J183" s="10"/>
      <c r="N183" s="10"/>
      <c r="R183" s="10"/>
      <c r="S183" s="10"/>
      <c r="W183" s="42"/>
      <c r="X183" s="42"/>
      <c r="Y183" s="42"/>
    </row>
    <row r="184" spans="6:25" ht="15.75" customHeight="1">
      <c r="F184" s="10"/>
      <c r="J184" s="10"/>
      <c r="N184" s="10"/>
      <c r="R184" s="10"/>
      <c r="S184" s="10"/>
      <c r="W184" s="42"/>
      <c r="X184" s="42"/>
      <c r="Y184" s="42"/>
    </row>
    <row r="185" spans="6:25" ht="15.75" customHeight="1">
      <c r="F185" s="10"/>
      <c r="J185" s="10"/>
      <c r="N185" s="10"/>
      <c r="R185" s="10"/>
      <c r="S185" s="10"/>
      <c r="W185" s="42"/>
      <c r="X185" s="42"/>
      <c r="Y185" s="42"/>
    </row>
    <row r="186" spans="6:25" ht="15.75" customHeight="1">
      <c r="F186" s="10"/>
      <c r="J186" s="10"/>
      <c r="N186" s="10"/>
      <c r="R186" s="10"/>
      <c r="S186" s="10"/>
      <c r="W186" s="42"/>
      <c r="X186" s="42"/>
      <c r="Y186" s="42"/>
    </row>
    <row r="187" spans="6:25" ht="15.75" customHeight="1">
      <c r="F187" s="10"/>
      <c r="J187" s="10"/>
      <c r="N187" s="10"/>
      <c r="R187" s="10"/>
      <c r="S187" s="10"/>
      <c r="W187" s="42"/>
      <c r="X187" s="42"/>
      <c r="Y187" s="42"/>
    </row>
    <row r="188" spans="6:25" ht="15.75" customHeight="1">
      <c r="F188" s="10"/>
      <c r="J188" s="10"/>
      <c r="N188" s="10"/>
      <c r="R188" s="10"/>
      <c r="S188" s="10"/>
      <c r="W188" s="42"/>
      <c r="X188" s="42"/>
      <c r="Y188" s="42"/>
    </row>
    <row r="189" spans="6:25" ht="15.75" customHeight="1">
      <c r="F189" s="10"/>
      <c r="J189" s="10"/>
      <c r="N189" s="10"/>
      <c r="R189" s="10"/>
      <c r="S189" s="10"/>
      <c r="W189" s="42"/>
      <c r="X189" s="42"/>
      <c r="Y189" s="42"/>
    </row>
    <row r="190" spans="6:25" ht="15.75" customHeight="1">
      <c r="F190" s="10"/>
      <c r="J190" s="10"/>
      <c r="N190" s="10"/>
      <c r="R190" s="10"/>
      <c r="S190" s="10"/>
      <c r="W190" s="42"/>
      <c r="X190" s="42"/>
      <c r="Y190" s="42"/>
    </row>
    <row r="191" spans="6:25" ht="15.75" customHeight="1">
      <c r="F191" s="10"/>
      <c r="J191" s="10"/>
      <c r="N191" s="10"/>
      <c r="R191" s="10"/>
      <c r="S191" s="10"/>
      <c r="W191" s="42"/>
      <c r="X191" s="42"/>
      <c r="Y191" s="42"/>
    </row>
    <row r="192" spans="6:25" ht="15.75" customHeight="1">
      <c r="F192" s="10"/>
      <c r="J192" s="10"/>
      <c r="N192" s="10"/>
      <c r="R192" s="10"/>
      <c r="S192" s="10"/>
      <c r="W192" s="42"/>
      <c r="X192" s="42"/>
      <c r="Y192" s="42"/>
    </row>
    <row r="193" spans="6:25" ht="15.75" customHeight="1">
      <c r="F193" s="10"/>
      <c r="J193" s="10"/>
      <c r="N193" s="10"/>
      <c r="R193" s="10"/>
      <c r="S193" s="10"/>
      <c r="W193" s="42"/>
      <c r="X193" s="42"/>
      <c r="Y193" s="42"/>
    </row>
    <row r="194" spans="6:25" ht="15.75" customHeight="1">
      <c r="F194" s="10"/>
      <c r="J194" s="10"/>
      <c r="N194" s="10"/>
      <c r="R194" s="10"/>
      <c r="S194" s="10"/>
      <c r="W194" s="42"/>
      <c r="X194" s="42"/>
      <c r="Y194" s="42"/>
    </row>
    <row r="195" spans="6:25" ht="15.75" customHeight="1">
      <c r="F195" s="10"/>
      <c r="J195" s="10"/>
      <c r="N195" s="10"/>
      <c r="R195" s="10"/>
      <c r="S195" s="10"/>
      <c r="W195" s="42"/>
      <c r="X195" s="42"/>
      <c r="Y195" s="42"/>
    </row>
    <row r="196" spans="6:25" ht="15.75" customHeight="1">
      <c r="F196" s="10"/>
      <c r="J196" s="10"/>
      <c r="N196" s="10"/>
      <c r="R196" s="10"/>
      <c r="S196" s="10"/>
      <c r="W196" s="42"/>
      <c r="X196" s="42"/>
      <c r="Y196" s="42"/>
    </row>
    <row r="197" spans="6:25" ht="15.75" customHeight="1">
      <c r="F197" s="10"/>
      <c r="J197" s="10"/>
      <c r="N197" s="10"/>
      <c r="R197" s="10"/>
      <c r="S197" s="10"/>
      <c r="W197" s="42"/>
      <c r="X197" s="42"/>
      <c r="Y197" s="42"/>
    </row>
    <row r="198" spans="6:25" ht="15.75" customHeight="1">
      <c r="F198" s="10"/>
      <c r="J198" s="10"/>
      <c r="N198" s="10"/>
      <c r="R198" s="10"/>
      <c r="S198" s="10"/>
      <c r="W198" s="42"/>
      <c r="X198" s="42"/>
      <c r="Y198" s="42"/>
    </row>
    <row r="199" spans="6:25" ht="15.75" customHeight="1">
      <c r="F199" s="10"/>
      <c r="J199" s="10"/>
      <c r="N199" s="10"/>
      <c r="R199" s="10"/>
      <c r="S199" s="10"/>
      <c r="W199" s="42"/>
      <c r="X199" s="42"/>
      <c r="Y199" s="42"/>
    </row>
    <row r="200" spans="6:25" ht="15.75" customHeight="1">
      <c r="F200" s="10"/>
      <c r="J200" s="10"/>
      <c r="N200" s="10"/>
      <c r="R200" s="10"/>
      <c r="S200" s="10"/>
      <c r="W200" s="42"/>
      <c r="X200" s="42"/>
      <c r="Y200" s="42"/>
    </row>
    <row r="201" spans="6:25" ht="15.75" customHeight="1">
      <c r="F201" s="10"/>
      <c r="J201" s="10"/>
      <c r="N201" s="10"/>
      <c r="R201" s="10"/>
      <c r="S201" s="10"/>
      <c r="W201" s="42"/>
      <c r="X201" s="42"/>
      <c r="Y201" s="42"/>
    </row>
    <row r="202" spans="6:25" ht="15.75" customHeight="1">
      <c r="F202" s="10"/>
      <c r="J202" s="10"/>
      <c r="N202" s="10"/>
      <c r="R202" s="10"/>
      <c r="S202" s="10"/>
      <c r="W202" s="42"/>
      <c r="X202" s="42"/>
      <c r="Y202" s="42"/>
    </row>
    <row r="203" spans="6:25" ht="15.75" customHeight="1">
      <c r="F203" s="10"/>
      <c r="J203" s="10"/>
      <c r="N203" s="10"/>
      <c r="R203" s="10"/>
      <c r="S203" s="10"/>
      <c r="W203" s="42"/>
      <c r="X203" s="42"/>
      <c r="Y203" s="42"/>
    </row>
    <row r="204" spans="6:25" ht="15.75" customHeight="1">
      <c r="F204" s="10"/>
      <c r="J204" s="10"/>
      <c r="N204" s="10"/>
      <c r="R204" s="10"/>
      <c r="S204" s="10"/>
      <c r="W204" s="42"/>
      <c r="X204" s="42"/>
      <c r="Y204" s="42"/>
    </row>
    <row r="205" spans="6:25" ht="15.75" customHeight="1">
      <c r="F205" s="10"/>
      <c r="J205" s="10"/>
      <c r="N205" s="10"/>
      <c r="R205" s="10"/>
      <c r="S205" s="10"/>
      <c r="W205" s="42"/>
      <c r="X205" s="42"/>
      <c r="Y205" s="42"/>
    </row>
    <row r="206" spans="6:25" ht="15.75" customHeight="1">
      <c r="F206" s="10"/>
      <c r="J206" s="10"/>
      <c r="N206" s="10"/>
      <c r="R206" s="10"/>
      <c r="S206" s="10"/>
      <c r="W206" s="42"/>
      <c r="X206" s="42"/>
      <c r="Y206" s="42"/>
    </row>
    <row r="207" spans="6:25" ht="15.75" customHeight="1">
      <c r="F207" s="10"/>
      <c r="J207" s="10"/>
      <c r="N207" s="10"/>
      <c r="R207" s="10"/>
      <c r="S207" s="10"/>
      <c r="W207" s="42"/>
      <c r="X207" s="42"/>
      <c r="Y207" s="42"/>
    </row>
    <row r="208" spans="6:25" ht="15.75" customHeight="1">
      <c r="F208" s="10"/>
      <c r="J208" s="10"/>
      <c r="N208" s="10"/>
      <c r="R208" s="10"/>
      <c r="S208" s="10"/>
      <c r="W208" s="42"/>
      <c r="X208" s="42"/>
      <c r="Y208" s="42"/>
    </row>
    <row r="209" spans="6:25" ht="15.75" customHeight="1">
      <c r="F209" s="10"/>
      <c r="J209" s="10"/>
      <c r="N209" s="10"/>
      <c r="R209" s="10"/>
      <c r="S209" s="10"/>
      <c r="W209" s="42"/>
      <c r="X209" s="42"/>
      <c r="Y209" s="42"/>
    </row>
    <row r="210" spans="6:25" ht="15.75" customHeight="1">
      <c r="F210" s="10"/>
      <c r="J210" s="10"/>
      <c r="N210" s="10"/>
      <c r="R210" s="10"/>
      <c r="S210" s="10"/>
      <c r="W210" s="42"/>
      <c r="X210" s="42"/>
      <c r="Y210" s="42"/>
    </row>
    <row r="211" spans="6:25" ht="15.75" customHeight="1">
      <c r="F211" s="10"/>
      <c r="J211" s="10"/>
      <c r="N211" s="10"/>
      <c r="R211" s="10"/>
      <c r="S211" s="10"/>
      <c r="W211" s="42"/>
      <c r="X211" s="42"/>
      <c r="Y211" s="42"/>
    </row>
    <row r="212" spans="6:25" ht="15.75" customHeight="1">
      <c r="F212" s="10"/>
      <c r="J212" s="10"/>
      <c r="N212" s="10"/>
      <c r="R212" s="10"/>
      <c r="S212" s="10"/>
      <c r="W212" s="42"/>
      <c r="X212" s="42"/>
      <c r="Y212" s="42"/>
    </row>
    <row r="213" spans="6:25" ht="15.75" customHeight="1">
      <c r="F213" s="10"/>
      <c r="J213" s="10"/>
      <c r="N213" s="10"/>
      <c r="R213" s="10"/>
      <c r="S213" s="10"/>
      <c r="W213" s="42"/>
      <c r="X213" s="42"/>
      <c r="Y213" s="42"/>
    </row>
    <row r="214" spans="6:25" ht="15.75" customHeight="1">
      <c r="F214" s="10"/>
      <c r="J214" s="10"/>
      <c r="N214" s="10"/>
      <c r="R214" s="10"/>
      <c r="S214" s="10"/>
      <c r="W214" s="42"/>
      <c r="X214" s="42"/>
      <c r="Y214" s="42"/>
    </row>
    <row r="215" spans="6:25" ht="15.75" customHeight="1">
      <c r="F215" s="10"/>
      <c r="J215" s="10"/>
      <c r="N215" s="10"/>
      <c r="R215" s="10"/>
      <c r="S215" s="10"/>
      <c r="W215" s="42"/>
      <c r="X215" s="42"/>
      <c r="Y215" s="42"/>
    </row>
    <row r="216" spans="6:25" ht="15.75" customHeight="1">
      <c r="F216" s="10"/>
      <c r="J216" s="10"/>
      <c r="N216" s="10"/>
      <c r="R216" s="10"/>
      <c r="S216" s="10"/>
      <c r="W216" s="42"/>
      <c r="X216" s="42"/>
      <c r="Y216" s="42"/>
    </row>
    <row r="217" spans="6:25" ht="15.75" customHeight="1">
      <c r="F217" s="10"/>
      <c r="J217" s="10"/>
      <c r="N217" s="10"/>
      <c r="R217" s="10"/>
      <c r="S217" s="10"/>
      <c r="W217" s="42"/>
      <c r="X217" s="42"/>
      <c r="Y217" s="42"/>
    </row>
    <row r="218" spans="6:25" ht="15.75" customHeight="1">
      <c r="F218" s="10"/>
      <c r="J218" s="10"/>
      <c r="N218" s="10"/>
      <c r="R218" s="10"/>
      <c r="S218" s="10"/>
      <c r="W218" s="42"/>
      <c r="X218" s="42"/>
      <c r="Y218" s="42"/>
    </row>
    <row r="219" spans="6:25" ht="15.75" customHeight="1">
      <c r="F219" s="10"/>
      <c r="J219" s="10"/>
      <c r="N219" s="10"/>
      <c r="R219" s="10"/>
      <c r="S219" s="10"/>
      <c r="W219" s="42"/>
      <c r="X219" s="42"/>
      <c r="Y219" s="42"/>
    </row>
    <row r="220" spans="6:25" ht="15.75" customHeight="1">
      <c r="F220" s="10"/>
      <c r="J220" s="10"/>
      <c r="N220" s="10"/>
      <c r="R220" s="10"/>
      <c r="S220" s="10"/>
      <c r="W220" s="42"/>
      <c r="X220" s="42"/>
      <c r="Y220" s="42"/>
    </row>
    <row r="221" spans="6:25" ht="15.75" customHeight="1">
      <c r="F221" s="10"/>
      <c r="J221" s="10"/>
      <c r="N221" s="10"/>
      <c r="R221" s="10"/>
      <c r="S221" s="10"/>
      <c r="W221" s="42"/>
      <c r="X221" s="42"/>
      <c r="Y221" s="42"/>
    </row>
    <row r="222" spans="6:25" ht="15.75" customHeight="1">
      <c r="F222" s="10"/>
      <c r="J222" s="10"/>
      <c r="N222" s="10"/>
      <c r="R222" s="10"/>
      <c r="S222" s="10"/>
      <c r="W222" s="42"/>
      <c r="X222" s="42"/>
      <c r="Y222" s="42"/>
    </row>
    <row r="223" spans="6:25" ht="15.75" customHeight="1">
      <c r="F223" s="10"/>
      <c r="J223" s="10"/>
      <c r="N223" s="10"/>
      <c r="R223" s="10"/>
      <c r="S223" s="10"/>
      <c r="W223" s="42"/>
      <c r="X223" s="42"/>
      <c r="Y223" s="42"/>
    </row>
    <row r="224" spans="6:25" ht="15.75" customHeight="1">
      <c r="F224" s="10"/>
      <c r="J224" s="10"/>
      <c r="N224" s="10"/>
      <c r="R224" s="10"/>
      <c r="S224" s="10"/>
      <c r="W224" s="42"/>
      <c r="X224" s="42"/>
      <c r="Y224" s="42"/>
    </row>
    <row r="225" spans="6:25" ht="15.75" customHeight="1">
      <c r="F225" s="10"/>
      <c r="J225" s="10"/>
      <c r="N225" s="10"/>
      <c r="R225" s="10"/>
      <c r="S225" s="10"/>
      <c r="W225" s="42"/>
      <c r="X225" s="42"/>
      <c r="Y225" s="42"/>
    </row>
    <row r="226" spans="6:25" ht="15.75" customHeight="1">
      <c r="F226" s="10"/>
      <c r="J226" s="10"/>
      <c r="N226" s="10"/>
      <c r="R226" s="10"/>
      <c r="S226" s="10"/>
      <c r="W226" s="42"/>
      <c r="X226" s="42"/>
      <c r="Y226" s="42"/>
    </row>
    <row r="227" spans="6:25" ht="15.75" customHeight="1">
      <c r="F227" s="10"/>
      <c r="J227" s="10"/>
      <c r="N227" s="10"/>
      <c r="R227" s="10"/>
      <c r="S227" s="10"/>
      <c r="W227" s="42"/>
      <c r="X227" s="42"/>
      <c r="Y227" s="42"/>
    </row>
    <row r="228" spans="6:25" ht="15.75" customHeight="1">
      <c r="F228" s="10"/>
      <c r="J228" s="10"/>
      <c r="N228" s="10"/>
      <c r="R228" s="10"/>
      <c r="S228" s="10"/>
      <c r="W228" s="42"/>
      <c r="X228" s="42"/>
      <c r="Y228" s="42"/>
    </row>
    <row r="229" spans="6:25" ht="15.75" customHeight="1">
      <c r="F229" s="10"/>
      <c r="J229" s="10"/>
      <c r="N229" s="10"/>
      <c r="R229" s="10"/>
      <c r="S229" s="10"/>
      <c r="W229" s="42"/>
      <c r="X229" s="42"/>
      <c r="Y229" s="42"/>
    </row>
    <row r="230" spans="6:25" ht="15.75" customHeight="1">
      <c r="F230" s="10"/>
      <c r="J230" s="10"/>
      <c r="N230" s="10"/>
      <c r="R230" s="10"/>
      <c r="S230" s="10"/>
      <c r="W230" s="42"/>
      <c r="X230" s="42"/>
      <c r="Y230" s="42"/>
    </row>
    <row r="231" spans="6:25" ht="15.75" customHeight="1">
      <c r="F231" s="10"/>
      <c r="J231" s="10"/>
      <c r="N231" s="10"/>
      <c r="R231" s="10"/>
      <c r="S231" s="10"/>
      <c r="W231" s="42"/>
      <c r="X231" s="42"/>
      <c r="Y231" s="42"/>
    </row>
    <row r="232" spans="6:25" ht="15.75" customHeight="1">
      <c r="F232" s="10"/>
      <c r="J232" s="10"/>
      <c r="N232" s="10"/>
      <c r="R232" s="10"/>
      <c r="S232" s="10"/>
      <c r="W232" s="42"/>
      <c r="X232" s="42"/>
      <c r="Y232" s="42"/>
    </row>
    <row r="233" spans="6:25" ht="15.75" customHeight="1">
      <c r="F233" s="10"/>
      <c r="J233" s="10"/>
      <c r="N233" s="10"/>
      <c r="R233" s="10"/>
      <c r="S233" s="10"/>
      <c r="W233" s="42"/>
      <c r="X233" s="42"/>
      <c r="Y233" s="42"/>
    </row>
    <row r="234" spans="6:25" ht="15.75" customHeight="1">
      <c r="F234" s="10"/>
      <c r="J234" s="10"/>
      <c r="N234" s="10"/>
      <c r="R234" s="10"/>
      <c r="S234" s="10"/>
      <c r="W234" s="42"/>
      <c r="X234" s="42"/>
      <c r="Y234" s="42"/>
    </row>
    <row r="235" spans="6:25" ht="15.75" customHeight="1">
      <c r="F235" s="10"/>
      <c r="J235" s="10"/>
      <c r="N235" s="10"/>
      <c r="R235" s="10"/>
      <c r="S235" s="10"/>
      <c r="W235" s="42"/>
      <c r="X235" s="42"/>
      <c r="Y235" s="42"/>
    </row>
    <row r="236" spans="6:25" ht="15.75" customHeight="1">
      <c r="F236" s="10"/>
      <c r="J236" s="10"/>
      <c r="N236" s="10"/>
      <c r="R236" s="10"/>
      <c r="S236" s="10"/>
      <c r="W236" s="42"/>
      <c r="X236" s="42"/>
      <c r="Y236" s="42"/>
    </row>
    <row r="237" spans="6:25" ht="15.75" customHeight="1">
      <c r="F237" s="10"/>
      <c r="J237" s="10"/>
      <c r="N237" s="10"/>
      <c r="R237" s="10"/>
      <c r="S237" s="10"/>
      <c r="W237" s="42"/>
      <c r="X237" s="42"/>
      <c r="Y237" s="42"/>
    </row>
    <row r="238" spans="6:25" ht="15.75" customHeight="1">
      <c r="F238" s="10"/>
      <c r="J238" s="10"/>
      <c r="N238" s="10"/>
      <c r="R238" s="10"/>
      <c r="S238" s="10"/>
      <c r="W238" s="42"/>
      <c r="X238" s="42"/>
      <c r="Y238" s="42"/>
    </row>
    <row r="239" spans="6:25" ht="15.75" customHeight="1">
      <c r="F239" s="10"/>
      <c r="J239" s="10"/>
      <c r="N239" s="10"/>
      <c r="R239" s="10"/>
      <c r="S239" s="10"/>
      <c r="W239" s="42"/>
      <c r="X239" s="42"/>
      <c r="Y239" s="42"/>
    </row>
    <row r="240" spans="6:25" ht="15.75" customHeight="1">
      <c r="F240" s="10"/>
      <c r="J240" s="10"/>
      <c r="N240" s="10"/>
      <c r="R240" s="10"/>
      <c r="S240" s="10"/>
      <c r="W240" s="42"/>
      <c r="X240" s="42"/>
      <c r="Y240" s="42"/>
    </row>
    <row r="241" spans="6:25" ht="15.75" customHeight="1">
      <c r="F241" s="10"/>
      <c r="J241" s="10"/>
      <c r="N241" s="10"/>
      <c r="R241" s="10"/>
      <c r="S241" s="10"/>
      <c r="W241" s="42"/>
      <c r="X241" s="42"/>
      <c r="Y241" s="42"/>
    </row>
    <row r="242" spans="6:25" ht="15.75" customHeight="1">
      <c r="F242" s="10"/>
      <c r="J242" s="10"/>
      <c r="N242" s="10"/>
      <c r="R242" s="10"/>
      <c r="S242" s="10"/>
      <c r="W242" s="42"/>
      <c r="X242" s="42"/>
      <c r="Y242" s="42"/>
    </row>
    <row r="243" spans="6:25" ht="15.75" customHeight="1">
      <c r="F243" s="10"/>
      <c r="J243" s="10"/>
      <c r="N243" s="10"/>
      <c r="R243" s="10"/>
      <c r="S243" s="10"/>
      <c r="W243" s="42"/>
      <c r="X243" s="42"/>
      <c r="Y243" s="42"/>
    </row>
    <row r="244" spans="6:25" ht="15.75" customHeight="1">
      <c r="F244" s="10"/>
      <c r="J244" s="10"/>
      <c r="N244" s="10"/>
      <c r="R244" s="10"/>
      <c r="S244" s="10"/>
      <c r="W244" s="42"/>
      <c r="X244" s="42"/>
      <c r="Y244" s="42"/>
    </row>
    <row r="245" spans="6:25" ht="15.75" customHeight="1">
      <c r="F245" s="10"/>
      <c r="J245" s="10"/>
      <c r="N245" s="10"/>
      <c r="R245" s="10"/>
      <c r="S245" s="10"/>
      <c r="W245" s="42"/>
      <c r="X245" s="42"/>
      <c r="Y245" s="42"/>
    </row>
    <row r="246" spans="6:25" ht="15.75" customHeight="1">
      <c r="F246" s="10"/>
      <c r="J246" s="10"/>
      <c r="N246" s="10"/>
      <c r="R246" s="10"/>
      <c r="S246" s="10"/>
      <c r="W246" s="42"/>
      <c r="X246" s="42"/>
      <c r="Y246" s="42"/>
    </row>
    <row r="247" spans="6:25" ht="15.75" customHeight="1">
      <c r="F247" s="10"/>
      <c r="J247" s="10"/>
      <c r="N247" s="10"/>
      <c r="R247" s="10"/>
      <c r="S247" s="10"/>
      <c r="W247" s="42"/>
      <c r="X247" s="42"/>
      <c r="Y247" s="42"/>
    </row>
    <row r="248" spans="6:25" ht="15.75" customHeight="1">
      <c r="F248" s="10"/>
      <c r="J248" s="10"/>
      <c r="N248" s="10"/>
      <c r="R248" s="10"/>
      <c r="S248" s="10"/>
      <c r="W248" s="42"/>
      <c r="X248" s="42"/>
      <c r="Y248" s="42"/>
    </row>
    <row r="249" spans="6:25" ht="15.75" customHeight="1">
      <c r="F249" s="10"/>
      <c r="J249" s="10"/>
      <c r="N249" s="10"/>
      <c r="R249" s="10"/>
      <c r="S249" s="10"/>
      <c r="W249" s="42"/>
      <c r="X249" s="42"/>
      <c r="Y249" s="42"/>
    </row>
    <row r="250" spans="6:25" ht="15.75" customHeight="1">
      <c r="F250" s="10"/>
      <c r="J250" s="10"/>
      <c r="N250" s="10"/>
      <c r="R250" s="10"/>
      <c r="S250" s="10"/>
      <c r="W250" s="42"/>
      <c r="X250" s="42"/>
      <c r="Y250" s="42"/>
    </row>
    <row r="251" spans="6:25" ht="15.75" customHeight="1">
      <c r="F251" s="10"/>
      <c r="J251" s="10"/>
      <c r="N251" s="10"/>
      <c r="R251" s="10"/>
      <c r="S251" s="10"/>
      <c r="W251" s="42"/>
      <c r="X251" s="42"/>
      <c r="Y251" s="42"/>
    </row>
    <row r="252" spans="6:25" ht="15.75" customHeight="1">
      <c r="F252" s="10"/>
      <c r="J252" s="10"/>
      <c r="N252" s="10"/>
      <c r="R252" s="10"/>
      <c r="S252" s="10"/>
      <c r="W252" s="42"/>
      <c r="X252" s="42"/>
      <c r="Y252" s="42"/>
    </row>
    <row r="253" spans="6:25" ht="15.75" customHeight="1">
      <c r="F253" s="10"/>
      <c r="J253" s="10"/>
      <c r="N253" s="10"/>
      <c r="R253" s="10"/>
      <c r="S253" s="10"/>
      <c r="W253" s="42"/>
      <c r="X253" s="42"/>
      <c r="Y253" s="42"/>
    </row>
    <row r="254" spans="6:25" ht="15.75" customHeight="1">
      <c r="F254" s="10"/>
      <c r="J254" s="10"/>
      <c r="N254" s="10"/>
      <c r="R254" s="10"/>
      <c r="S254" s="10"/>
      <c r="W254" s="42"/>
      <c r="X254" s="42"/>
      <c r="Y254" s="42"/>
    </row>
    <row r="255" spans="6:25" ht="15.75" customHeight="1">
      <c r="F255" s="10"/>
      <c r="J255" s="10"/>
      <c r="N255" s="10"/>
      <c r="R255" s="10"/>
      <c r="S255" s="10"/>
      <c r="W255" s="42"/>
      <c r="X255" s="42"/>
      <c r="Y255" s="42"/>
    </row>
    <row r="256" spans="6:25" ht="15.75" customHeight="1">
      <c r="F256" s="10"/>
      <c r="J256" s="10"/>
      <c r="N256" s="10"/>
      <c r="R256" s="10"/>
      <c r="S256" s="10"/>
      <c r="W256" s="42"/>
      <c r="X256" s="42"/>
      <c r="Y256" s="42"/>
    </row>
    <row r="257" spans="6:25" ht="15.75" customHeight="1">
      <c r="F257" s="10"/>
      <c r="J257" s="10"/>
      <c r="N257" s="10"/>
      <c r="R257" s="10"/>
      <c r="S257" s="10"/>
      <c r="W257" s="42"/>
      <c r="X257" s="42"/>
      <c r="Y257" s="42"/>
    </row>
    <row r="258" spans="6:25" ht="15.75" customHeight="1">
      <c r="F258" s="10"/>
      <c r="J258" s="10"/>
      <c r="N258" s="10"/>
      <c r="R258" s="10"/>
      <c r="S258" s="10"/>
      <c r="W258" s="42"/>
      <c r="X258" s="42"/>
      <c r="Y258" s="42"/>
    </row>
    <row r="259" spans="6:25" ht="15.75" customHeight="1">
      <c r="F259" s="10"/>
      <c r="J259" s="10"/>
      <c r="N259" s="10"/>
      <c r="R259" s="10"/>
      <c r="S259" s="10"/>
      <c r="W259" s="42"/>
      <c r="X259" s="42"/>
      <c r="Y259" s="42"/>
    </row>
    <row r="260" spans="6:25" ht="15.75" customHeight="1">
      <c r="F260" s="10"/>
      <c r="J260" s="10"/>
      <c r="N260" s="10"/>
      <c r="R260" s="10"/>
      <c r="S260" s="10"/>
      <c r="W260" s="42"/>
      <c r="X260" s="42"/>
      <c r="Y260" s="42"/>
    </row>
    <row r="261" spans="6:25" ht="15.75" customHeight="1">
      <c r="F261" s="10"/>
      <c r="J261" s="10"/>
      <c r="N261" s="10"/>
      <c r="R261" s="10"/>
      <c r="S261" s="10"/>
      <c r="W261" s="42"/>
      <c r="X261" s="42"/>
      <c r="Y261" s="42"/>
    </row>
    <row r="262" spans="6:25" ht="15.75" customHeight="1">
      <c r="F262" s="10"/>
      <c r="J262" s="10"/>
      <c r="N262" s="10"/>
      <c r="R262" s="10"/>
      <c r="S262" s="10"/>
      <c r="W262" s="42"/>
      <c r="X262" s="42"/>
      <c r="Y262" s="42"/>
    </row>
    <row r="263" spans="6:25" ht="15.75" customHeight="1">
      <c r="F263" s="10"/>
      <c r="J263" s="10"/>
      <c r="N263" s="10"/>
      <c r="R263" s="10"/>
      <c r="S263" s="10"/>
      <c r="W263" s="42"/>
      <c r="X263" s="42"/>
      <c r="Y263" s="42"/>
    </row>
    <row r="264" spans="6:25" ht="15.75" customHeight="1">
      <c r="F264" s="10"/>
      <c r="J264" s="10"/>
      <c r="N264" s="10"/>
      <c r="R264" s="10"/>
      <c r="S264" s="10"/>
      <c r="W264" s="42"/>
      <c r="X264" s="42"/>
      <c r="Y264" s="42"/>
    </row>
    <row r="265" spans="6:25" ht="15.75" customHeight="1">
      <c r="F265" s="10"/>
      <c r="J265" s="10"/>
      <c r="N265" s="10"/>
      <c r="R265" s="10"/>
      <c r="S265" s="10"/>
      <c r="W265" s="42"/>
      <c r="X265" s="42"/>
      <c r="Y265" s="42"/>
    </row>
    <row r="266" spans="6:25" ht="15.75" customHeight="1">
      <c r="F266" s="10"/>
      <c r="J266" s="10"/>
      <c r="N266" s="10"/>
      <c r="R266" s="10"/>
      <c r="S266" s="10"/>
      <c r="W266" s="42"/>
      <c r="X266" s="42"/>
      <c r="Y266" s="42"/>
    </row>
    <row r="267" spans="6:25" ht="15.75" customHeight="1">
      <c r="F267" s="10"/>
      <c r="J267" s="10"/>
      <c r="N267" s="10"/>
      <c r="R267" s="10"/>
      <c r="S267" s="10"/>
      <c r="W267" s="42"/>
      <c r="X267" s="42"/>
      <c r="Y267" s="42"/>
    </row>
    <row r="268" spans="6:25" ht="15.75" customHeight="1">
      <c r="F268" s="10"/>
      <c r="J268" s="10"/>
      <c r="N268" s="10"/>
      <c r="R268" s="10"/>
      <c r="S268" s="10"/>
      <c r="W268" s="42"/>
      <c r="X268" s="42"/>
      <c r="Y268" s="42"/>
    </row>
    <row r="269" spans="6:25" ht="15.75" customHeight="1">
      <c r="F269" s="10"/>
      <c r="J269" s="10"/>
      <c r="N269" s="10"/>
      <c r="R269" s="10"/>
      <c r="S269" s="10"/>
      <c r="W269" s="42"/>
      <c r="X269" s="42"/>
      <c r="Y269" s="42"/>
    </row>
    <row r="270" spans="6:25" ht="15.75" customHeight="1">
      <c r="F270" s="10"/>
      <c r="J270" s="10"/>
      <c r="N270" s="10"/>
      <c r="R270" s="10"/>
      <c r="S270" s="10"/>
      <c r="W270" s="42"/>
      <c r="X270" s="42"/>
      <c r="Y270" s="42"/>
    </row>
    <row r="271" spans="6:25" ht="15.75" customHeight="1">
      <c r="F271" s="10"/>
      <c r="J271" s="10"/>
      <c r="N271" s="10"/>
      <c r="R271" s="10"/>
      <c r="S271" s="10"/>
      <c r="W271" s="42"/>
      <c r="X271" s="42"/>
      <c r="Y271" s="42"/>
    </row>
    <row r="272" spans="6:25" ht="15.75" customHeight="1">
      <c r="F272" s="10"/>
      <c r="J272" s="10"/>
      <c r="N272" s="10"/>
      <c r="R272" s="10"/>
      <c r="S272" s="10"/>
      <c r="W272" s="42"/>
      <c r="X272" s="42"/>
      <c r="Y272" s="42"/>
    </row>
    <row r="273" spans="6:25" ht="15.75" customHeight="1">
      <c r="F273" s="10"/>
      <c r="J273" s="10"/>
      <c r="N273" s="10"/>
      <c r="R273" s="10"/>
      <c r="S273" s="10"/>
      <c r="W273" s="42"/>
      <c r="X273" s="42"/>
      <c r="Y273" s="42"/>
    </row>
    <row r="274" spans="6:25" ht="15.75" customHeight="1">
      <c r="F274" s="10"/>
      <c r="J274" s="10"/>
      <c r="N274" s="10"/>
      <c r="R274" s="10"/>
      <c r="S274" s="10"/>
      <c r="W274" s="42"/>
      <c r="X274" s="42"/>
      <c r="Y274" s="42"/>
    </row>
    <row r="275" spans="6:25" ht="15.75" customHeight="1">
      <c r="F275" s="10"/>
      <c r="J275" s="10"/>
      <c r="N275" s="10"/>
      <c r="R275" s="10"/>
      <c r="S275" s="10"/>
      <c r="W275" s="42"/>
      <c r="X275" s="42"/>
      <c r="Y275" s="42"/>
    </row>
    <row r="276" spans="6:25" ht="15.75" customHeight="1">
      <c r="F276" s="10"/>
      <c r="J276" s="10"/>
      <c r="N276" s="10"/>
      <c r="R276" s="10"/>
      <c r="S276" s="10"/>
      <c r="W276" s="42"/>
      <c r="X276" s="42"/>
      <c r="Y276" s="42"/>
    </row>
    <row r="277" spans="6:25" ht="15.75" customHeight="1">
      <c r="F277" s="10"/>
      <c r="J277" s="10"/>
      <c r="N277" s="10"/>
      <c r="R277" s="10"/>
      <c r="S277" s="10"/>
      <c r="W277" s="42"/>
      <c r="X277" s="42"/>
      <c r="Y277" s="42"/>
    </row>
    <row r="278" spans="6:25" ht="15.75" customHeight="1">
      <c r="F278" s="10"/>
      <c r="J278" s="10"/>
      <c r="N278" s="10"/>
      <c r="R278" s="10"/>
      <c r="S278" s="10"/>
      <c r="W278" s="42"/>
      <c r="X278" s="42"/>
      <c r="Y278" s="42"/>
    </row>
    <row r="279" spans="6:25" ht="15.75" customHeight="1">
      <c r="F279" s="10"/>
      <c r="J279" s="10"/>
      <c r="N279" s="10"/>
      <c r="R279" s="10"/>
      <c r="S279" s="10"/>
      <c r="W279" s="42"/>
      <c r="X279" s="42"/>
      <c r="Y279" s="42"/>
    </row>
    <row r="280" spans="6:25" ht="15.75" customHeight="1">
      <c r="F280" s="10"/>
      <c r="J280" s="10"/>
      <c r="N280" s="10"/>
      <c r="R280" s="10"/>
      <c r="S280" s="10"/>
      <c r="W280" s="42"/>
      <c r="X280" s="42"/>
      <c r="Y280" s="42"/>
    </row>
    <row r="281" spans="6:25" ht="15.75" customHeight="1">
      <c r="F281" s="10"/>
      <c r="J281" s="10"/>
      <c r="N281" s="10"/>
      <c r="R281" s="10"/>
      <c r="S281" s="10"/>
      <c r="W281" s="42"/>
      <c r="X281" s="42"/>
      <c r="Y281" s="42"/>
    </row>
    <row r="282" spans="6:25" ht="15.75" customHeight="1">
      <c r="F282" s="10"/>
      <c r="J282" s="10"/>
      <c r="N282" s="10"/>
      <c r="R282" s="10"/>
      <c r="S282" s="10"/>
      <c r="W282" s="42"/>
      <c r="X282" s="42"/>
      <c r="Y282" s="42"/>
    </row>
    <row r="283" spans="6:25" ht="15.75" customHeight="1">
      <c r="F283" s="10"/>
      <c r="J283" s="10"/>
      <c r="N283" s="10"/>
      <c r="R283" s="10"/>
      <c r="S283" s="10"/>
      <c r="W283" s="42"/>
      <c r="X283" s="42"/>
      <c r="Y283" s="42"/>
    </row>
    <row r="284" spans="6:25" ht="15.75" customHeight="1">
      <c r="F284" s="10"/>
      <c r="J284" s="10"/>
      <c r="N284" s="10"/>
      <c r="R284" s="10"/>
      <c r="S284" s="10"/>
      <c r="W284" s="42"/>
      <c r="X284" s="42"/>
      <c r="Y284" s="42"/>
    </row>
    <row r="285" spans="6:25" ht="15.75" customHeight="1">
      <c r="F285" s="10"/>
      <c r="J285" s="10"/>
      <c r="N285" s="10"/>
      <c r="R285" s="10"/>
      <c r="S285" s="10"/>
      <c r="W285" s="42"/>
      <c r="X285" s="42"/>
      <c r="Y285" s="42"/>
    </row>
    <row r="286" spans="6:25" ht="15.75" customHeight="1">
      <c r="F286" s="10"/>
      <c r="J286" s="10"/>
      <c r="N286" s="10"/>
      <c r="R286" s="10"/>
      <c r="S286" s="10"/>
      <c r="W286" s="42"/>
      <c r="X286" s="42"/>
      <c r="Y286" s="42"/>
    </row>
    <row r="287" spans="6:25" ht="15.75" customHeight="1">
      <c r="F287" s="10"/>
      <c r="J287" s="10"/>
      <c r="N287" s="10"/>
      <c r="R287" s="10"/>
      <c r="S287" s="10"/>
      <c r="W287" s="42"/>
      <c r="X287" s="42"/>
      <c r="Y287" s="42"/>
    </row>
    <row r="288" spans="6:25" ht="15.75" customHeight="1">
      <c r="F288" s="10"/>
      <c r="J288" s="10"/>
      <c r="N288" s="10"/>
      <c r="R288" s="10"/>
      <c r="S288" s="10"/>
      <c r="W288" s="42"/>
      <c r="X288" s="42"/>
      <c r="Y288" s="42"/>
    </row>
    <row r="289" spans="6:25" ht="15.75" customHeight="1">
      <c r="F289" s="10"/>
      <c r="J289" s="10"/>
      <c r="N289" s="10"/>
      <c r="R289" s="10"/>
      <c r="S289" s="10"/>
      <c r="W289" s="42"/>
      <c r="X289" s="42"/>
      <c r="Y289" s="42"/>
    </row>
    <row r="290" spans="6:25" ht="15.75" customHeight="1">
      <c r="F290" s="10"/>
      <c r="J290" s="10"/>
      <c r="N290" s="10"/>
      <c r="R290" s="10"/>
      <c r="S290" s="10"/>
      <c r="W290" s="42"/>
      <c r="X290" s="42"/>
      <c r="Y290" s="42"/>
    </row>
    <row r="291" spans="6:25" ht="15.75" customHeight="1">
      <c r="F291" s="10"/>
      <c r="J291" s="10"/>
      <c r="N291" s="10"/>
      <c r="R291" s="10"/>
      <c r="S291" s="10"/>
      <c r="W291" s="42"/>
      <c r="X291" s="42"/>
      <c r="Y291" s="42"/>
    </row>
    <row r="292" spans="6:25" ht="15.75" customHeight="1">
      <c r="F292" s="10"/>
      <c r="J292" s="10"/>
      <c r="N292" s="10"/>
      <c r="R292" s="10"/>
      <c r="S292" s="10"/>
      <c r="W292" s="42"/>
      <c r="X292" s="42"/>
      <c r="Y292" s="42"/>
    </row>
    <row r="293" spans="6:25" ht="15.75" customHeight="1">
      <c r="F293" s="10"/>
      <c r="J293" s="10"/>
      <c r="N293" s="10"/>
      <c r="R293" s="10"/>
      <c r="S293" s="10"/>
      <c r="W293" s="42"/>
      <c r="X293" s="42"/>
      <c r="Y293" s="42"/>
    </row>
    <row r="294" spans="6:25" ht="15.75" customHeight="1">
      <c r="F294" s="10"/>
      <c r="J294" s="10"/>
      <c r="N294" s="10"/>
      <c r="R294" s="10"/>
      <c r="S294" s="10"/>
      <c r="W294" s="42"/>
      <c r="X294" s="42"/>
      <c r="Y294" s="42"/>
    </row>
    <row r="295" spans="6:25" ht="15.75" customHeight="1">
      <c r="F295" s="10"/>
      <c r="J295" s="10"/>
      <c r="N295" s="10"/>
      <c r="R295" s="10"/>
      <c r="S295" s="10"/>
      <c r="W295" s="42"/>
      <c r="X295" s="42"/>
      <c r="Y295" s="42"/>
    </row>
    <row r="296" spans="6:25" ht="15.75" customHeight="1">
      <c r="F296" s="10"/>
      <c r="J296" s="10"/>
      <c r="N296" s="10"/>
      <c r="R296" s="10"/>
      <c r="S296" s="10"/>
      <c r="W296" s="42"/>
      <c r="X296" s="42"/>
      <c r="Y296" s="42"/>
    </row>
    <row r="297" spans="6:25" ht="15.75" customHeight="1">
      <c r="F297" s="10"/>
      <c r="J297" s="10"/>
      <c r="N297" s="10"/>
      <c r="R297" s="10"/>
      <c r="S297" s="10"/>
      <c r="W297" s="42"/>
      <c r="X297" s="42"/>
      <c r="Y297" s="42"/>
    </row>
    <row r="298" spans="6:25" ht="15.75" customHeight="1">
      <c r="F298" s="10"/>
      <c r="J298" s="10"/>
      <c r="N298" s="10"/>
      <c r="R298" s="10"/>
      <c r="S298" s="10"/>
      <c r="W298" s="42"/>
      <c r="X298" s="42"/>
      <c r="Y298" s="42"/>
    </row>
    <row r="299" spans="6:25" ht="15.75" customHeight="1">
      <c r="F299" s="10"/>
      <c r="J299" s="10"/>
      <c r="N299" s="10"/>
      <c r="R299" s="10"/>
      <c r="S299" s="10"/>
      <c r="W299" s="42"/>
      <c r="X299" s="42"/>
      <c r="Y299" s="42"/>
    </row>
    <row r="300" spans="6:25" ht="15.75" customHeight="1">
      <c r="F300" s="10"/>
      <c r="J300" s="10"/>
      <c r="N300" s="10"/>
      <c r="R300" s="10"/>
      <c r="S300" s="10"/>
      <c r="W300" s="42"/>
      <c r="X300" s="42"/>
      <c r="Y300" s="42"/>
    </row>
    <row r="301" spans="6:25" ht="15.75" customHeight="1">
      <c r="F301" s="10"/>
      <c r="J301" s="10"/>
      <c r="N301" s="10"/>
      <c r="R301" s="10"/>
      <c r="S301" s="10"/>
      <c r="W301" s="42"/>
      <c r="X301" s="42"/>
      <c r="Y301" s="42"/>
    </row>
    <row r="302" spans="6:25" ht="15.75" customHeight="1">
      <c r="F302" s="10"/>
      <c r="J302" s="10"/>
      <c r="N302" s="10"/>
      <c r="R302" s="10"/>
      <c r="S302" s="10"/>
      <c r="W302" s="42"/>
      <c r="X302" s="42"/>
      <c r="Y302" s="42"/>
    </row>
    <row r="303" spans="6:25" ht="15.75" customHeight="1">
      <c r="F303" s="10"/>
      <c r="J303" s="10"/>
      <c r="N303" s="10"/>
      <c r="R303" s="10"/>
      <c r="S303" s="10"/>
      <c r="W303" s="42"/>
      <c r="X303" s="42"/>
      <c r="Y303" s="42"/>
    </row>
    <row r="304" spans="6:25" ht="15.75" customHeight="1">
      <c r="F304" s="10"/>
      <c r="J304" s="10"/>
      <c r="N304" s="10"/>
      <c r="R304" s="10"/>
      <c r="S304" s="10"/>
      <c r="W304" s="42"/>
      <c r="X304" s="42"/>
      <c r="Y304" s="42"/>
    </row>
    <row r="305" spans="6:25" ht="15.75" customHeight="1">
      <c r="F305" s="10"/>
      <c r="J305" s="10"/>
      <c r="N305" s="10"/>
      <c r="R305" s="10"/>
      <c r="S305" s="10"/>
      <c r="W305" s="42"/>
      <c r="X305" s="42"/>
      <c r="Y305" s="42"/>
    </row>
    <row r="306" spans="6:25" ht="15.75" customHeight="1">
      <c r="F306" s="10"/>
      <c r="J306" s="10"/>
      <c r="N306" s="10"/>
      <c r="R306" s="10"/>
      <c r="S306" s="10"/>
      <c r="W306" s="42"/>
      <c r="X306" s="42"/>
      <c r="Y306" s="42"/>
    </row>
    <row r="307" spans="6:25" ht="15.75" customHeight="1">
      <c r="F307" s="10"/>
      <c r="J307" s="10"/>
      <c r="N307" s="10"/>
      <c r="R307" s="10"/>
      <c r="S307" s="10"/>
      <c r="W307" s="42"/>
      <c r="X307" s="42"/>
      <c r="Y307" s="42"/>
    </row>
    <row r="308" spans="6:25" ht="15.75" customHeight="1">
      <c r="F308" s="10"/>
      <c r="J308" s="10"/>
      <c r="N308" s="10"/>
      <c r="R308" s="10"/>
      <c r="S308" s="10"/>
      <c r="W308" s="42"/>
      <c r="X308" s="42"/>
      <c r="Y308" s="42"/>
    </row>
    <row r="309" spans="6:25" ht="15.75" customHeight="1">
      <c r="F309" s="10"/>
      <c r="J309" s="10"/>
      <c r="N309" s="10"/>
      <c r="R309" s="10"/>
      <c r="S309" s="10"/>
      <c r="W309" s="42"/>
      <c r="X309" s="42"/>
      <c r="Y309" s="42"/>
    </row>
    <row r="310" spans="6:25" ht="15.75" customHeight="1">
      <c r="F310" s="10"/>
      <c r="J310" s="10"/>
      <c r="N310" s="10"/>
      <c r="R310" s="10"/>
      <c r="S310" s="10"/>
      <c r="W310" s="42"/>
      <c r="X310" s="42"/>
      <c r="Y310" s="42"/>
    </row>
    <row r="311" spans="6:25" ht="15.75" customHeight="1">
      <c r="F311" s="10"/>
      <c r="J311" s="10"/>
      <c r="N311" s="10"/>
      <c r="R311" s="10"/>
      <c r="S311" s="10"/>
      <c r="W311" s="42"/>
      <c r="X311" s="42"/>
      <c r="Y311" s="42"/>
    </row>
    <row r="312" spans="6:25" ht="15.75" customHeight="1">
      <c r="F312" s="10"/>
      <c r="J312" s="10"/>
      <c r="N312" s="10"/>
      <c r="R312" s="10"/>
      <c r="S312" s="10"/>
      <c r="W312" s="42"/>
      <c r="X312" s="42"/>
      <c r="Y312" s="42"/>
    </row>
    <row r="313" spans="6:25" ht="15.75" customHeight="1">
      <c r="F313" s="10"/>
      <c r="J313" s="10"/>
      <c r="N313" s="10"/>
      <c r="R313" s="10"/>
      <c r="S313" s="10"/>
      <c r="W313" s="42"/>
      <c r="X313" s="42"/>
      <c r="Y313" s="42"/>
    </row>
    <row r="314" spans="6:25" ht="15.75" customHeight="1">
      <c r="F314" s="10"/>
      <c r="J314" s="10"/>
      <c r="N314" s="10"/>
      <c r="R314" s="10"/>
      <c r="S314" s="10"/>
      <c r="W314" s="42"/>
      <c r="X314" s="42"/>
      <c r="Y314" s="42"/>
    </row>
    <row r="315" spans="6:25" ht="15.75" customHeight="1">
      <c r="F315" s="10"/>
      <c r="J315" s="10"/>
      <c r="N315" s="10"/>
      <c r="R315" s="10"/>
      <c r="S315" s="10"/>
      <c r="W315" s="42"/>
      <c r="X315" s="42"/>
      <c r="Y315" s="42"/>
    </row>
    <row r="316" spans="6:25" ht="15.75" customHeight="1">
      <c r="F316" s="10"/>
      <c r="J316" s="10"/>
      <c r="N316" s="10"/>
      <c r="R316" s="10"/>
      <c r="S316" s="10"/>
      <c r="W316" s="42"/>
      <c r="X316" s="42"/>
      <c r="Y316" s="42"/>
    </row>
    <row r="317" spans="6:25" ht="15.75" customHeight="1">
      <c r="F317" s="10"/>
      <c r="J317" s="10"/>
      <c r="N317" s="10"/>
      <c r="R317" s="10"/>
      <c r="S317" s="10"/>
      <c r="W317" s="42"/>
      <c r="X317" s="42"/>
      <c r="Y317" s="42"/>
    </row>
    <row r="318" spans="6:25" ht="15.75" customHeight="1">
      <c r="F318" s="10"/>
      <c r="J318" s="10"/>
      <c r="N318" s="10"/>
      <c r="R318" s="10"/>
      <c r="S318" s="10"/>
      <c r="W318" s="42"/>
      <c r="X318" s="42"/>
      <c r="Y318" s="42"/>
    </row>
    <row r="319" spans="6:25" ht="15.75" customHeight="1">
      <c r="F319" s="10"/>
      <c r="J319" s="10"/>
      <c r="N319" s="10"/>
      <c r="R319" s="10"/>
      <c r="S319" s="10"/>
      <c r="W319" s="42"/>
      <c r="X319" s="42"/>
      <c r="Y319" s="42"/>
    </row>
    <row r="320" spans="6:25" ht="15.75" customHeight="1">
      <c r="F320" s="10"/>
      <c r="J320" s="10"/>
      <c r="N320" s="10"/>
      <c r="R320" s="10"/>
      <c r="S320" s="10"/>
      <c r="W320" s="42"/>
      <c r="X320" s="42"/>
      <c r="Y320" s="42"/>
    </row>
    <row r="321" spans="6:25" ht="15.75" customHeight="1">
      <c r="F321" s="10"/>
      <c r="J321" s="10"/>
      <c r="N321" s="10"/>
      <c r="R321" s="10"/>
      <c r="S321" s="10"/>
      <c r="W321" s="42"/>
      <c r="X321" s="42"/>
      <c r="Y321" s="42"/>
    </row>
    <row r="322" spans="6:25" ht="15.75" customHeight="1">
      <c r="F322" s="10"/>
      <c r="J322" s="10"/>
      <c r="N322" s="10"/>
      <c r="R322" s="10"/>
      <c r="S322" s="10"/>
      <c r="W322" s="42"/>
      <c r="X322" s="42"/>
      <c r="Y322" s="42"/>
    </row>
    <row r="323" spans="6:25" ht="15.75" customHeight="1">
      <c r="F323" s="10"/>
      <c r="J323" s="10"/>
      <c r="N323" s="10"/>
      <c r="R323" s="10"/>
      <c r="S323" s="10"/>
      <c r="W323" s="42"/>
      <c r="X323" s="42"/>
      <c r="Y323" s="42"/>
    </row>
    <row r="324" spans="6:25" ht="15.75" customHeight="1">
      <c r="F324" s="10"/>
      <c r="J324" s="10"/>
      <c r="N324" s="10"/>
      <c r="R324" s="10"/>
      <c r="S324" s="10"/>
      <c r="W324" s="42"/>
      <c r="X324" s="42"/>
      <c r="Y324" s="42"/>
    </row>
    <row r="325" spans="6:25" ht="15.75" customHeight="1">
      <c r="F325" s="10"/>
      <c r="J325" s="10"/>
      <c r="N325" s="10"/>
      <c r="R325" s="10"/>
      <c r="S325" s="10"/>
      <c r="W325" s="42"/>
      <c r="X325" s="42"/>
      <c r="Y325" s="42"/>
    </row>
    <row r="326" spans="6:25" ht="15.75" customHeight="1">
      <c r="F326" s="10"/>
      <c r="J326" s="10"/>
      <c r="N326" s="10"/>
      <c r="R326" s="10"/>
      <c r="S326" s="10"/>
      <c r="W326" s="42"/>
      <c r="X326" s="42"/>
      <c r="Y326" s="42"/>
    </row>
    <row r="327" spans="6:25" ht="15.75" customHeight="1">
      <c r="F327" s="10"/>
      <c r="J327" s="10"/>
      <c r="N327" s="10"/>
      <c r="R327" s="10"/>
      <c r="S327" s="10"/>
      <c r="W327" s="42"/>
      <c r="X327" s="42"/>
      <c r="Y327" s="42"/>
    </row>
    <row r="328" spans="6:25" ht="15.75" customHeight="1">
      <c r="F328" s="10"/>
      <c r="J328" s="10"/>
      <c r="N328" s="10"/>
      <c r="R328" s="10"/>
      <c r="S328" s="10"/>
      <c r="W328" s="42"/>
      <c r="X328" s="42"/>
      <c r="Y328" s="42"/>
    </row>
    <row r="329" spans="6:25" ht="15.75" customHeight="1">
      <c r="F329" s="10"/>
      <c r="J329" s="10"/>
      <c r="N329" s="10"/>
      <c r="R329" s="10"/>
      <c r="S329" s="10"/>
      <c r="W329" s="42"/>
      <c r="X329" s="42"/>
      <c r="Y329" s="42"/>
    </row>
    <row r="330" spans="6:25" ht="15.75" customHeight="1">
      <c r="F330" s="10"/>
      <c r="J330" s="10"/>
      <c r="N330" s="10"/>
      <c r="R330" s="10"/>
      <c r="S330" s="10"/>
      <c r="W330" s="42"/>
      <c r="X330" s="42"/>
      <c r="Y330" s="42"/>
    </row>
    <row r="331" spans="6:25" ht="15.75" customHeight="1">
      <c r="F331" s="10"/>
      <c r="J331" s="10"/>
      <c r="N331" s="10"/>
      <c r="R331" s="10"/>
      <c r="S331" s="10"/>
      <c r="W331" s="42"/>
      <c r="X331" s="42"/>
      <c r="Y331" s="42"/>
    </row>
    <row r="332" spans="6:25" ht="15.75" customHeight="1">
      <c r="F332" s="10"/>
      <c r="J332" s="10"/>
      <c r="N332" s="10"/>
      <c r="R332" s="10"/>
      <c r="S332" s="10"/>
      <c r="W332" s="42"/>
      <c r="X332" s="42"/>
      <c r="Y332" s="42"/>
    </row>
    <row r="333" spans="6:25" ht="15.75" customHeight="1">
      <c r="F333" s="10"/>
      <c r="J333" s="10"/>
      <c r="N333" s="10"/>
      <c r="R333" s="10"/>
      <c r="S333" s="10"/>
      <c r="W333" s="42"/>
      <c r="X333" s="42"/>
      <c r="Y333" s="42"/>
    </row>
    <row r="334" spans="6:25" ht="15.75" customHeight="1">
      <c r="F334" s="10"/>
      <c r="J334" s="10"/>
      <c r="N334" s="10"/>
      <c r="R334" s="10"/>
      <c r="S334" s="10"/>
      <c r="W334" s="42"/>
      <c r="X334" s="42"/>
      <c r="Y334" s="42"/>
    </row>
    <row r="335" spans="6:25" ht="15.75" customHeight="1">
      <c r="F335" s="10"/>
      <c r="J335" s="10"/>
      <c r="N335" s="10"/>
      <c r="R335" s="10"/>
      <c r="S335" s="10"/>
      <c r="W335" s="42"/>
      <c r="X335" s="42"/>
      <c r="Y335" s="42"/>
    </row>
    <row r="336" spans="6:25" ht="15.75" customHeight="1">
      <c r="F336" s="10"/>
      <c r="J336" s="10"/>
      <c r="N336" s="10"/>
      <c r="R336" s="10"/>
      <c r="S336" s="10"/>
      <c r="W336" s="42"/>
      <c r="X336" s="42"/>
      <c r="Y336" s="42"/>
    </row>
    <row r="337" spans="6:25" ht="15.75" customHeight="1">
      <c r="F337" s="10"/>
      <c r="J337" s="10"/>
      <c r="N337" s="10"/>
      <c r="R337" s="10"/>
      <c r="S337" s="10"/>
      <c r="W337" s="42"/>
      <c r="X337" s="42"/>
      <c r="Y337" s="42"/>
    </row>
    <row r="338" spans="6:25" ht="15.75" customHeight="1">
      <c r="F338" s="10"/>
      <c r="J338" s="10"/>
      <c r="N338" s="10"/>
      <c r="R338" s="10"/>
      <c r="S338" s="10"/>
      <c r="W338" s="42"/>
      <c r="X338" s="42"/>
      <c r="Y338" s="42"/>
    </row>
    <row r="339" spans="6:25" ht="15.75" customHeight="1">
      <c r="F339" s="10"/>
      <c r="J339" s="10"/>
      <c r="N339" s="10"/>
      <c r="R339" s="10"/>
      <c r="S339" s="10"/>
      <c r="W339" s="42"/>
      <c r="X339" s="42"/>
      <c r="Y339" s="42"/>
    </row>
    <row r="340" spans="6:25" ht="15.75" customHeight="1">
      <c r="F340" s="10"/>
      <c r="J340" s="10"/>
      <c r="N340" s="10"/>
      <c r="R340" s="10"/>
      <c r="S340" s="10"/>
      <c r="W340" s="42"/>
      <c r="X340" s="42"/>
      <c r="Y340" s="42"/>
    </row>
    <row r="341" spans="6:25" ht="15.75" customHeight="1">
      <c r="F341" s="10"/>
      <c r="J341" s="10"/>
      <c r="N341" s="10"/>
      <c r="R341" s="10"/>
      <c r="S341" s="10"/>
      <c r="W341" s="42"/>
      <c r="X341" s="42"/>
      <c r="Y341" s="42"/>
    </row>
    <row r="342" spans="6:25" ht="15.75" customHeight="1">
      <c r="F342" s="10"/>
      <c r="J342" s="10"/>
      <c r="N342" s="10"/>
      <c r="R342" s="10"/>
      <c r="S342" s="10"/>
      <c r="W342" s="42"/>
      <c r="X342" s="42"/>
      <c r="Y342" s="42"/>
    </row>
    <row r="343" spans="6:25" ht="15.75" customHeight="1">
      <c r="F343" s="10"/>
      <c r="J343" s="10"/>
      <c r="N343" s="10"/>
      <c r="R343" s="10"/>
      <c r="S343" s="10"/>
      <c r="W343" s="42"/>
      <c r="X343" s="42"/>
      <c r="Y343" s="42"/>
    </row>
    <row r="344" spans="6:25" ht="15.75" customHeight="1">
      <c r="F344" s="10"/>
      <c r="J344" s="10"/>
      <c r="N344" s="10"/>
      <c r="R344" s="10"/>
      <c r="S344" s="10"/>
      <c r="W344" s="42"/>
      <c r="X344" s="42"/>
      <c r="Y344" s="42"/>
    </row>
    <row r="345" spans="6:25" ht="15.75" customHeight="1">
      <c r="F345" s="10"/>
      <c r="J345" s="10"/>
      <c r="N345" s="10"/>
      <c r="R345" s="10"/>
      <c r="S345" s="10"/>
      <c r="W345" s="42"/>
      <c r="X345" s="42"/>
      <c r="Y345" s="42"/>
    </row>
    <row r="346" spans="6:25" ht="15.75" customHeight="1">
      <c r="F346" s="10"/>
      <c r="J346" s="10"/>
      <c r="N346" s="10"/>
      <c r="R346" s="10"/>
      <c r="S346" s="10"/>
      <c r="W346" s="42"/>
      <c r="X346" s="42"/>
      <c r="Y346" s="42"/>
    </row>
    <row r="347" spans="6:25" ht="15.75" customHeight="1">
      <c r="F347" s="10"/>
      <c r="J347" s="10"/>
      <c r="N347" s="10"/>
      <c r="R347" s="10"/>
      <c r="S347" s="10"/>
      <c r="W347" s="42"/>
      <c r="X347" s="42"/>
      <c r="Y347" s="42"/>
    </row>
    <row r="348" spans="6:25" ht="15.75" customHeight="1">
      <c r="F348" s="10"/>
      <c r="J348" s="10"/>
      <c r="N348" s="10"/>
      <c r="R348" s="10"/>
      <c r="S348" s="10"/>
      <c r="W348" s="42"/>
      <c r="X348" s="42"/>
      <c r="Y348" s="42"/>
    </row>
    <row r="349" spans="6:25" ht="15.75" customHeight="1">
      <c r="F349" s="10"/>
      <c r="J349" s="10"/>
      <c r="N349" s="10"/>
      <c r="R349" s="10"/>
      <c r="S349" s="10"/>
      <c r="W349" s="42"/>
      <c r="X349" s="42"/>
      <c r="Y349" s="42"/>
    </row>
    <row r="350" spans="6:25" ht="15.75" customHeight="1">
      <c r="F350" s="10"/>
      <c r="J350" s="10"/>
      <c r="N350" s="10"/>
      <c r="R350" s="10"/>
      <c r="S350" s="10"/>
      <c r="W350" s="42"/>
      <c r="X350" s="42"/>
      <c r="Y350" s="42"/>
    </row>
    <row r="351" spans="6:25" ht="15.75" customHeight="1">
      <c r="F351" s="10"/>
      <c r="J351" s="10"/>
      <c r="N351" s="10"/>
      <c r="R351" s="10"/>
      <c r="S351" s="10"/>
      <c r="W351" s="42"/>
      <c r="X351" s="42"/>
      <c r="Y351" s="42"/>
    </row>
    <row r="352" spans="6:25" ht="15.75" customHeight="1">
      <c r="F352" s="10"/>
      <c r="J352" s="10"/>
      <c r="N352" s="10"/>
      <c r="R352" s="10"/>
      <c r="S352" s="10"/>
      <c r="W352" s="42"/>
      <c r="X352" s="42"/>
      <c r="Y352" s="42"/>
    </row>
    <row r="353" spans="6:25" ht="15.75" customHeight="1">
      <c r="F353" s="10"/>
      <c r="J353" s="10"/>
      <c r="N353" s="10"/>
      <c r="R353" s="10"/>
      <c r="S353" s="10"/>
      <c r="W353" s="42"/>
      <c r="X353" s="42"/>
      <c r="Y353" s="42"/>
    </row>
    <row r="354" spans="6:25" ht="15.75" customHeight="1">
      <c r="F354" s="10"/>
      <c r="J354" s="10"/>
      <c r="N354" s="10"/>
      <c r="R354" s="10"/>
      <c r="S354" s="10"/>
      <c r="W354" s="42"/>
      <c r="X354" s="42"/>
      <c r="Y354" s="42"/>
    </row>
    <row r="355" spans="6:25" ht="15.75" customHeight="1">
      <c r="F355" s="10"/>
      <c r="J355" s="10"/>
      <c r="N355" s="10"/>
      <c r="R355" s="10"/>
      <c r="S355" s="10"/>
      <c r="W355" s="42"/>
      <c r="X355" s="42"/>
      <c r="Y355" s="42"/>
    </row>
    <row r="356" spans="6:25" ht="15.75" customHeight="1">
      <c r="F356" s="10"/>
      <c r="J356" s="10"/>
      <c r="N356" s="10"/>
      <c r="R356" s="10"/>
      <c r="S356" s="10"/>
      <c r="W356" s="42"/>
      <c r="X356" s="42"/>
      <c r="Y356" s="42"/>
    </row>
    <row r="357" spans="6:25" ht="15.75" customHeight="1">
      <c r="F357" s="10"/>
      <c r="J357" s="10"/>
      <c r="N357" s="10"/>
      <c r="R357" s="10"/>
      <c r="S357" s="10"/>
      <c r="W357" s="42"/>
      <c r="X357" s="42"/>
      <c r="Y357" s="42"/>
    </row>
    <row r="358" spans="6:25" ht="15.75" customHeight="1">
      <c r="F358" s="10"/>
      <c r="J358" s="10"/>
      <c r="N358" s="10"/>
      <c r="R358" s="10"/>
      <c r="S358" s="10"/>
      <c r="W358" s="42"/>
      <c r="X358" s="42"/>
      <c r="Y358" s="42"/>
    </row>
    <row r="359" spans="6:25" ht="15.75" customHeight="1">
      <c r="F359" s="10"/>
      <c r="J359" s="10"/>
      <c r="N359" s="10"/>
      <c r="R359" s="10"/>
      <c r="S359" s="10"/>
      <c r="W359" s="42"/>
      <c r="X359" s="42"/>
      <c r="Y359" s="42"/>
    </row>
    <row r="360" spans="6:25" ht="15.75" customHeight="1">
      <c r="F360" s="10"/>
      <c r="J360" s="10"/>
      <c r="N360" s="10"/>
      <c r="R360" s="10"/>
      <c r="S360" s="10"/>
      <c r="W360" s="42"/>
      <c r="X360" s="42"/>
      <c r="Y360" s="42"/>
    </row>
    <row r="361" spans="6:25" ht="15.75" customHeight="1">
      <c r="F361" s="10"/>
      <c r="J361" s="10"/>
      <c r="N361" s="10"/>
      <c r="R361" s="10"/>
      <c r="S361" s="10"/>
      <c r="W361" s="42"/>
      <c r="X361" s="42"/>
      <c r="Y361" s="42"/>
    </row>
    <row r="362" spans="6:25" ht="15.75" customHeight="1">
      <c r="F362" s="10"/>
      <c r="J362" s="10"/>
      <c r="N362" s="10"/>
      <c r="R362" s="10"/>
      <c r="S362" s="10"/>
      <c r="W362" s="42"/>
      <c r="X362" s="42"/>
      <c r="Y362" s="42"/>
    </row>
    <row r="363" spans="6:25" ht="15.75" customHeight="1">
      <c r="F363" s="10"/>
      <c r="J363" s="10"/>
      <c r="N363" s="10"/>
      <c r="R363" s="10"/>
      <c r="S363" s="10"/>
      <c r="W363" s="42"/>
      <c r="X363" s="42"/>
      <c r="Y363" s="42"/>
    </row>
    <row r="364" spans="6:25" ht="15.75" customHeight="1">
      <c r="F364" s="10"/>
      <c r="J364" s="10"/>
      <c r="N364" s="10"/>
      <c r="R364" s="10"/>
      <c r="S364" s="10"/>
      <c r="W364" s="42"/>
      <c r="X364" s="42"/>
      <c r="Y364" s="42"/>
    </row>
    <row r="365" spans="6:25" ht="15.75" customHeight="1">
      <c r="F365" s="10"/>
      <c r="J365" s="10"/>
      <c r="N365" s="10"/>
      <c r="R365" s="10"/>
      <c r="S365" s="10"/>
      <c r="W365" s="42"/>
      <c r="X365" s="42"/>
      <c r="Y365" s="42"/>
    </row>
    <row r="366" spans="6:25" ht="15.75" customHeight="1">
      <c r="F366" s="10"/>
      <c r="J366" s="10"/>
      <c r="N366" s="10"/>
      <c r="R366" s="10"/>
      <c r="S366" s="10"/>
      <c r="W366" s="42"/>
      <c r="X366" s="42"/>
      <c r="Y366" s="42"/>
    </row>
    <row r="367" spans="6:25" ht="15.75" customHeight="1">
      <c r="F367" s="10"/>
      <c r="J367" s="10"/>
      <c r="N367" s="10"/>
      <c r="R367" s="10"/>
      <c r="S367" s="10"/>
      <c r="W367" s="42"/>
      <c r="X367" s="42"/>
      <c r="Y367" s="42"/>
    </row>
    <row r="368" spans="6:25" ht="15.75" customHeight="1">
      <c r="F368" s="10"/>
      <c r="J368" s="10"/>
      <c r="N368" s="10"/>
      <c r="R368" s="10"/>
      <c r="S368" s="10"/>
      <c r="W368" s="42"/>
      <c r="X368" s="42"/>
      <c r="Y368" s="42"/>
    </row>
    <row r="369" spans="6:25" ht="15.75" customHeight="1">
      <c r="F369" s="10"/>
      <c r="J369" s="10"/>
      <c r="N369" s="10"/>
      <c r="R369" s="10"/>
      <c r="S369" s="10"/>
      <c r="W369" s="42"/>
      <c r="X369" s="42"/>
      <c r="Y369" s="42"/>
    </row>
    <row r="370" spans="6:25" ht="15.75" customHeight="1">
      <c r="F370" s="10"/>
      <c r="J370" s="10"/>
      <c r="N370" s="10"/>
      <c r="R370" s="10"/>
      <c r="S370" s="10"/>
      <c r="W370" s="42"/>
      <c r="X370" s="42"/>
      <c r="Y370" s="42"/>
    </row>
    <row r="371" spans="6:25" ht="15.75" customHeight="1">
      <c r="F371" s="10"/>
      <c r="J371" s="10"/>
      <c r="N371" s="10"/>
      <c r="R371" s="10"/>
      <c r="S371" s="10"/>
      <c r="W371" s="42"/>
      <c r="X371" s="42"/>
      <c r="Y371" s="42"/>
    </row>
    <row r="372" spans="6:25" ht="15.75" customHeight="1">
      <c r="F372" s="10"/>
      <c r="J372" s="10"/>
      <c r="N372" s="10"/>
      <c r="R372" s="10"/>
      <c r="S372" s="10"/>
      <c r="W372" s="42"/>
      <c r="X372" s="42"/>
      <c r="Y372" s="42"/>
    </row>
    <row r="373" spans="6:25" ht="15.75" customHeight="1">
      <c r="F373" s="10"/>
      <c r="J373" s="10"/>
      <c r="N373" s="10"/>
      <c r="R373" s="10"/>
      <c r="S373" s="10"/>
      <c r="W373" s="42"/>
      <c r="X373" s="42"/>
      <c r="Y373" s="42"/>
    </row>
    <row r="374" spans="6:25" ht="15.75" customHeight="1">
      <c r="F374" s="10"/>
      <c r="J374" s="10"/>
      <c r="N374" s="10"/>
      <c r="R374" s="10"/>
      <c r="S374" s="10"/>
      <c r="W374" s="42"/>
      <c r="X374" s="42"/>
      <c r="Y374" s="42"/>
    </row>
    <row r="375" spans="6:25" ht="15.75" customHeight="1">
      <c r="F375" s="10"/>
      <c r="J375" s="10"/>
      <c r="N375" s="10"/>
      <c r="R375" s="10"/>
      <c r="S375" s="10"/>
      <c r="W375" s="42"/>
      <c r="X375" s="42"/>
      <c r="Y375" s="42"/>
    </row>
    <row r="376" spans="6:25" ht="15.75" customHeight="1">
      <c r="F376" s="10"/>
      <c r="J376" s="10"/>
      <c r="N376" s="10"/>
      <c r="R376" s="10"/>
      <c r="S376" s="10"/>
      <c r="W376" s="42"/>
      <c r="X376" s="42"/>
      <c r="Y376" s="42"/>
    </row>
    <row r="377" spans="6:25" ht="15.75" customHeight="1">
      <c r="F377" s="10"/>
      <c r="J377" s="10"/>
      <c r="N377" s="10"/>
      <c r="R377" s="10"/>
      <c r="S377" s="10"/>
      <c r="W377" s="42"/>
      <c r="X377" s="42"/>
      <c r="Y377" s="42"/>
    </row>
    <row r="378" spans="6:25" ht="15.75" customHeight="1">
      <c r="F378" s="10"/>
      <c r="J378" s="10"/>
      <c r="N378" s="10"/>
      <c r="R378" s="10"/>
      <c r="S378" s="10"/>
      <c r="W378" s="42"/>
      <c r="X378" s="42"/>
      <c r="Y378" s="42"/>
    </row>
    <row r="379" spans="6:25" ht="15.75" customHeight="1">
      <c r="F379" s="10"/>
      <c r="J379" s="10"/>
      <c r="N379" s="10"/>
      <c r="R379" s="10"/>
      <c r="S379" s="10"/>
      <c r="W379" s="42"/>
      <c r="X379" s="42"/>
      <c r="Y379" s="42"/>
    </row>
    <row r="380" spans="6:25" ht="15.75" customHeight="1">
      <c r="F380" s="10"/>
      <c r="J380" s="10"/>
      <c r="N380" s="10"/>
      <c r="R380" s="10"/>
      <c r="S380" s="10"/>
      <c r="W380" s="42"/>
      <c r="X380" s="42"/>
      <c r="Y380" s="42"/>
    </row>
    <row r="381" spans="6:25" ht="15.75" customHeight="1">
      <c r="F381" s="10"/>
      <c r="J381" s="10"/>
      <c r="N381" s="10"/>
      <c r="R381" s="10"/>
      <c r="S381" s="10"/>
      <c r="W381" s="42"/>
      <c r="X381" s="42"/>
      <c r="Y381" s="42"/>
    </row>
    <row r="382" spans="6:25" ht="15.75" customHeight="1">
      <c r="F382" s="10"/>
      <c r="J382" s="10"/>
      <c r="N382" s="10"/>
      <c r="R382" s="10"/>
      <c r="S382" s="10"/>
      <c r="W382" s="42"/>
      <c r="X382" s="42"/>
      <c r="Y382" s="42"/>
    </row>
    <row r="383" spans="6:25" ht="15.75" customHeight="1">
      <c r="F383" s="10"/>
      <c r="J383" s="10"/>
      <c r="N383" s="10"/>
      <c r="R383" s="10"/>
      <c r="S383" s="10"/>
      <c r="W383" s="42"/>
      <c r="X383" s="42"/>
      <c r="Y383" s="42"/>
    </row>
    <row r="384" spans="6:25" ht="15.75" customHeight="1">
      <c r="F384" s="10"/>
      <c r="J384" s="10"/>
      <c r="N384" s="10"/>
      <c r="R384" s="10"/>
      <c r="S384" s="10"/>
      <c r="W384" s="42"/>
      <c r="X384" s="42"/>
      <c r="Y384" s="42"/>
    </row>
    <row r="385" spans="6:25" ht="15.75" customHeight="1">
      <c r="F385" s="10"/>
      <c r="J385" s="10"/>
      <c r="N385" s="10"/>
      <c r="R385" s="10"/>
      <c r="S385" s="10"/>
      <c r="W385" s="42"/>
      <c r="X385" s="42"/>
      <c r="Y385" s="42"/>
    </row>
    <row r="386" spans="6:25" ht="15.75" customHeight="1">
      <c r="F386" s="10"/>
      <c r="J386" s="10"/>
      <c r="N386" s="10"/>
      <c r="R386" s="10"/>
      <c r="S386" s="10"/>
      <c r="W386" s="42"/>
      <c r="X386" s="42"/>
      <c r="Y386" s="42"/>
    </row>
    <row r="387" spans="6:25" ht="15.75" customHeight="1">
      <c r="F387" s="10"/>
      <c r="J387" s="10"/>
      <c r="N387" s="10"/>
      <c r="R387" s="10"/>
      <c r="S387" s="10"/>
      <c r="W387" s="42"/>
      <c r="X387" s="42"/>
      <c r="Y387" s="42"/>
    </row>
    <row r="388" spans="6:25" ht="15.75" customHeight="1">
      <c r="F388" s="10"/>
      <c r="J388" s="10"/>
      <c r="N388" s="10"/>
      <c r="R388" s="10"/>
      <c r="S388" s="10"/>
      <c r="W388" s="42"/>
      <c r="X388" s="42"/>
      <c r="Y388" s="42"/>
    </row>
    <row r="389" spans="6:25" ht="15.75" customHeight="1">
      <c r="F389" s="10"/>
      <c r="J389" s="10"/>
      <c r="N389" s="10"/>
      <c r="R389" s="10"/>
      <c r="S389" s="10"/>
      <c r="W389" s="42"/>
      <c r="X389" s="42"/>
      <c r="Y389" s="42"/>
    </row>
    <row r="390" spans="6:25" ht="15.75" customHeight="1">
      <c r="F390" s="10"/>
      <c r="J390" s="10"/>
      <c r="N390" s="10"/>
      <c r="R390" s="10"/>
      <c r="S390" s="10"/>
      <c r="W390" s="42"/>
      <c r="X390" s="42"/>
      <c r="Y390" s="42"/>
    </row>
    <row r="391" spans="6:25" ht="15.75" customHeight="1">
      <c r="F391" s="10"/>
      <c r="J391" s="10"/>
      <c r="N391" s="10"/>
      <c r="R391" s="10"/>
      <c r="S391" s="10"/>
      <c r="W391" s="42"/>
      <c r="X391" s="42"/>
      <c r="Y391" s="42"/>
    </row>
    <row r="392" spans="6:25" ht="15.75" customHeight="1">
      <c r="F392" s="10"/>
      <c r="J392" s="10"/>
      <c r="N392" s="10"/>
      <c r="R392" s="10"/>
      <c r="S392" s="10"/>
      <c r="W392" s="42"/>
      <c r="X392" s="42"/>
      <c r="Y392" s="42"/>
    </row>
    <row r="393" spans="6:25" ht="15.75" customHeight="1">
      <c r="F393" s="10"/>
      <c r="J393" s="10"/>
      <c r="N393" s="10"/>
      <c r="R393" s="10"/>
      <c r="S393" s="10"/>
      <c r="W393" s="42"/>
      <c r="X393" s="42"/>
      <c r="Y393" s="42"/>
    </row>
    <row r="394" spans="6:25" ht="15.75" customHeight="1">
      <c r="F394" s="10"/>
      <c r="J394" s="10"/>
      <c r="N394" s="10"/>
      <c r="R394" s="10"/>
      <c r="S394" s="10"/>
      <c r="W394" s="42"/>
      <c r="X394" s="42"/>
      <c r="Y394" s="42"/>
    </row>
    <row r="395" spans="6:25" ht="15.75" customHeight="1">
      <c r="F395" s="10"/>
      <c r="J395" s="10"/>
      <c r="N395" s="10"/>
      <c r="R395" s="10"/>
      <c r="S395" s="10"/>
      <c r="W395" s="42"/>
      <c r="X395" s="42"/>
      <c r="Y395" s="42"/>
    </row>
    <row r="396" spans="6:25" ht="15.75" customHeight="1">
      <c r="F396" s="10"/>
      <c r="J396" s="10"/>
      <c r="N396" s="10"/>
      <c r="R396" s="10"/>
      <c r="S396" s="10"/>
      <c r="W396" s="42"/>
      <c r="X396" s="42"/>
      <c r="Y396" s="42"/>
    </row>
    <row r="397" spans="6:25" ht="15.75" customHeight="1">
      <c r="F397" s="10"/>
      <c r="J397" s="10"/>
      <c r="N397" s="10"/>
      <c r="R397" s="10"/>
      <c r="S397" s="10"/>
      <c r="W397" s="42"/>
      <c r="X397" s="42"/>
      <c r="Y397" s="42"/>
    </row>
    <row r="398" spans="6:25" ht="15.75" customHeight="1">
      <c r="F398" s="10"/>
      <c r="J398" s="10"/>
      <c r="N398" s="10"/>
      <c r="R398" s="10"/>
      <c r="S398" s="10"/>
      <c r="W398" s="42"/>
      <c r="X398" s="42"/>
      <c r="Y398" s="42"/>
    </row>
    <row r="399" spans="6:25" ht="15.75" customHeight="1">
      <c r="F399" s="10"/>
      <c r="J399" s="10"/>
      <c r="N399" s="10"/>
      <c r="R399" s="10"/>
      <c r="S399" s="10"/>
      <c r="W399" s="42"/>
      <c r="X399" s="42"/>
      <c r="Y399" s="42"/>
    </row>
    <row r="400" spans="6:25" ht="15.75" customHeight="1">
      <c r="F400" s="10"/>
      <c r="J400" s="10"/>
      <c r="N400" s="10"/>
      <c r="R400" s="10"/>
      <c r="S400" s="10"/>
      <c r="W400" s="42"/>
      <c r="X400" s="42"/>
      <c r="Y400" s="42"/>
    </row>
    <row r="401" spans="6:25" ht="15.75" customHeight="1">
      <c r="F401" s="10"/>
      <c r="J401" s="10"/>
      <c r="N401" s="10"/>
      <c r="R401" s="10"/>
      <c r="S401" s="10"/>
      <c r="W401" s="42"/>
      <c r="X401" s="42"/>
      <c r="Y401" s="42"/>
    </row>
    <row r="402" spans="6:25" ht="15.75" customHeight="1">
      <c r="F402" s="10"/>
      <c r="J402" s="10"/>
      <c r="N402" s="10"/>
      <c r="R402" s="10"/>
      <c r="S402" s="10"/>
      <c r="W402" s="42"/>
      <c r="X402" s="42"/>
      <c r="Y402" s="42"/>
    </row>
    <row r="403" spans="6:25" ht="15.75" customHeight="1">
      <c r="F403" s="10"/>
      <c r="J403" s="10"/>
      <c r="N403" s="10"/>
      <c r="R403" s="10"/>
      <c r="S403" s="10"/>
      <c r="W403" s="42"/>
      <c r="X403" s="42"/>
      <c r="Y403" s="42"/>
    </row>
    <row r="404" spans="6:25" ht="15.75" customHeight="1">
      <c r="F404" s="10"/>
      <c r="J404" s="10"/>
      <c r="N404" s="10"/>
      <c r="R404" s="10"/>
      <c r="S404" s="10"/>
      <c r="W404" s="42"/>
      <c r="X404" s="42"/>
      <c r="Y404" s="42"/>
    </row>
    <row r="405" spans="6:25" ht="15.75" customHeight="1">
      <c r="F405" s="10"/>
      <c r="J405" s="10"/>
      <c r="N405" s="10"/>
      <c r="R405" s="10"/>
      <c r="S405" s="10"/>
      <c r="W405" s="42"/>
      <c r="X405" s="42"/>
      <c r="Y405" s="42"/>
    </row>
    <row r="406" spans="6:25" ht="15.75" customHeight="1">
      <c r="F406" s="10"/>
      <c r="J406" s="10"/>
      <c r="N406" s="10"/>
      <c r="R406" s="10"/>
      <c r="S406" s="10"/>
      <c r="W406" s="42"/>
      <c r="X406" s="42"/>
      <c r="Y406" s="42"/>
    </row>
    <row r="407" spans="6:25" ht="15.75" customHeight="1">
      <c r="F407" s="10"/>
      <c r="J407" s="10"/>
      <c r="N407" s="10"/>
      <c r="R407" s="10"/>
      <c r="S407" s="10"/>
      <c r="W407" s="42"/>
      <c r="X407" s="42"/>
      <c r="Y407" s="42"/>
    </row>
    <row r="408" spans="6:25" ht="15.75" customHeight="1">
      <c r="F408" s="10"/>
      <c r="J408" s="10"/>
      <c r="N408" s="10"/>
      <c r="R408" s="10"/>
      <c r="S408" s="10"/>
      <c r="W408" s="42"/>
      <c r="X408" s="42"/>
      <c r="Y408" s="42"/>
    </row>
    <row r="409" spans="6:25" ht="15.75" customHeight="1">
      <c r="F409" s="10"/>
      <c r="J409" s="10"/>
      <c r="N409" s="10"/>
      <c r="R409" s="10"/>
      <c r="S409" s="10"/>
      <c r="W409" s="42"/>
      <c r="X409" s="42"/>
      <c r="Y409" s="42"/>
    </row>
    <row r="410" spans="6:25" ht="15.75" customHeight="1">
      <c r="F410" s="10"/>
      <c r="J410" s="10"/>
      <c r="N410" s="10"/>
      <c r="R410" s="10"/>
      <c r="S410" s="10"/>
      <c r="W410" s="42"/>
      <c r="X410" s="42"/>
      <c r="Y410" s="42"/>
    </row>
    <row r="411" spans="6:25" ht="15.75" customHeight="1">
      <c r="F411" s="10"/>
      <c r="J411" s="10"/>
      <c r="N411" s="10"/>
      <c r="R411" s="10"/>
      <c r="S411" s="10"/>
      <c r="W411" s="42"/>
      <c r="X411" s="42"/>
      <c r="Y411" s="42"/>
    </row>
    <row r="412" spans="6:25" ht="15.75" customHeight="1">
      <c r="F412" s="10"/>
      <c r="J412" s="10"/>
      <c r="N412" s="10"/>
      <c r="R412" s="10"/>
      <c r="S412" s="10"/>
      <c r="W412" s="42"/>
      <c r="X412" s="42"/>
      <c r="Y412" s="42"/>
    </row>
    <row r="413" spans="6:25" ht="15.75" customHeight="1">
      <c r="F413" s="10"/>
      <c r="J413" s="10"/>
      <c r="N413" s="10"/>
      <c r="R413" s="10"/>
      <c r="S413" s="10"/>
      <c r="W413" s="42"/>
      <c r="X413" s="42"/>
      <c r="Y413" s="42"/>
    </row>
    <row r="414" spans="6:25" ht="15.75" customHeight="1">
      <c r="F414" s="10"/>
      <c r="J414" s="10"/>
      <c r="N414" s="10"/>
      <c r="R414" s="10"/>
      <c r="S414" s="10"/>
      <c r="W414" s="42"/>
      <c r="X414" s="42"/>
      <c r="Y414" s="42"/>
    </row>
    <row r="415" spans="6:25" ht="15.75" customHeight="1">
      <c r="F415" s="10"/>
      <c r="J415" s="10"/>
      <c r="N415" s="10"/>
      <c r="R415" s="10"/>
      <c r="S415" s="10"/>
      <c r="W415" s="42"/>
      <c r="X415" s="42"/>
      <c r="Y415" s="42"/>
    </row>
    <row r="416" spans="6:25" ht="15.75" customHeight="1">
      <c r="F416" s="10"/>
      <c r="J416" s="10"/>
      <c r="N416" s="10"/>
      <c r="R416" s="10"/>
      <c r="S416" s="10"/>
      <c r="W416" s="42"/>
      <c r="X416" s="42"/>
      <c r="Y416" s="42"/>
    </row>
    <row r="417" spans="6:25" ht="15.75" customHeight="1">
      <c r="F417" s="10"/>
      <c r="J417" s="10"/>
      <c r="N417" s="10"/>
      <c r="R417" s="10"/>
      <c r="S417" s="10"/>
      <c r="W417" s="42"/>
      <c r="X417" s="42"/>
      <c r="Y417" s="42"/>
    </row>
    <row r="418" spans="6:25" ht="15.75" customHeight="1">
      <c r="F418" s="10"/>
      <c r="J418" s="10"/>
      <c r="N418" s="10"/>
      <c r="R418" s="10"/>
      <c r="S418" s="10"/>
      <c r="W418" s="42"/>
      <c r="X418" s="42"/>
      <c r="Y418" s="42"/>
    </row>
    <row r="419" spans="6:25" ht="15.75" customHeight="1">
      <c r="F419" s="10"/>
      <c r="J419" s="10"/>
      <c r="N419" s="10"/>
      <c r="R419" s="10"/>
      <c r="S419" s="10"/>
      <c r="W419" s="42"/>
      <c r="X419" s="42"/>
      <c r="Y419" s="42"/>
    </row>
    <row r="420" spans="6:25" ht="15.75" customHeight="1">
      <c r="F420" s="10"/>
      <c r="J420" s="10"/>
      <c r="N420" s="10"/>
      <c r="R420" s="10"/>
      <c r="S420" s="10"/>
      <c r="W420" s="42"/>
      <c r="X420" s="42"/>
      <c r="Y420" s="42"/>
    </row>
    <row r="421" spans="6:25" ht="15.75" customHeight="1">
      <c r="F421" s="10"/>
      <c r="J421" s="10"/>
      <c r="N421" s="10"/>
      <c r="R421" s="10"/>
      <c r="S421" s="10"/>
      <c r="W421" s="42"/>
      <c r="X421" s="42"/>
      <c r="Y421" s="42"/>
    </row>
    <row r="422" spans="6:25" ht="15.75" customHeight="1">
      <c r="F422" s="10"/>
      <c r="J422" s="10"/>
      <c r="N422" s="10"/>
      <c r="R422" s="10"/>
      <c r="S422" s="10"/>
      <c r="W422" s="42"/>
      <c r="X422" s="42"/>
      <c r="Y422" s="42"/>
    </row>
    <row r="423" spans="6:25" ht="15.75" customHeight="1">
      <c r="F423" s="10"/>
      <c r="J423" s="10"/>
      <c r="N423" s="10"/>
      <c r="R423" s="10"/>
      <c r="S423" s="10"/>
      <c r="W423" s="42"/>
      <c r="X423" s="42"/>
      <c r="Y423" s="42"/>
    </row>
    <row r="424" spans="6:25" ht="15.75" customHeight="1">
      <c r="F424" s="10"/>
      <c r="J424" s="10"/>
      <c r="N424" s="10"/>
      <c r="R424" s="10"/>
      <c r="S424" s="10"/>
      <c r="W424" s="42"/>
      <c r="X424" s="42"/>
      <c r="Y424" s="42"/>
    </row>
    <row r="425" spans="6:25" ht="15.75" customHeight="1">
      <c r="F425" s="10"/>
      <c r="J425" s="10"/>
      <c r="N425" s="10"/>
      <c r="R425" s="10"/>
      <c r="S425" s="10"/>
      <c r="W425" s="42"/>
      <c r="X425" s="42"/>
      <c r="Y425" s="42"/>
    </row>
    <row r="426" spans="6:25" ht="15.75" customHeight="1">
      <c r="F426" s="10"/>
      <c r="J426" s="10"/>
      <c r="N426" s="10"/>
      <c r="R426" s="10"/>
      <c r="S426" s="10"/>
      <c r="W426" s="42"/>
      <c r="X426" s="42"/>
      <c r="Y426" s="42"/>
    </row>
    <row r="427" spans="6:25" ht="15.75" customHeight="1">
      <c r="F427" s="10"/>
      <c r="J427" s="10"/>
      <c r="N427" s="10"/>
      <c r="R427" s="10"/>
      <c r="S427" s="10"/>
      <c r="W427" s="42"/>
      <c r="X427" s="42"/>
      <c r="Y427" s="42"/>
    </row>
    <row r="428" spans="6:25" ht="15.75" customHeight="1">
      <c r="F428" s="10"/>
      <c r="J428" s="10"/>
      <c r="N428" s="10"/>
      <c r="R428" s="10"/>
      <c r="S428" s="10"/>
      <c r="W428" s="42"/>
      <c r="X428" s="42"/>
      <c r="Y428" s="42"/>
    </row>
    <row r="429" spans="6:25" ht="15.75" customHeight="1">
      <c r="F429" s="10"/>
      <c r="J429" s="10"/>
      <c r="N429" s="10"/>
      <c r="R429" s="10"/>
      <c r="S429" s="10"/>
      <c r="W429" s="42"/>
      <c r="X429" s="42"/>
      <c r="Y429" s="42"/>
    </row>
    <row r="430" spans="6:25" ht="15.75" customHeight="1">
      <c r="F430" s="10"/>
      <c r="J430" s="10"/>
      <c r="N430" s="10"/>
      <c r="R430" s="10"/>
      <c r="S430" s="10"/>
      <c r="W430" s="42"/>
      <c r="X430" s="42"/>
      <c r="Y430" s="42"/>
    </row>
    <row r="431" spans="6:25" ht="15.75" customHeight="1">
      <c r="F431" s="10"/>
      <c r="J431" s="10"/>
      <c r="N431" s="10"/>
      <c r="R431" s="10"/>
      <c r="S431" s="10"/>
      <c r="W431" s="42"/>
      <c r="X431" s="42"/>
      <c r="Y431" s="42"/>
    </row>
    <row r="432" spans="6:25" ht="15.75" customHeight="1">
      <c r="F432" s="10"/>
      <c r="J432" s="10"/>
      <c r="N432" s="10"/>
      <c r="R432" s="10"/>
      <c r="S432" s="10"/>
      <c r="W432" s="42"/>
      <c r="X432" s="42"/>
      <c r="Y432" s="42"/>
    </row>
    <row r="433" spans="6:25" ht="15.75" customHeight="1">
      <c r="F433" s="10"/>
      <c r="J433" s="10"/>
      <c r="N433" s="10"/>
      <c r="R433" s="10"/>
      <c r="S433" s="10"/>
      <c r="W433" s="42"/>
      <c r="X433" s="42"/>
      <c r="Y433" s="42"/>
    </row>
    <row r="434" spans="6:25" ht="15.75" customHeight="1">
      <c r="F434" s="10"/>
      <c r="J434" s="10"/>
      <c r="N434" s="10"/>
      <c r="R434" s="10"/>
      <c r="S434" s="10"/>
      <c r="W434" s="42"/>
      <c r="X434" s="42"/>
      <c r="Y434" s="42"/>
    </row>
    <row r="435" spans="6:25" ht="15.75" customHeight="1">
      <c r="F435" s="10"/>
      <c r="J435" s="10"/>
      <c r="N435" s="10"/>
      <c r="R435" s="10"/>
      <c r="S435" s="10"/>
      <c r="W435" s="42"/>
      <c r="X435" s="42"/>
      <c r="Y435" s="42"/>
    </row>
    <row r="436" spans="6:25" ht="15.75" customHeight="1">
      <c r="F436" s="10"/>
      <c r="J436" s="10"/>
      <c r="N436" s="10"/>
      <c r="R436" s="10"/>
      <c r="S436" s="10"/>
      <c r="W436" s="42"/>
      <c r="X436" s="42"/>
      <c r="Y436" s="42"/>
    </row>
    <row r="437" spans="6:25" ht="15.75" customHeight="1">
      <c r="F437" s="10"/>
      <c r="J437" s="10"/>
      <c r="N437" s="10"/>
      <c r="R437" s="10"/>
      <c r="S437" s="10"/>
      <c r="W437" s="42"/>
      <c r="X437" s="42"/>
      <c r="Y437" s="42"/>
    </row>
    <row r="438" spans="6:25" ht="15.75" customHeight="1">
      <c r="F438" s="10"/>
      <c r="J438" s="10"/>
      <c r="N438" s="10"/>
      <c r="R438" s="10"/>
      <c r="S438" s="10"/>
      <c r="W438" s="42"/>
      <c r="X438" s="42"/>
      <c r="Y438" s="42"/>
    </row>
    <row r="439" spans="6:25" ht="15.75" customHeight="1">
      <c r="F439" s="10"/>
      <c r="J439" s="10"/>
      <c r="N439" s="10"/>
      <c r="R439" s="10"/>
      <c r="S439" s="10"/>
      <c r="W439" s="42"/>
      <c r="X439" s="42"/>
      <c r="Y439" s="42"/>
    </row>
    <row r="440" spans="6:25" ht="15.75" customHeight="1">
      <c r="F440" s="10"/>
      <c r="J440" s="10"/>
      <c r="N440" s="10"/>
      <c r="R440" s="10"/>
      <c r="S440" s="10"/>
      <c r="W440" s="42"/>
      <c r="X440" s="42"/>
      <c r="Y440" s="42"/>
    </row>
    <row r="441" spans="6:25" ht="15.75" customHeight="1">
      <c r="F441" s="10"/>
      <c r="J441" s="10"/>
      <c r="N441" s="10"/>
      <c r="R441" s="10"/>
      <c r="S441" s="10"/>
      <c r="W441" s="42"/>
      <c r="X441" s="42"/>
      <c r="Y441" s="42"/>
    </row>
    <row r="442" spans="6:25" ht="15.75" customHeight="1">
      <c r="F442" s="10"/>
      <c r="J442" s="10"/>
      <c r="N442" s="10"/>
      <c r="R442" s="10"/>
      <c r="S442" s="10"/>
      <c r="W442" s="42"/>
      <c r="X442" s="42"/>
      <c r="Y442" s="42"/>
    </row>
    <row r="443" spans="6:25" ht="15.75" customHeight="1">
      <c r="F443" s="10"/>
      <c r="J443" s="10"/>
      <c r="N443" s="10"/>
      <c r="R443" s="10"/>
      <c r="S443" s="10"/>
      <c r="W443" s="42"/>
      <c r="X443" s="42"/>
      <c r="Y443" s="42"/>
    </row>
    <row r="444" spans="6:25" ht="15.75" customHeight="1">
      <c r="F444" s="10"/>
      <c r="J444" s="10"/>
      <c r="N444" s="10"/>
      <c r="R444" s="10"/>
      <c r="S444" s="10"/>
      <c r="W444" s="42"/>
      <c r="X444" s="42"/>
      <c r="Y444" s="42"/>
    </row>
    <row r="445" spans="6:25" ht="15.75" customHeight="1">
      <c r="F445" s="10"/>
      <c r="J445" s="10"/>
      <c r="N445" s="10"/>
      <c r="R445" s="10"/>
      <c r="S445" s="10"/>
      <c r="W445" s="42"/>
      <c r="X445" s="42"/>
      <c r="Y445" s="42"/>
    </row>
    <row r="446" spans="6:25" ht="15.75" customHeight="1">
      <c r="F446" s="10"/>
      <c r="J446" s="10"/>
      <c r="N446" s="10"/>
      <c r="R446" s="10"/>
      <c r="S446" s="10"/>
      <c r="W446" s="42"/>
      <c r="X446" s="42"/>
      <c r="Y446" s="42"/>
    </row>
    <row r="447" spans="6:25" ht="15.75" customHeight="1">
      <c r="F447" s="10"/>
      <c r="J447" s="10"/>
      <c r="N447" s="10"/>
      <c r="R447" s="10"/>
      <c r="S447" s="10"/>
      <c r="W447" s="42"/>
      <c r="X447" s="42"/>
      <c r="Y447" s="42"/>
    </row>
    <row r="448" spans="6:25" ht="15.75" customHeight="1">
      <c r="F448" s="10"/>
      <c r="J448" s="10"/>
      <c r="N448" s="10"/>
      <c r="R448" s="10"/>
      <c r="S448" s="10"/>
      <c r="W448" s="42"/>
      <c r="X448" s="42"/>
      <c r="Y448" s="42"/>
    </row>
    <row r="449" spans="6:25" ht="15.75" customHeight="1">
      <c r="F449" s="10"/>
      <c r="J449" s="10"/>
      <c r="N449" s="10"/>
      <c r="R449" s="10"/>
      <c r="S449" s="10"/>
      <c r="W449" s="42"/>
      <c r="X449" s="42"/>
      <c r="Y449" s="42"/>
    </row>
    <row r="450" spans="6:25" ht="15.75" customHeight="1">
      <c r="F450" s="10"/>
      <c r="J450" s="10"/>
      <c r="N450" s="10"/>
      <c r="R450" s="10"/>
      <c r="S450" s="10"/>
      <c r="W450" s="42"/>
      <c r="X450" s="42"/>
      <c r="Y450" s="42"/>
    </row>
    <row r="451" spans="6:25" ht="15.75" customHeight="1">
      <c r="F451" s="10"/>
      <c r="J451" s="10"/>
      <c r="N451" s="10"/>
      <c r="R451" s="10"/>
      <c r="S451" s="10"/>
      <c r="W451" s="42"/>
      <c r="X451" s="42"/>
      <c r="Y451" s="42"/>
    </row>
    <row r="452" spans="6:25" ht="15.75" customHeight="1">
      <c r="F452" s="10"/>
      <c r="J452" s="10"/>
      <c r="N452" s="10"/>
      <c r="R452" s="10"/>
      <c r="S452" s="10"/>
      <c r="W452" s="42"/>
      <c r="X452" s="42"/>
      <c r="Y452" s="42"/>
    </row>
    <row r="453" spans="6:25" ht="15.75" customHeight="1">
      <c r="F453" s="10"/>
      <c r="J453" s="10"/>
      <c r="N453" s="10"/>
      <c r="R453" s="10"/>
      <c r="S453" s="10"/>
      <c r="W453" s="42"/>
      <c r="X453" s="42"/>
      <c r="Y453" s="42"/>
    </row>
    <row r="454" spans="6:25" ht="15.75" customHeight="1">
      <c r="F454" s="10"/>
      <c r="J454" s="10"/>
      <c r="N454" s="10"/>
      <c r="R454" s="10"/>
      <c r="S454" s="10"/>
      <c r="W454" s="42"/>
      <c r="X454" s="42"/>
      <c r="Y454" s="42"/>
    </row>
    <row r="455" spans="6:25" ht="15.75" customHeight="1">
      <c r="F455" s="10"/>
      <c r="J455" s="10"/>
      <c r="N455" s="10"/>
      <c r="R455" s="10"/>
      <c r="S455" s="10"/>
      <c r="W455" s="42"/>
      <c r="X455" s="42"/>
      <c r="Y455" s="42"/>
    </row>
    <row r="456" spans="6:25" ht="15.75" customHeight="1">
      <c r="F456" s="10"/>
      <c r="J456" s="10"/>
      <c r="N456" s="10"/>
      <c r="R456" s="10"/>
      <c r="S456" s="10"/>
      <c r="W456" s="42"/>
      <c r="X456" s="42"/>
      <c r="Y456" s="42"/>
    </row>
    <row r="457" spans="6:25" ht="15.75" customHeight="1">
      <c r="F457" s="10"/>
      <c r="J457" s="10"/>
      <c r="N457" s="10"/>
      <c r="R457" s="10"/>
      <c r="S457" s="10"/>
      <c r="W457" s="42"/>
      <c r="X457" s="42"/>
      <c r="Y457" s="42"/>
    </row>
    <row r="458" spans="6:25" ht="15.75" customHeight="1">
      <c r="F458" s="10"/>
      <c r="J458" s="10"/>
      <c r="N458" s="10"/>
      <c r="R458" s="10"/>
      <c r="S458" s="10"/>
      <c r="W458" s="42"/>
      <c r="X458" s="42"/>
      <c r="Y458" s="42"/>
    </row>
    <row r="459" spans="6:25" ht="15.75" customHeight="1">
      <c r="F459" s="10"/>
      <c r="J459" s="10"/>
      <c r="N459" s="10"/>
      <c r="R459" s="10"/>
      <c r="S459" s="10"/>
      <c r="W459" s="42"/>
      <c r="X459" s="42"/>
      <c r="Y459" s="42"/>
    </row>
    <row r="460" spans="6:25" ht="15.75" customHeight="1">
      <c r="F460" s="10"/>
      <c r="J460" s="10"/>
      <c r="N460" s="10"/>
      <c r="R460" s="10"/>
      <c r="S460" s="10"/>
      <c r="W460" s="42"/>
      <c r="X460" s="42"/>
      <c r="Y460" s="42"/>
    </row>
    <row r="461" spans="6:25" ht="15.75" customHeight="1">
      <c r="F461" s="10"/>
      <c r="J461" s="10"/>
      <c r="N461" s="10"/>
      <c r="R461" s="10"/>
      <c r="S461" s="10"/>
      <c r="W461" s="42"/>
      <c r="X461" s="42"/>
      <c r="Y461" s="42"/>
    </row>
    <row r="462" spans="6:25" ht="15.75" customHeight="1">
      <c r="F462" s="10"/>
      <c r="J462" s="10"/>
      <c r="N462" s="10"/>
      <c r="R462" s="10"/>
      <c r="S462" s="10"/>
      <c r="W462" s="42"/>
      <c r="X462" s="42"/>
      <c r="Y462" s="42"/>
    </row>
    <row r="463" spans="6:25" ht="15.75" customHeight="1">
      <c r="F463" s="10"/>
      <c r="J463" s="10"/>
      <c r="N463" s="10"/>
      <c r="R463" s="10"/>
      <c r="S463" s="10"/>
      <c r="W463" s="42"/>
      <c r="X463" s="42"/>
      <c r="Y463" s="42"/>
    </row>
    <row r="464" spans="6:25" ht="15.75" customHeight="1">
      <c r="F464" s="10"/>
      <c r="J464" s="10"/>
      <c r="N464" s="10"/>
      <c r="R464" s="10"/>
      <c r="S464" s="10"/>
      <c r="W464" s="42"/>
      <c r="X464" s="42"/>
      <c r="Y464" s="42"/>
    </row>
    <row r="465" spans="6:25" ht="15.75" customHeight="1">
      <c r="F465" s="10"/>
      <c r="J465" s="10"/>
      <c r="N465" s="10"/>
      <c r="R465" s="10"/>
      <c r="S465" s="10"/>
      <c r="W465" s="42"/>
      <c r="X465" s="42"/>
      <c r="Y465" s="42"/>
    </row>
    <row r="466" spans="6:25" ht="15.75" customHeight="1">
      <c r="F466" s="10"/>
      <c r="J466" s="10"/>
      <c r="N466" s="10"/>
      <c r="R466" s="10"/>
      <c r="S466" s="10"/>
      <c r="W466" s="42"/>
      <c r="X466" s="42"/>
      <c r="Y466" s="42"/>
    </row>
    <row r="467" spans="6:25" ht="15.75" customHeight="1">
      <c r="F467" s="10"/>
      <c r="J467" s="10"/>
      <c r="N467" s="10"/>
      <c r="R467" s="10"/>
      <c r="S467" s="10"/>
      <c r="W467" s="42"/>
      <c r="X467" s="42"/>
      <c r="Y467" s="42"/>
    </row>
    <row r="468" spans="6:25" ht="15.75" customHeight="1">
      <c r="F468" s="10"/>
      <c r="J468" s="10"/>
      <c r="N468" s="10"/>
      <c r="R468" s="10"/>
      <c r="S468" s="10"/>
      <c r="W468" s="42"/>
      <c r="X468" s="42"/>
      <c r="Y468" s="42"/>
    </row>
    <row r="469" spans="6:25" ht="15.75" customHeight="1">
      <c r="F469" s="10"/>
      <c r="J469" s="10"/>
      <c r="N469" s="10"/>
      <c r="R469" s="10"/>
      <c r="S469" s="10"/>
      <c r="W469" s="42"/>
      <c r="X469" s="42"/>
      <c r="Y469" s="42"/>
    </row>
    <row r="470" spans="6:25" ht="15.75" customHeight="1">
      <c r="F470" s="10"/>
      <c r="J470" s="10"/>
      <c r="N470" s="10"/>
      <c r="R470" s="10"/>
      <c r="S470" s="10"/>
      <c r="W470" s="42"/>
      <c r="X470" s="42"/>
      <c r="Y470" s="42"/>
    </row>
    <row r="471" spans="6:25" ht="15.75" customHeight="1">
      <c r="F471" s="10"/>
      <c r="J471" s="10"/>
      <c r="N471" s="10"/>
      <c r="R471" s="10"/>
      <c r="S471" s="10"/>
      <c r="W471" s="42"/>
      <c r="X471" s="42"/>
      <c r="Y471" s="42"/>
    </row>
    <row r="472" spans="6:25" ht="15.75" customHeight="1">
      <c r="F472" s="10"/>
      <c r="J472" s="10"/>
      <c r="N472" s="10"/>
      <c r="R472" s="10"/>
      <c r="S472" s="10"/>
      <c r="W472" s="42"/>
      <c r="X472" s="42"/>
      <c r="Y472" s="42"/>
    </row>
    <row r="473" spans="6:25" ht="15.75" customHeight="1">
      <c r="F473" s="10"/>
      <c r="J473" s="10"/>
      <c r="N473" s="10"/>
      <c r="R473" s="10"/>
      <c r="S473" s="10"/>
      <c r="W473" s="42"/>
      <c r="X473" s="42"/>
      <c r="Y473" s="42"/>
    </row>
    <row r="474" spans="6:25" ht="15.75" customHeight="1">
      <c r="F474" s="10"/>
      <c r="J474" s="10"/>
      <c r="N474" s="10"/>
      <c r="R474" s="10"/>
      <c r="S474" s="10"/>
      <c r="W474" s="42"/>
      <c r="X474" s="42"/>
      <c r="Y474" s="42"/>
    </row>
    <row r="475" spans="6:25" ht="15.75" customHeight="1">
      <c r="F475" s="10"/>
      <c r="J475" s="10"/>
      <c r="N475" s="10"/>
      <c r="R475" s="10"/>
      <c r="S475" s="10"/>
      <c r="W475" s="42"/>
      <c r="X475" s="42"/>
      <c r="Y475" s="42"/>
    </row>
    <row r="476" spans="6:25" ht="15.75" customHeight="1">
      <c r="F476" s="10"/>
      <c r="J476" s="10"/>
      <c r="N476" s="10"/>
      <c r="R476" s="10"/>
      <c r="S476" s="10"/>
      <c r="W476" s="42"/>
      <c r="X476" s="42"/>
      <c r="Y476" s="42"/>
    </row>
    <row r="477" spans="6:25" ht="15.75" customHeight="1">
      <c r="F477" s="10"/>
      <c r="J477" s="10"/>
      <c r="N477" s="10"/>
      <c r="R477" s="10"/>
      <c r="S477" s="10"/>
      <c r="W477" s="42"/>
      <c r="X477" s="42"/>
      <c r="Y477" s="42"/>
    </row>
    <row r="478" spans="6:25" ht="15.75" customHeight="1">
      <c r="F478" s="10"/>
      <c r="J478" s="10"/>
      <c r="N478" s="10"/>
      <c r="R478" s="10"/>
      <c r="S478" s="10"/>
      <c r="W478" s="42"/>
      <c r="X478" s="42"/>
      <c r="Y478" s="42"/>
    </row>
    <row r="479" spans="6:25" ht="15.75" customHeight="1">
      <c r="F479" s="10"/>
      <c r="J479" s="10"/>
      <c r="N479" s="10"/>
      <c r="R479" s="10"/>
      <c r="S479" s="10"/>
      <c r="W479" s="42"/>
      <c r="X479" s="42"/>
      <c r="Y479" s="42"/>
    </row>
    <row r="480" spans="6:25" ht="15.75" customHeight="1">
      <c r="F480" s="10"/>
      <c r="J480" s="10"/>
      <c r="N480" s="10"/>
      <c r="R480" s="10"/>
      <c r="S480" s="10"/>
      <c r="W480" s="42"/>
      <c r="X480" s="42"/>
      <c r="Y480" s="42"/>
    </row>
    <row r="481" spans="6:25" ht="15.75" customHeight="1">
      <c r="F481" s="10"/>
      <c r="J481" s="10"/>
      <c r="N481" s="10"/>
      <c r="R481" s="10"/>
      <c r="S481" s="10"/>
      <c r="W481" s="42"/>
      <c r="X481" s="42"/>
      <c r="Y481" s="42"/>
    </row>
    <row r="482" spans="6:25" ht="15.75" customHeight="1">
      <c r="F482" s="10"/>
      <c r="J482" s="10"/>
      <c r="N482" s="10"/>
      <c r="R482" s="10"/>
      <c r="S482" s="10"/>
      <c r="W482" s="42"/>
      <c r="X482" s="42"/>
      <c r="Y482" s="42"/>
    </row>
    <row r="483" spans="6:25" ht="15.75" customHeight="1">
      <c r="F483" s="10"/>
      <c r="J483" s="10"/>
      <c r="N483" s="10"/>
      <c r="R483" s="10"/>
      <c r="S483" s="10"/>
      <c r="W483" s="42"/>
      <c r="X483" s="42"/>
      <c r="Y483" s="42"/>
    </row>
    <row r="484" spans="6:25" ht="15.75" customHeight="1">
      <c r="F484" s="10"/>
      <c r="J484" s="10"/>
      <c r="N484" s="10"/>
      <c r="R484" s="10"/>
      <c r="S484" s="10"/>
      <c r="W484" s="42"/>
      <c r="X484" s="42"/>
      <c r="Y484" s="42"/>
    </row>
    <row r="485" spans="6:25" ht="15.75" customHeight="1">
      <c r="F485" s="10"/>
      <c r="J485" s="10"/>
      <c r="N485" s="10"/>
      <c r="R485" s="10"/>
      <c r="S485" s="10"/>
      <c r="W485" s="42"/>
      <c r="X485" s="42"/>
      <c r="Y485" s="42"/>
    </row>
    <row r="486" spans="6:25" ht="15.75" customHeight="1">
      <c r="F486" s="10"/>
      <c r="J486" s="10"/>
      <c r="N486" s="10"/>
      <c r="R486" s="10"/>
      <c r="S486" s="10"/>
      <c r="W486" s="42"/>
      <c r="X486" s="42"/>
      <c r="Y486" s="42"/>
    </row>
    <row r="487" spans="6:25" ht="15.75" customHeight="1">
      <c r="F487" s="10"/>
      <c r="J487" s="10"/>
      <c r="N487" s="10"/>
      <c r="R487" s="10"/>
      <c r="S487" s="10"/>
      <c r="W487" s="42"/>
      <c r="X487" s="42"/>
      <c r="Y487" s="42"/>
    </row>
    <row r="488" spans="6:25" ht="15.75" customHeight="1">
      <c r="F488" s="10"/>
      <c r="J488" s="10"/>
      <c r="N488" s="10"/>
      <c r="R488" s="10"/>
      <c r="S488" s="10"/>
      <c r="W488" s="42"/>
      <c r="X488" s="42"/>
      <c r="Y488" s="42"/>
    </row>
    <row r="489" spans="6:25" ht="15.75" customHeight="1">
      <c r="F489" s="10"/>
      <c r="J489" s="10"/>
      <c r="N489" s="10"/>
      <c r="R489" s="10"/>
      <c r="S489" s="10"/>
      <c r="W489" s="42"/>
      <c r="X489" s="42"/>
      <c r="Y489" s="42"/>
    </row>
    <row r="490" spans="6:25" ht="15.75" customHeight="1">
      <c r="F490" s="10"/>
      <c r="J490" s="10"/>
      <c r="N490" s="10"/>
      <c r="R490" s="10"/>
      <c r="S490" s="10"/>
      <c r="W490" s="42"/>
      <c r="X490" s="42"/>
      <c r="Y490" s="42"/>
    </row>
    <row r="491" spans="6:25" ht="15.75" customHeight="1">
      <c r="F491" s="10"/>
      <c r="J491" s="10"/>
      <c r="N491" s="10"/>
      <c r="R491" s="10"/>
      <c r="S491" s="10"/>
      <c r="W491" s="42"/>
      <c r="X491" s="42"/>
      <c r="Y491" s="42"/>
    </row>
    <row r="492" spans="6:25" ht="15.75" customHeight="1">
      <c r="F492" s="10"/>
      <c r="J492" s="10"/>
      <c r="N492" s="10"/>
      <c r="R492" s="10"/>
      <c r="S492" s="10"/>
      <c r="W492" s="42"/>
      <c r="X492" s="42"/>
      <c r="Y492" s="42"/>
    </row>
    <row r="493" spans="6:25" ht="15.75" customHeight="1">
      <c r="F493" s="10"/>
      <c r="J493" s="10"/>
      <c r="N493" s="10"/>
      <c r="R493" s="10"/>
      <c r="S493" s="10"/>
      <c r="W493" s="42"/>
      <c r="X493" s="42"/>
      <c r="Y493" s="42"/>
    </row>
    <row r="494" spans="6:25" ht="15.75" customHeight="1">
      <c r="F494" s="10"/>
      <c r="J494" s="10"/>
      <c r="N494" s="10"/>
      <c r="R494" s="10"/>
      <c r="S494" s="10"/>
      <c r="W494" s="42"/>
      <c r="X494" s="42"/>
      <c r="Y494" s="42"/>
    </row>
    <row r="495" spans="6:25" ht="15.75" customHeight="1">
      <c r="F495" s="10"/>
      <c r="J495" s="10"/>
      <c r="N495" s="10"/>
      <c r="R495" s="10"/>
      <c r="S495" s="10"/>
      <c r="W495" s="42"/>
      <c r="X495" s="42"/>
      <c r="Y495" s="42"/>
    </row>
    <row r="496" spans="6:25" ht="15.75" customHeight="1">
      <c r="F496" s="10"/>
      <c r="J496" s="10"/>
      <c r="N496" s="10"/>
      <c r="R496" s="10"/>
      <c r="S496" s="10"/>
      <c r="W496" s="42"/>
      <c r="X496" s="42"/>
      <c r="Y496" s="42"/>
    </row>
    <row r="497" spans="6:25" ht="15.75" customHeight="1">
      <c r="F497" s="10"/>
      <c r="J497" s="10"/>
      <c r="N497" s="10"/>
      <c r="R497" s="10"/>
      <c r="S497" s="10"/>
      <c r="W497" s="42"/>
      <c r="X497" s="42"/>
      <c r="Y497" s="42"/>
    </row>
    <row r="498" spans="6:25" ht="15.75" customHeight="1">
      <c r="F498" s="10"/>
      <c r="J498" s="10"/>
      <c r="N498" s="10"/>
      <c r="R498" s="10"/>
      <c r="S498" s="10"/>
      <c r="W498" s="42"/>
      <c r="X498" s="42"/>
      <c r="Y498" s="42"/>
    </row>
    <row r="499" spans="6:25" ht="15.75" customHeight="1">
      <c r="F499" s="10"/>
      <c r="J499" s="10"/>
      <c r="N499" s="10"/>
      <c r="R499" s="10"/>
      <c r="S499" s="10"/>
      <c r="W499" s="42"/>
      <c r="X499" s="42"/>
      <c r="Y499" s="42"/>
    </row>
    <row r="500" spans="6:25" ht="15.75" customHeight="1">
      <c r="F500" s="10"/>
      <c r="J500" s="10"/>
      <c r="N500" s="10"/>
      <c r="R500" s="10"/>
      <c r="S500" s="10"/>
      <c r="W500" s="42"/>
      <c r="X500" s="42"/>
      <c r="Y500" s="42"/>
    </row>
    <row r="501" spans="6:25" ht="15.75" customHeight="1">
      <c r="F501" s="10"/>
      <c r="J501" s="10"/>
      <c r="N501" s="10"/>
      <c r="R501" s="10"/>
      <c r="S501" s="10"/>
      <c r="W501" s="42"/>
      <c r="X501" s="42"/>
      <c r="Y501" s="42"/>
    </row>
    <row r="502" spans="6:25" ht="15.75" customHeight="1">
      <c r="F502" s="10"/>
      <c r="J502" s="10"/>
      <c r="N502" s="10"/>
      <c r="R502" s="10"/>
      <c r="S502" s="10"/>
      <c r="W502" s="42"/>
      <c r="X502" s="42"/>
      <c r="Y502" s="42"/>
    </row>
    <row r="503" spans="6:25" ht="15.75" customHeight="1">
      <c r="F503" s="10"/>
      <c r="J503" s="10"/>
      <c r="N503" s="10"/>
      <c r="R503" s="10"/>
      <c r="S503" s="10"/>
      <c r="W503" s="42"/>
      <c r="X503" s="42"/>
      <c r="Y503" s="42"/>
    </row>
    <row r="504" spans="6:25" ht="15.75" customHeight="1">
      <c r="F504" s="10"/>
      <c r="J504" s="10"/>
      <c r="N504" s="10"/>
      <c r="R504" s="10"/>
      <c r="S504" s="10"/>
      <c r="W504" s="42"/>
      <c r="X504" s="42"/>
      <c r="Y504" s="42"/>
    </row>
    <row r="505" spans="6:25" ht="15.75" customHeight="1">
      <c r="F505" s="10"/>
      <c r="J505" s="10"/>
      <c r="N505" s="10"/>
      <c r="R505" s="10"/>
      <c r="S505" s="10"/>
      <c r="W505" s="42"/>
      <c r="X505" s="42"/>
      <c r="Y505" s="42"/>
    </row>
    <row r="506" spans="6:25" ht="15.75" customHeight="1">
      <c r="F506" s="10"/>
      <c r="J506" s="10"/>
      <c r="N506" s="10"/>
      <c r="R506" s="10"/>
      <c r="S506" s="10"/>
      <c r="W506" s="42"/>
      <c r="X506" s="42"/>
      <c r="Y506" s="42"/>
    </row>
    <row r="507" spans="6:25" ht="15.75" customHeight="1">
      <c r="F507" s="10"/>
      <c r="J507" s="10"/>
      <c r="N507" s="10"/>
      <c r="R507" s="10"/>
      <c r="S507" s="10"/>
      <c r="W507" s="42"/>
      <c r="X507" s="42"/>
      <c r="Y507" s="42"/>
    </row>
    <row r="508" spans="6:25" ht="15.75" customHeight="1">
      <c r="F508" s="10"/>
      <c r="J508" s="10"/>
      <c r="N508" s="10"/>
      <c r="R508" s="10"/>
      <c r="S508" s="10"/>
      <c r="W508" s="42"/>
      <c r="X508" s="42"/>
      <c r="Y508" s="42"/>
    </row>
    <row r="509" spans="6:25" ht="15.75" customHeight="1">
      <c r="F509" s="10"/>
      <c r="J509" s="10"/>
      <c r="N509" s="10"/>
      <c r="R509" s="10"/>
      <c r="S509" s="10"/>
      <c r="W509" s="42"/>
      <c r="X509" s="42"/>
      <c r="Y509" s="42"/>
    </row>
    <row r="510" spans="6:25" ht="15.75" customHeight="1">
      <c r="F510" s="10"/>
      <c r="J510" s="10"/>
      <c r="N510" s="10"/>
      <c r="R510" s="10"/>
      <c r="S510" s="10"/>
      <c r="W510" s="42"/>
      <c r="X510" s="42"/>
      <c r="Y510" s="42"/>
    </row>
    <row r="511" spans="6:25" ht="15.75" customHeight="1">
      <c r="F511" s="10"/>
      <c r="J511" s="10"/>
      <c r="N511" s="10"/>
      <c r="R511" s="10"/>
      <c r="S511" s="10"/>
      <c r="W511" s="42"/>
      <c r="X511" s="42"/>
      <c r="Y511" s="42"/>
    </row>
    <row r="512" spans="6:25" ht="15.75" customHeight="1">
      <c r="F512" s="10"/>
      <c r="J512" s="10"/>
      <c r="N512" s="10"/>
      <c r="R512" s="10"/>
      <c r="S512" s="10"/>
      <c r="W512" s="42"/>
      <c r="X512" s="42"/>
      <c r="Y512" s="42"/>
    </row>
    <row r="513" spans="6:25" ht="15.75" customHeight="1">
      <c r="F513" s="10"/>
      <c r="J513" s="10"/>
      <c r="N513" s="10"/>
      <c r="R513" s="10"/>
      <c r="S513" s="10"/>
      <c r="W513" s="42"/>
      <c r="X513" s="42"/>
      <c r="Y513" s="42"/>
    </row>
    <row r="514" spans="6:25" ht="15.75" customHeight="1">
      <c r="F514" s="10"/>
      <c r="J514" s="10"/>
      <c r="N514" s="10"/>
      <c r="R514" s="10"/>
      <c r="S514" s="10"/>
      <c r="W514" s="42"/>
      <c r="X514" s="42"/>
      <c r="Y514" s="42"/>
    </row>
    <row r="515" spans="6:25" ht="15.75" customHeight="1">
      <c r="F515" s="10"/>
      <c r="J515" s="10"/>
      <c r="N515" s="10"/>
      <c r="R515" s="10"/>
      <c r="S515" s="10"/>
      <c r="W515" s="42"/>
      <c r="X515" s="42"/>
      <c r="Y515" s="42"/>
    </row>
    <row r="516" spans="6:25" ht="15.75" customHeight="1">
      <c r="F516" s="10"/>
      <c r="J516" s="10"/>
      <c r="N516" s="10"/>
      <c r="R516" s="10"/>
      <c r="S516" s="10"/>
      <c r="W516" s="42"/>
      <c r="X516" s="42"/>
      <c r="Y516" s="42"/>
    </row>
    <row r="517" spans="6:25" ht="15.75" customHeight="1">
      <c r="F517" s="10"/>
      <c r="J517" s="10"/>
      <c r="N517" s="10"/>
      <c r="R517" s="10"/>
      <c r="S517" s="10"/>
      <c r="W517" s="42"/>
      <c r="X517" s="42"/>
      <c r="Y517" s="42"/>
    </row>
    <row r="518" spans="6:25" ht="15.75" customHeight="1">
      <c r="F518" s="10"/>
      <c r="J518" s="10"/>
      <c r="N518" s="10"/>
      <c r="R518" s="10"/>
      <c r="S518" s="10"/>
      <c r="W518" s="42"/>
      <c r="X518" s="42"/>
      <c r="Y518" s="42"/>
    </row>
    <row r="519" spans="6:25" ht="15.75" customHeight="1">
      <c r="F519" s="10"/>
      <c r="J519" s="10"/>
      <c r="N519" s="10"/>
      <c r="R519" s="10"/>
      <c r="S519" s="10"/>
      <c r="W519" s="42"/>
      <c r="X519" s="42"/>
      <c r="Y519" s="42"/>
    </row>
    <row r="520" spans="6:25" ht="15.75" customHeight="1">
      <c r="F520" s="10"/>
      <c r="J520" s="10"/>
      <c r="N520" s="10"/>
      <c r="R520" s="10"/>
      <c r="S520" s="10"/>
      <c r="W520" s="42"/>
      <c r="X520" s="42"/>
      <c r="Y520" s="42"/>
    </row>
    <row r="521" spans="6:25" ht="15.75" customHeight="1">
      <c r="F521" s="10"/>
      <c r="J521" s="10"/>
      <c r="N521" s="10"/>
      <c r="R521" s="10"/>
      <c r="S521" s="10"/>
      <c r="W521" s="42"/>
      <c r="X521" s="42"/>
      <c r="Y521" s="42"/>
    </row>
    <row r="522" spans="6:25" ht="15.75" customHeight="1">
      <c r="F522" s="10"/>
      <c r="J522" s="10"/>
      <c r="N522" s="10"/>
      <c r="R522" s="10"/>
      <c r="S522" s="10"/>
      <c r="W522" s="42"/>
      <c r="X522" s="42"/>
      <c r="Y522" s="42"/>
    </row>
    <row r="523" spans="6:25" ht="15.75" customHeight="1">
      <c r="F523" s="10"/>
      <c r="J523" s="10"/>
      <c r="N523" s="10"/>
      <c r="R523" s="10"/>
      <c r="S523" s="10"/>
      <c r="W523" s="42"/>
      <c r="X523" s="42"/>
      <c r="Y523" s="42"/>
    </row>
    <row r="524" spans="6:25" ht="15.75" customHeight="1">
      <c r="F524" s="10"/>
      <c r="J524" s="10"/>
      <c r="N524" s="10"/>
      <c r="R524" s="10"/>
      <c r="S524" s="10"/>
      <c r="W524" s="42"/>
      <c r="X524" s="42"/>
      <c r="Y524" s="42"/>
    </row>
    <row r="525" spans="6:25" ht="15.75" customHeight="1">
      <c r="F525" s="10"/>
      <c r="J525" s="10"/>
      <c r="N525" s="10"/>
      <c r="R525" s="10"/>
      <c r="S525" s="10"/>
      <c r="W525" s="42"/>
      <c r="X525" s="42"/>
      <c r="Y525" s="42"/>
    </row>
    <row r="526" spans="6:25" ht="15.75" customHeight="1">
      <c r="F526" s="10"/>
      <c r="J526" s="10"/>
      <c r="N526" s="10"/>
      <c r="R526" s="10"/>
      <c r="S526" s="10"/>
      <c r="W526" s="42"/>
      <c r="X526" s="42"/>
      <c r="Y526" s="42"/>
    </row>
    <row r="527" spans="6:25" ht="15.75" customHeight="1">
      <c r="F527" s="10"/>
      <c r="J527" s="10"/>
      <c r="N527" s="10"/>
      <c r="R527" s="10"/>
      <c r="S527" s="10"/>
      <c r="W527" s="42"/>
      <c r="X527" s="42"/>
      <c r="Y527" s="42"/>
    </row>
    <row r="528" spans="6:25" ht="15.75" customHeight="1">
      <c r="F528" s="10"/>
      <c r="J528" s="10"/>
      <c r="N528" s="10"/>
      <c r="R528" s="10"/>
      <c r="S528" s="10"/>
      <c r="W528" s="42"/>
      <c r="X528" s="42"/>
      <c r="Y528" s="42"/>
    </row>
    <row r="529" spans="6:25" ht="15.75" customHeight="1">
      <c r="F529" s="10"/>
      <c r="J529" s="10"/>
      <c r="N529" s="10"/>
      <c r="R529" s="10"/>
      <c r="S529" s="10"/>
      <c r="W529" s="42"/>
      <c r="X529" s="42"/>
      <c r="Y529" s="42"/>
    </row>
    <row r="530" spans="6:25" ht="15.75" customHeight="1">
      <c r="F530" s="10"/>
      <c r="J530" s="10"/>
      <c r="N530" s="10"/>
      <c r="R530" s="10"/>
      <c r="S530" s="10"/>
      <c r="W530" s="42"/>
      <c r="X530" s="42"/>
      <c r="Y530" s="42"/>
    </row>
    <row r="531" spans="6:25" ht="15.75" customHeight="1">
      <c r="F531" s="10"/>
      <c r="J531" s="10"/>
      <c r="N531" s="10"/>
      <c r="R531" s="10"/>
      <c r="S531" s="10"/>
      <c r="W531" s="42"/>
      <c r="X531" s="42"/>
      <c r="Y531" s="42"/>
    </row>
    <row r="532" spans="6:25" ht="15.75" customHeight="1">
      <c r="F532" s="10"/>
      <c r="J532" s="10"/>
      <c r="N532" s="10"/>
      <c r="R532" s="10"/>
      <c r="S532" s="10"/>
      <c r="W532" s="42"/>
      <c r="X532" s="42"/>
      <c r="Y532" s="42"/>
    </row>
    <row r="533" spans="6:25" ht="15.75" customHeight="1">
      <c r="F533" s="10"/>
      <c r="J533" s="10"/>
      <c r="N533" s="10"/>
      <c r="R533" s="10"/>
      <c r="S533" s="10"/>
      <c r="W533" s="42"/>
      <c r="X533" s="42"/>
      <c r="Y533" s="42"/>
    </row>
    <row r="534" spans="6:25" ht="15.75" customHeight="1">
      <c r="F534" s="10"/>
      <c r="J534" s="10"/>
      <c r="N534" s="10"/>
      <c r="R534" s="10"/>
      <c r="S534" s="10"/>
      <c r="W534" s="42"/>
      <c r="X534" s="42"/>
      <c r="Y534" s="42"/>
    </row>
    <row r="535" spans="6:25" ht="15.75" customHeight="1">
      <c r="F535" s="10"/>
      <c r="J535" s="10"/>
      <c r="N535" s="10"/>
      <c r="R535" s="10"/>
      <c r="S535" s="10"/>
      <c r="W535" s="42"/>
      <c r="X535" s="42"/>
      <c r="Y535" s="42"/>
    </row>
    <row r="536" spans="6:25" ht="15.75" customHeight="1">
      <c r="F536" s="10"/>
      <c r="J536" s="10"/>
      <c r="N536" s="10"/>
      <c r="R536" s="10"/>
      <c r="S536" s="10"/>
      <c r="W536" s="42"/>
      <c r="X536" s="42"/>
      <c r="Y536" s="42"/>
    </row>
    <row r="537" spans="6:25" ht="15.75" customHeight="1">
      <c r="F537" s="10"/>
      <c r="J537" s="10"/>
      <c r="N537" s="10"/>
      <c r="R537" s="10"/>
      <c r="S537" s="10"/>
      <c r="W537" s="42"/>
      <c r="X537" s="42"/>
      <c r="Y537" s="42"/>
    </row>
    <row r="538" spans="6:25" ht="15.75" customHeight="1">
      <c r="F538" s="10"/>
      <c r="J538" s="10"/>
      <c r="N538" s="10"/>
      <c r="R538" s="10"/>
      <c r="S538" s="10"/>
      <c r="W538" s="42"/>
      <c r="X538" s="42"/>
      <c r="Y538" s="42"/>
    </row>
    <row r="539" spans="6:25" ht="15.75" customHeight="1">
      <c r="F539" s="10"/>
      <c r="J539" s="10"/>
      <c r="N539" s="10"/>
      <c r="R539" s="10"/>
      <c r="S539" s="10"/>
      <c r="W539" s="42"/>
      <c r="X539" s="42"/>
      <c r="Y539" s="42"/>
    </row>
    <row r="540" spans="6:25" ht="15.75" customHeight="1">
      <c r="F540" s="10"/>
      <c r="J540" s="10"/>
      <c r="N540" s="10"/>
      <c r="R540" s="10"/>
      <c r="S540" s="10"/>
      <c r="W540" s="42"/>
      <c r="X540" s="42"/>
      <c r="Y540" s="42"/>
    </row>
    <row r="541" spans="6:25" ht="15.75" customHeight="1">
      <c r="F541" s="10"/>
      <c r="J541" s="10"/>
      <c r="N541" s="10"/>
      <c r="R541" s="10"/>
      <c r="S541" s="10"/>
      <c r="W541" s="42"/>
      <c r="X541" s="42"/>
      <c r="Y541" s="42"/>
    </row>
    <row r="542" spans="6:25" ht="15.75" customHeight="1">
      <c r="F542" s="10"/>
      <c r="J542" s="10"/>
      <c r="N542" s="10"/>
      <c r="R542" s="10"/>
      <c r="S542" s="10"/>
      <c r="W542" s="42"/>
      <c r="X542" s="42"/>
      <c r="Y542" s="42"/>
    </row>
    <row r="543" spans="6:25" ht="15.75" customHeight="1">
      <c r="F543" s="10"/>
      <c r="J543" s="10"/>
      <c r="N543" s="10"/>
      <c r="R543" s="10"/>
      <c r="S543" s="10"/>
      <c r="W543" s="42"/>
      <c r="X543" s="42"/>
      <c r="Y543" s="42"/>
    </row>
    <row r="544" spans="6:25" ht="15.75" customHeight="1">
      <c r="F544" s="10"/>
      <c r="J544" s="10"/>
      <c r="N544" s="10"/>
      <c r="R544" s="10"/>
      <c r="S544" s="10"/>
      <c r="W544" s="42"/>
      <c r="X544" s="42"/>
      <c r="Y544" s="42"/>
    </row>
    <row r="545" spans="6:25" ht="15.75" customHeight="1">
      <c r="F545" s="10"/>
      <c r="J545" s="10"/>
      <c r="N545" s="10"/>
      <c r="R545" s="10"/>
      <c r="S545" s="10"/>
      <c r="W545" s="42"/>
      <c r="X545" s="42"/>
      <c r="Y545" s="42"/>
    </row>
    <row r="546" spans="6:25" ht="15.75" customHeight="1">
      <c r="F546" s="10"/>
      <c r="J546" s="10"/>
      <c r="N546" s="10"/>
      <c r="R546" s="10"/>
      <c r="S546" s="10"/>
      <c r="W546" s="42"/>
      <c r="X546" s="42"/>
      <c r="Y546" s="42"/>
    </row>
    <row r="547" spans="6:25" ht="15.75" customHeight="1">
      <c r="F547" s="10"/>
      <c r="J547" s="10"/>
      <c r="N547" s="10"/>
      <c r="R547" s="10"/>
      <c r="S547" s="10"/>
      <c r="W547" s="42"/>
      <c r="X547" s="42"/>
      <c r="Y547" s="42"/>
    </row>
    <row r="548" spans="6:25" ht="15.75" customHeight="1">
      <c r="F548" s="10"/>
      <c r="J548" s="10"/>
      <c r="N548" s="10"/>
      <c r="R548" s="10"/>
      <c r="S548" s="10"/>
      <c r="W548" s="42"/>
      <c r="X548" s="42"/>
      <c r="Y548" s="42"/>
    </row>
    <row r="549" spans="6:25" ht="15.75" customHeight="1">
      <c r="F549" s="10"/>
      <c r="J549" s="10"/>
      <c r="N549" s="10"/>
      <c r="R549" s="10"/>
      <c r="S549" s="10"/>
      <c r="W549" s="42"/>
      <c r="X549" s="42"/>
      <c r="Y549" s="42"/>
    </row>
    <row r="550" spans="6:25" ht="15.75" customHeight="1">
      <c r="F550" s="10"/>
      <c r="J550" s="10"/>
      <c r="N550" s="10"/>
      <c r="R550" s="10"/>
      <c r="S550" s="10"/>
      <c r="W550" s="42"/>
      <c r="X550" s="42"/>
      <c r="Y550" s="42"/>
    </row>
    <row r="551" spans="6:25" ht="15.75" customHeight="1">
      <c r="F551" s="10"/>
      <c r="J551" s="10"/>
      <c r="N551" s="10"/>
      <c r="R551" s="10"/>
      <c r="S551" s="10"/>
      <c r="W551" s="42"/>
      <c r="X551" s="42"/>
      <c r="Y551" s="42"/>
    </row>
    <row r="552" spans="6:25" ht="15.75" customHeight="1">
      <c r="F552" s="10"/>
      <c r="J552" s="10"/>
      <c r="N552" s="10"/>
      <c r="R552" s="10"/>
      <c r="S552" s="10"/>
      <c r="W552" s="42"/>
      <c r="X552" s="42"/>
      <c r="Y552" s="42"/>
    </row>
    <row r="553" spans="6:25" ht="15.75" customHeight="1">
      <c r="F553" s="10"/>
      <c r="J553" s="10"/>
      <c r="N553" s="10"/>
      <c r="R553" s="10"/>
      <c r="S553" s="10"/>
      <c r="W553" s="42"/>
      <c r="X553" s="42"/>
      <c r="Y553" s="42"/>
    </row>
    <row r="554" spans="6:25" ht="15.75" customHeight="1">
      <c r="F554" s="10"/>
      <c r="J554" s="10"/>
      <c r="N554" s="10"/>
      <c r="R554" s="10"/>
      <c r="S554" s="10"/>
      <c r="W554" s="42"/>
      <c r="X554" s="42"/>
      <c r="Y554" s="42"/>
    </row>
    <row r="555" spans="6:25" ht="15.75" customHeight="1">
      <c r="F555" s="10"/>
      <c r="J555" s="10"/>
      <c r="N555" s="10"/>
      <c r="R555" s="10"/>
      <c r="S555" s="10"/>
      <c r="W555" s="42"/>
      <c r="X555" s="42"/>
      <c r="Y555" s="42"/>
    </row>
    <row r="556" spans="6:25" ht="15.75" customHeight="1">
      <c r="F556" s="10"/>
      <c r="J556" s="10"/>
      <c r="N556" s="10"/>
      <c r="R556" s="10"/>
      <c r="S556" s="10"/>
      <c r="W556" s="42"/>
      <c r="X556" s="42"/>
      <c r="Y556" s="42"/>
    </row>
    <row r="557" spans="6:25" ht="15.75" customHeight="1">
      <c r="F557" s="10"/>
      <c r="J557" s="10"/>
      <c r="N557" s="10"/>
      <c r="R557" s="10"/>
      <c r="S557" s="10"/>
      <c r="W557" s="42"/>
      <c r="X557" s="42"/>
      <c r="Y557" s="42"/>
    </row>
    <row r="558" spans="6:25" ht="15.75" customHeight="1">
      <c r="F558" s="10"/>
      <c r="J558" s="10"/>
      <c r="N558" s="10"/>
      <c r="R558" s="10"/>
      <c r="S558" s="10"/>
      <c r="W558" s="42"/>
      <c r="X558" s="42"/>
      <c r="Y558" s="42"/>
    </row>
    <row r="559" spans="6:25" ht="15.75" customHeight="1">
      <c r="F559" s="10"/>
      <c r="J559" s="10"/>
      <c r="N559" s="10"/>
      <c r="R559" s="10"/>
      <c r="S559" s="10"/>
      <c r="W559" s="42"/>
      <c r="X559" s="42"/>
      <c r="Y559" s="42"/>
    </row>
    <row r="560" spans="6:25" ht="15.75" customHeight="1">
      <c r="F560" s="10"/>
      <c r="J560" s="10"/>
      <c r="N560" s="10"/>
      <c r="R560" s="10"/>
      <c r="S560" s="10"/>
      <c r="W560" s="42"/>
      <c r="X560" s="42"/>
      <c r="Y560" s="42"/>
    </row>
    <row r="561" spans="6:25" ht="15.75" customHeight="1">
      <c r="F561" s="10"/>
      <c r="J561" s="10"/>
      <c r="N561" s="10"/>
      <c r="R561" s="10"/>
      <c r="S561" s="10"/>
      <c r="W561" s="42"/>
      <c r="X561" s="42"/>
      <c r="Y561" s="42"/>
    </row>
    <row r="562" spans="6:25" ht="15.75" customHeight="1">
      <c r="F562" s="10"/>
      <c r="J562" s="10"/>
      <c r="N562" s="10"/>
      <c r="R562" s="10"/>
      <c r="S562" s="10"/>
      <c r="W562" s="42"/>
      <c r="X562" s="42"/>
      <c r="Y562" s="42"/>
    </row>
    <row r="563" spans="6:25" ht="15.75" customHeight="1">
      <c r="F563" s="10"/>
      <c r="J563" s="10"/>
      <c r="N563" s="10"/>
      <c r="R563" s="10"/>
      <c r="S563" s="10"/>
      <c r="W563" s="42"/>
      <c r="X563" s="42"/>
      <c r="Y563" s="42"/>
    </row>
    <row r="564" spans="6:25" ht="15.75" customHeight="1">
      <c r="F564" s="10"/>
      <c r="J564" s="10"/>
      <c r="N564" s="10"/>
      <c r="R564" s="10"/>
      <c r="S564" s="10"/>
      <c r="W564" s="42"/>
      <c r="X564" s="42"/>
      <c r="Y564" s="42"/>
    </row>
    <row r="565" spans="6:25" ht="15.75" customHeight="1">
      <c r="F565" s="10"/>
      <c r="J565" s="10"/>
      <c r="N565" s="10"/>
      <c r="R565" s="10"/>
      <c r="S565" s="10"/>
      <c r="W565" s="42"/>
      <c r="X565" s="42"/>
      <c r="Y565" s="42"/>
    </row>
    <row r="566" spans="6:25" ht="15.75" customHeight="1">
      <c r="F566" s="10"/>
      <c r="J566" s="10"/>
      <c r="N566" s="10"/>
      <c r="R566" s="10"/>
      <c r="S566" s="10"/>
      <c r="W566" s="42"/>
      <c r="X566" s="42"/>
      <c r="Y566" s="42"/>
    </row>
    <row r="567" spans="6:25" ht="15.75" customHeight="1">
      <c r="F567" s="10"/>
      <c r="J567" s="10"/>
      <c r="N567" s="10"/>
      <c r="R567" s="10"/>
      <c r="S567" s="10"/>
      <c r="W567" s="42"/>
      <c r="X567" s="42"/>
      <c r="Y567" s="42"/>
    </row>
    <row r="568" spans="6:25" ht="15.75" customHeight="1">
      <c r="F568" s="10"/>
      <c r="J568" s="10"/>
      <c r="N568" s="10"/>
      <c r="R568" s="10"/>
      <c r="S568" s="10"/>
      <c r="W568" s="42"/>
      <c r="X568" s="42"/>
      <c r="Y568" s="42"/>
    </row>
    <row r="569" spans="6:25" ht="15.75" customHeight="1">
      <c r="F569" s="10"/>
      <c r="J569" s="10"/>
      <c r="N569" s="10"/>
      <c r="R569" s="10"/>
      <c r="S569" s="10"/>
      <c r="W569" s="42"/>
      <c r="X569" s="42"/>
      <c r="Y569" s="42"/>
    </row>
    <row r="570" spans="6:25" ht="15.75" customHeight="1">
      <c r="F570" s="10"/>
      <c r="J570" s="10"/>
      <c r="N570" s="10"/>
      <c r="R570" s="10"/>
      <c r="S570" s="10"/>
      <c r="W570" s="42"/>
      <c r="X570" s="42"/>
      <c r="Y570" s="42"/>
    </row>
    <row r="571" spans="6:25" ht="15.75" customHeight="1">
      <c r="F571" s="10"/>
      <c r="J571" s="10"/>
      <c r="N571" s="10"/>
      <c r="R571" s="10"/>
      <c r="S571" s="10"/>
      <c r="W571" s="42"/>
      <c r="X571" s="42"/>
      <c r="Y571" s="42"/>
    </row>
    <row r="572" spans="6:25" ht="15.75" customHeight="1">
      <c r="F572" s="10"/>
      <c r="J572" s="10"/>
      <c r="N572" s="10"/>
      <c r="R572" s="10"/>
      <c r="S572" s="10"/>
      <c r="W572" s="42"/>
      <c r="X572" s="42"/>
      <c r="Y572" s="42"/>
    </row>
    <row r="573" spans="6:25" ht="15.75" customHeight="1">
      <c r="F573" s="10"/>
      <c r="J573" s="10"/>
      <c r="N573" s="10"/>
      <c r="R573" s="10"/>
      <c r="S573" s="10"/>
      <c r="W573" s="42"/>
      <c r="X573" s="42"/>
      <c r="Y573" s="42"/>
    </row>
    <row r="574" spans="6:25" ht="15.75" customHeight="1">
      <c r="F574" s="10"/>
      <c r="J574" s="10"/>
      <c r="N574" s="10"/>
      <c r="R574" s="10"/>
      <c r="S574" s="10"/>
      <c r="W574" s="42"/>
      <c r="X574" s="42"/>
      <c r="Y574" s="42"/>
    </row>
    <row r="575" spans="6:25" ht="15.75" customHeight="1">
      <c r="F575" s="10"/>
      <c r="J575" s="10"/>
      <c r="N575" s="10"/>
      <c r="R575" s="10"/>
      <c r="S575" s="10"/>
      <c r="W575" s="42"/>
      <c r="X575" s="42"/>
      <c r="Y575" s="42"/>
    </row>
    <row r="576" spans="6:25" ht="15.75" customHeight="1">
      <c r="F576" s="10"/>
      <c r="J576" s="10"/>
      <c r="N576" s="10"/>
      <c r="R576" s="10"/>
      <c r="S576" s="10"/>
      <c r="W576" s="42"/>
      <c r="X576" s="42"/>
      <c r="Y576" s="42"/>
    </row>
    <row r="577" spans="6:25" ht="15.75" customHeight="1">
      <c r="F577" s="10"/>
      <c r="J577" s="10"/>
      <c r="N577" s="10"/>
      <c r="R577" s="10"/>
      <c r="S577" s="10"/>
      <c r="W577" s="42"/>
      <c r="X577" s="42"/>
      <c r="Y577" s="42"/>
    </row>
    <row r="578" spans="6:25" ht="15.75" customHeight="1">
      <c r="F578" s="10"/>
      <c r="J578" s="10"/>
      <c r="N578" s="10"/>
      <c r="R578" s="10"/>
      <c r="S578" s="10"/>
      <c r="W578" s="42"/>
      <c r="X578" s="42"/>
      <c r="Y578" s="42"/>
    </row>
    <row r="579" spans="6:25" ht="15.75" customHeight="1">
      <c r="F579" s="10"/>
      <c r="J579" s="10"/>
      <c r="N579" s="10"/>
      <c r="R579" s="10"/>
      <c r="S579" s="10"/>
      <c r="W579" s="42"/>
      <c r="X579" s="42"/>
      <c r="Y579" s="42"/>
    </row>
    <row r="580" spans="6:25" ht="15.75" customHeight="1">
      <c r="F580" s="10"/>
      <c r="J580" s="10"/>
      <c r="N580" s="10"/>
      <c r="R580" s="10"/>
      <c r="S580" s="10"/>
      <c r="W580" s="42"/>
      <c r="X580" s="42"/>
      <c r="Y580" s="42"/>
    </row>
    <row r="581" spans="6:25" ht="15.75" customHeight="1">
      <c r="F581" s="10"/>
      <c r="J581" s="10"/>
      <c r="N581" s="10"/>
      <c r="R581" s="10"/>
      <c r="S581" s="10"/>
      <c r="W581" s="42"/>
      <c r="X581" s="42"/>
      <c r="Y581" s="42"/>
    </row>
    <row r="582" spans="6:25" ht="15.75" customHeight="1">
      <c r="F582" s="10"/>
      <c r="J582" s="10"/>
      <c r="N582" s="10"/>
      <c r="R582" s="10"/>
      <c r="S582" s="10"/>
      <c r="W582" s="42"/>
      <c r="X582" s="42"/>
      <c r="Y582" s="42"/>
    </row>
    <row r="583" spans="6:25" ht="15.75" customHeight="1">
      <c r="F583" s="10"/>
      <c r="J583" s="10"/>
      <c r="N583" s="10"/>
      <c r="R583" s="10"/>
      <c r="S583" s="10"/>
      <c r="W583" s="42"/>
      <c r="X583" s="42"/>
      <c r="Y583" s="42"/>
    </row>
    <row r="584" spans="6:25" ht="15.75" customHeight="1">
      <c r="F584" s="10"/>
      <c r="J584" s="10"/>
      <c r="N584" s="10"/>
      <c r="R584" s="10"/>
      <c r="S584" s="10"/>
      <c r="W584" s="42"/>
      <c r="X584" s="42"/>
      <c r="Y584" s="42"/>
    </row>
    <row r="585" spans="6:25" ht="15.75" customHeight="1">
      <c r="F585" s="10"/>
      <c r="J585" s="10"/>
      <c r="N585" s="10"/>
      <c r="R585" s="10"/>
      <c r="S585" s="10"/>
      <c r="W585" s="42"/>
      <c r="X585" s="42"/>
      <c r="Y585" s="42"/>
    </row>
    <row r="586" spans="6:25" ht="15.75" customHeight="1">
      <c r="F586" s="10"/>
      <c r="J586" s="10"/>
      <c r="N586" s="10"/>
      <c r="R586" s="10"/>
      <c r="S586" s="10"/>
      <c r="W586" s="42"/>
      <c r="X586" s="42"/>
      <c r="Y586" s="42"/>
    </row>
    <row r="587" spans="6:25" ht="15.75" customHeight="1">
      <c r="F587" s="10"/>
      <c r="J587" s="10"/>
      <c r="N587" s="10"/>
      <c r="R587" s="10"/>
      <c r="S587" s="10"/>
      <c r="W587" s="42"/>
      <c r="X587" s="42"/>
      <c r="Y587" s="42"/>
    </row>
    <row r="588" spans="6:25" ht="15.75" customHeight="1">
      <c r="F588" s="10"/>
      <c r="J588" s="10"/>
      <c r="N588" s="10"/>
      <c r="R588" s="10"/>
      <c r="S588" s="10"/>
      <c r="W588" s="42"/>
      <c r="X588" s="42"/>
      <c r="Y588" s="42"/>
    </row>
    <row r="589" spans="6:25" ht="15.75" customHeight="1">
      <c r="F589" s="10"/>
      <c r="J589" s="10"/>
      <c r="N589" s="10"/>
      <c r="R589" s="10"/>
      <c r="S589" s="10"/>
      <c r="W589" s="42"/>
      <c r="X589" s="42"/>
      <c r="Y589" s="42"/>
    </row>
    <row r="590" spans="6:25" ht="15.75" customHeight="1">
      <c r="F590" s="10"/>
      <c r="J590" s="10"/>
      <c r="N590" s="10"/>
      <c r="R590" s="10"/>
      <c r="S590" s="10"/>
      <c r="W590" s="42"/>
      <c r="X590" s="42"/>
      <c r="Y590" s="42"/>
    </row>
    <row r="591" spans="6:25" ht="15.75" customHeight="1">
      <c r="F591" s="10"/>
      <c r="J591" s="10"/>
      <c r="N591" s="10"/>
      <c r="R591" s="10"/>
      <c r="S591" s="10"/>
      <c r="W591" s="42"/>
      <c r="X591" s="42"/>
      <c r="Y591" s="42"/>
    </row>
    <row r="592" spans="6:25" ht="15.75" customHeight="1">
      <c r="F592" s="10"/>
      <c r="J592" s="10"/>
      <c r="N592" s="10"/>
      <c r="R592" s="10"/>
      <c r="S592" s="10"/>
      <c r="W592" s="42"/>
      <c r="X592" s="42"/>
      <c r="Y592" s="42"/>
    </row>
    <row r="593" spans="6:25" ht="15.75" customHeight="1">
      <c r="F593" s="10"/>
      <c r="J593" s="10"/>
      <c r="N593" s="10"/>
      <c r="R593" s="10"/>
      <c r="S593" s="10"/>
      <c r="W593" s="42"/>
      <c r="X593" s="42"/>
      <c r="Y593" s="42"/>
    </row>
    <row r="594" spans="6:25" ht="15.75" customHeight="1">
      <c r="F594" s="10"/>
      <c r="J594" s="10"/>
      <c r="N594" s="10"/>
      <c r="R594" s="10"/>
      <c r="S594" s="10"/>
      <c r="W594" s="42"/>
      <c r="X594" s="42"/>
      <c r="Y594" s="42"/>
    </row>
    <row r="595" spans="6:25" ht="15.75" customHeight="1">
      <c r="F595" s="10"/>
      <c r="J595" s="10"/>
      <c r="N595" s="10"/>
      <c r="R595" s="10"/>
      <c r="S595" s="10"/>
      <c r="W595" s="42"/>
      <c r="X595" s="42"/>
      <c r="Y595" s="42"/>
    </row>
    <row r="596" spans="6:25" ht="15.75" customHeight="1">
      <c r="F596" s="10"/>
      <c r="J596" s="10"/>
      <c r="N596" s="10"/>
      <c r="R596" s="10"/>
      <c r="S596" s="10"/>
      <c r="W596" s="42"/>
      <c r="X596" s="42"/>
      <c r="Y596" s="42"/>
    </row>
    <row r="597" spans="6:25" ht="15.75" customHeight="1">
      <c r="F597" s="10"/>
      <c r="J597" s="10"/>
      <c r="N597" s="10"/>
      <c r="R597" s="10"/>
      <c r="S597" s="10"/>
      <c r="W597" s="42"/>
      <c r="X597" s="42"/>
      <c r="Y597" s="42"/>
    </row>
    <row r="598" spans="6:25" ht="15.75" customHeight="1">
      <c r="F598" s="10"/>
      <c r="J598" s="10"/>
      <c r="N598" s="10"/>
      <c r="R598" s="10"/>
      <c r="S598" s="10"/>
      <c r="W598" s="42"/>
      <c r="X598" s="42"/>
      <c r="Y598" s="42"/>
    </row>
    <row r="599" spans="6:25" ht="15.75" customHeight="1">
      <c r="F599" s="10"/>
      <c r="J599" s="10"/>
      <c r="N599" s="10"/>
      <c r="R599" s="10"/>
      <c r="S599" s="10"/>
      <c r="W599" s="42"/>
      <c r="X599" s="42"/>
      <c r="Y599" s="42"/>
    </row>
    <row r="600" spans="6:25" ht="15.75" customHeight="1">
      <c r="F600" s="10"/>
      <c r="J600" s="10"/>
      <c r="N600" s="10"/>
      <c r="R600" s="10"/>
      <c r="S600" s="10"/>
      <c r="W600" s="42"/>
      <c r="X600" s="42"/>
      <c r="Y600" s="42"/>
    </row>
    <row r="601" spans="6:25" ht="15.75" customHeight="1">
      <c r="F601" s="10"/>
      <c r="J601" s="10"/>
      <c r="N601" s="10"/>
      <c r="R601" s="10"/>
      <c r="S601" s="10"/>
      <c r="W601" s="42"/>
      <c r="X601" s="42"/>
      <c r="Y601" s="42"/>
    </row>
    <row r="602" spans="6:25" ht="15.75" customHeight="1">
      <c r="F602" s="10"/>
      <c r="J602" s="10"/>
      <c r="N602" s="10"/>
      <c r="R602" s="10"/>
      <c r="S602" s="10"/>
      <c r="W602" s="42"/>
      <c r="X602" s="42"/>
      <c r="Y602" s="42"/>
    </row>
    <row r="603" spans="6:25" ht="15.75" customHeight="1">
      <c r="F603" s="10"/>
      <c r="J603" s="10"/>
      <c r="N603" s="10"/>
      <c r="R603" s="10"/>
      <c r="S603" s="10"/>
      <c r="W603" s="42"/>
      <c r="X603" s="42"/>
      <c r="Y603" s="42"/>
    </row>
    <row r="604" spans="6:25" ht="15.75" customHeight="1">
      <c r="F604" s="10"/>
      <c r="J604" s="10"/>
      <c r="N604" s="10"/>
      <c r="R604" s="10"/>
      <c r="S604" s="10"/>
      <c r="W604" s="42"/>
      <c r="X604" s="42"/>
      <c r="Y604" s="42"/>
    </row>
    <row r="605" spans="6:25" ht="15.75" customHeight="1">
      <c r="F605" s="10"/>
      <c r="J605" s="10"/>
      <c r="N605" s="10"/>
      <c r="R605" s="10"/>
      <c r="S605" s="10"/>
      <c r="W605" s="42"/>
      <c r="X605" s="42"/>
      <c r="Y605" s="42"/>
    </row>
    <row r="606" spans="6:25" ht="15.75" customHeight="1">
      <c r="F606" s="10"/>
      <c r="J606" s="10"/>
      <c r="N606" s="10"/>
      <c r="R606" s="10"/>
      <c r="S606" s="10"/>
      <c r="W606" s="42"/>
      <c r="X606" s="42"/>
      <c r="Y606" s="42"/>
    </row>
    <row r="607" spans="6:25" ht="15.75" customHeight="1">
      <c r="F607" s="10"/>
      <c r="J607" s="10"/>
      <c r="N607" s="10"/>
      <c r="R607" s="10"/>
      <c r="S607" s="10"/>
      <c r="W607" s="42"/>
      <c r="X607" s="42"/>
      <c r="Y607" s="42"/>
    </row>
    <row r="608" spans="6:25" ht="15.75" customHeight="1">
      <c r="F608" s="10"/>
      <c r="J608" s="10"/>
      <c r="N608" s="10"/>
      <c r="R608" s="10"/>
      <c r="S608" s="10"/>
      <c r="W608" s="42"/>
      <c r="X608" s="42"/>
      <c r="Y608" s="42"/>
    </row>
    <row r="609" spans="6:25" ht="15.75" customHeight="1">
      <c r="F609" s="10"/>
      <c r="J609" s="10"/>
      <c r="N609" s="10"/>
      <c r="R609" s="10"/>
      <c r="S609" s="10"/>
      <c r="W609" s="42"/>
      <c r="X609" s="42"/>
      <c r="Y609" s="42"/>
    </row>
    <row r="610" spans="6:25" ht="15.75" customHeight="1">
      <c r="F610" s="10"/>
      <c r="J610" s="10"/>
      <c r="N610" s="10"/>
      <c r="R610" s="10"/>
      <c r="S610" s="10"/>
      <c r="W610" s="42"/>
      <c r="X610" s="42"/>
      <c r="Y610" s="42"/>
    </row>
    <row r="611" spans="6:25" ht="15.75" customHeight="1">
      <c r="F611" s="10"/>
      <c r="J611" s="10"/>
      <c r="N611" s="10"/>
      <c r="R611" s="10"/>
      <c r="S611" s="10"/>
      <c r="W611" s="42"/>
      <c r="X611" s="42"/>
      <c r="Y611" s="42"/>
    </row>
    <row r="612" spans="6:25" ht="15.75" customHeight="1">
      <c r="F612" s="10"/>
      <c r="J612" s="10"/>
      <c r="N612" s="10"/>
      <c r="R612" s="10"/>
      <c r="S612" s="10"/>
      <c r="W612" s="42"/>
      <c r="X612" s="42"/>
      <c r="Y612" s="42"/>
    </row>
    <row r="613" spans="6:25" ht="15.75" customHeight="1">
      <c r="F613" s="10"/>
      <c r="J613" s="10"/>
      <c r="N613" s="10"/>
      <c r="R613" s="10"/>
      <c r="S613" s="10"/>
      <c r="W613" s="42"/>
      <c r="X613" s="42"/>
      <c r="Y613" s="42"/>
    </row>
    <row r="614" spans="6:25" ht="15.75" customHeight="1">
      <c r="F614" s="10"/>
      <c r="J614" s="10"/>
      <c r="N614" s="10"/>
      <c r="R614" s="10"/>
      <c r="S614" s="10"/>
      <c r="W614" s="42"/>
      <c r="X614" s="42"/>
      <c r="Y614" s="42"/>
    </row>
    <row r="615" spans="6:25" ht="15.75" customHeight="1">
      <c r="F615" s="10"/>
      <c r="J615" s="10"/>
      <c r="N615" s="10"/>
      <c r="R615" s="10"/>
      <c r="S615" s="10"/>
      <c r="W615" s="42"/>
      <c r="X615" s="42"/>
      <c r="Y615" s="42"/>
    </row>
    <row r="616" spans="6:25" ht="15.75" customHeight="1">
      <c r="F616" s="10"/>
      <c r="J616" s="10"/>
      <c r="N616" s="10"/>
      <c r="R616" s="10"/>
      <c r="S616" s="10"/>
      <c r="W616" s="42"/>
      <c r="X616" s="42"/>
      <c r="Y616" s="42"/>
    </row>
    <row r="617" spans="6:25" ht="15.75" customHeight="1">
      <c r="F617" s="10"/>
      <c r="J617" s="10"/>
      <c r="N617" s="10"/>
      <c r="R617" s="10"/>
      <c r="S617" s="10"/>
      <c r="W617" s="42"/>
      <c r="X617" s="42"/>
      <c r="Y617" s="42"/>
    </row>
    <row r="618" spans="6:25" ht="15.75" customHeight="1">
      <c r="F618" s="10"/>
      <c r="J618" s="10"/>
      <c r="N618" s="10"/>
      <c r="R618" s="10"/>
      <c r="S618" s="10"/>
      <c r="W618" s="42"/>
      <c r="X618" s="42"/>
      <c r="Y618" s="42"/>
    </row>
    <row r="619" spans="6:25" ht="15.75" customHeight="1">
      <c r="F619" s="10"/>
      <c r="J619" s="10"/>
      <c r="N619" s="10"/>
      <c r="R619" s="10"/>
      <c r="S619" s="10"/>
      <c r="W619" s="42"/>
      <c r="X619" s="42"/>
      <c r="Y619" s="42"/>
    </row>
    <row r="620" spans="6:25" ht="15.75" customHeight="1">
      <c r="F620" s="10"/>
      <c r="J620" s="10"/>
      <c r="N620" s="10"/>
      <c r="R620" s="10"/>
      <c r="S620" s="10"/>
      <c r="W620" s="42"/>
      <c r="X620" s="42"/>
      <c r="Y620" s="42"/>
    </row>
    <row r="621" spans="6:25" ht="15.75" customHeight="1">
      <c r="F621" s="10"/>
      <c r="J621" s="10"/>
      <c r="N621" s="10"/>
      <c r="R621" s="10"/>
      <c r="S621" s="10"/>
      <c r="W621" s="42"/>
      <c r="X621" s="42"/>
      <c r="Y621" s="42"/>
    </row>
    <row r="622" spans="6:25" ht="15.75" customHeight="1">
      <c r="F622" s="10"/>
      <c r="J622" s="10"/>
      <c r="N622" s="10"/>
      <c r="R622" s="10"/>
      <c r="S622" s="10"/>
      <c r="W622" s="42"/>
      <c r="X622" s="42"/>
      <c r="Y622" s="42"/>
    </row>
    <row r="623" spans="6:25" ht="15.75" customHeight="1">
      <c r="F623" s="10"/>
      <c r="J623" s="10"/>
      <c r="N623" s="10"/>
      <c r="R623" s="10"/>
      <c r="S623" s="10"/>
      <c r="W623" s="42"/>
      <c r="X623" s="42"/>
      <c r="Y623" s="42"/>
    </row>
    <row r="624" spans="6:25" ht="15.75" customHeight="1">
      <c r="F624" s="10"/>
      <c r="J624" s="10"/>
      <c r="N624" s="10"/>
      <c r="R624" s="10"/>
      <c r="S624" s="10"/>
      <c r="W624" s="42"/>
      <c r="X624" s="42"/>
      <c r="Y624" s="42"/>
    </row>
    <row r="625" spans="6:25" ht="15.75" customHeight="1">
      <c r="F625" s="10"/>
      <c r="J625" s="10"/>
      <c r="N625" s="10"/>
      <c r="R625" s="10"/>
      <c r="S625" s="10"/>
      <c r="W625" s="42"/>
      <c r="X625" s="42"/>
      <c r="Y625" s="42"/>
    </row>
    <row r="626" spans="6:25" ht="15.75" customHeight="1">
      <c r="F626" s="10"/>
      <c r="J626" s="10"/>
      <c r="N626" s="10"/>
      <c r="R626" s="10"/>
      <c r="S626" s="10"/>
      <c r="W626" s="42"/>
      <c r="X626" s="42"/>
      <c r="Y626" s="42"/>
    </row>
    <row r="627" spans="6:25" ht="15.75" customHeight="1">
      <c r="F627" s="10"/>
      <c r="J627" s="10"/>
      <c r="N627" s="10"/>
      <c r="R627" s="10"/>
      <c r="S627" s="10"/>
      <c r="W627" s="42"/>
      <c r="X627" s="42"/>
      <c r="Y627" s="42"/>
    </row>
    <row r="628" spans="6:25" ht="15.75" customHeight="1">
      <c r="F628" s="10"/>
      <c r="J628" s="10"/>
      <c r="N628" s="10"/>
      <c r="R628" s="10"/>
      <c r="S628" s="10"/>
      <c r="W628" s="42"/>
      <c r="X628" s="42"/>
      <c r="Y628" s="42"/>
    </row>
    <row r="629" spans="6:25" ht="15.75" customHeight="1">
      <c r="F629" s="10"/>
      <c r="J629" s="10"/>
      <c r="N629" s="10"/>
      <c r="R629" s="10"/>
      <c r="S629" s="10"/>
      <c r="W629" s="42"/>
      <c r="X629" s="42"/>
      <c r="Y629" s="42"/>
    </row>
    <row r="630" spans="6:25" ht="15.75" customHeight="1">
      <c r="F630" s="10"/>
      <c r="J630" s="10"/>
      <c r="N630" s="10"/>
      <c r="R630" s="10"/>
      <c r="S630" s="10"/>
      <c r="W630" s="42"/>
      <c r="X630" s="42"/>
      <c r="Y630" s="42"/>
    </row>
    <row r="631" spans="6:25" ht="15.75" customHeight="1">
      <c r="F631" s="10"/>
      <c r="J631" s="10"/>
      <c r="N631" s="10"/>
      <c r="R631" s="10"/>
      <c r="S631" s="10"/>
      <c r="W631" s="42"/>
      <c r="X631" s="42"/>
      <c r="Y631" s="42"/>
    </row>
    <row r="632" spans="6:25" ht="15.75" customHeight="1">
      <c r="F632" s="10"/>
      <c r="J632" s="10"/>
      <c r="N632" s="10"/>
      <c r="R632" s="10"/>
      <c r="S632" s="10"/>
      <c r="W632" s="42"/>
      <c r="X632" s="42"/>
      <c r="Y632" s="42"/>
    </row>
    <row r="633" spans="6:25" ht="15.75" customHeight="1">
      <c r="F633" s="10"/>
      <c r="J633" s="10"/>
      <c r="N633" s="10"/>
      <c r="R633" s="10"/>
      <c r="S633" s="10"/>
      <c r="W633" s="42"/>
      <c r="X633" s="42"/>
      <c r="Y633" s="42"/>
    </row>
    <row r="634" spans="6:25" ht="15.75" customHeight="1">
      <c r="F634" s="10"/>
      <c r="J634" s="10"/>
      <c r="N634" s="10"/>
      <c r="R634" s="10"/>
      <c r="S634" s="10"/>
      <c r="W634" s="42"/>
      <c r="X634" s="42"/>
      <c r="Y634" s="42"/>
    </row>
    <row r="635" spans="6:25" ht="15.75" customHeight="1">
      <c r="F635" s="10"/>
      <c r="J635" s="10"/>
      <c r="N635" s="10"/>
      <c r="R635" s="10"/>
      <c r="S635" s="10"/>
      <c r="W635" s="42"/>
      <c r="X635" s="42"/>
      <c r="Y635" s="42"/>
    </row>
    <row r="636" spans="6:25" ht="15.75" customHeight="1">
      <c r="F636" s="10"/>
      <c r="J636" s="10"/>
      <c r="N636" s="10"/>
      <c r="R636" s="10"/>
      <c r="S636" s="10"/>
      <c r="W636" s="42"/>
      <c r="X636" s="42"/>
      <c r="Y636" s="42"/>
    </row>
    <row r="637" spans="6:25" ht="15.75" customHeight="1">
      <c r="F637" s="10"/>
      <c r="J637" s="10"/>
      <c r="N637" s="10"/>
      <c r="R637" s="10"/>
      <c r="S637" s="10"/>
      <c r="W637" s="42"/>
      <c r="X637" s="42"/>
      <c r="Y637" s="42"/>
    </row>
    <row r="638" spans="6:25" ht="15.75" customHeight="1">
      <c r="F638" s="10"/>
      <c r="J638" s="10"/>
      <c r="N638" s="10"/>
      <c r="R638" s="10"/>
      <c r="S638" s="10"/>
      <c r="W638" s="42"/>
      <c r="X638" s="42"/>
      <c r="Y638" s="42"/>
    </row>
    <row r="639" spans="6:25" ht="15.75" customHeight="1">
      <c r="F639" s="10"/>
      <c r="J639" s="10"/>
      <c r="N639" s="10"/>
      <c r="R639" s="10"/>
      <c r="S639" s="10"/>
      <c r="W639" s="42"/>
      <c r="X639" s="42"/>
      <c r="Y639" s="42"/>
    </row>
    <row r="640" spans="6:25" ht="15.75" customHeight="1">
      <c r="F640" s="10"/>
      <c r="J640" s="10"/>
      <c r="N640" s="10"/>
      <c r="R640" s="10"/>
      <c r="S640" s="10"/>
      <c r="W640" s="42"/>
      <c r="X640" s="42"/>
      <c r="Y640" s="42"/>
    </row>
    <row r="641" spans="6:25" ht="15.75" customHeight="1">
      <c r="F641" s="10"/>
      <c r="J641" s="10"/>
      <c r="N641" s="10"/>
      <c r="R641" s="10"/>
      <c r="S641" s="10"/>
      <c r="W641" s="42"/>
      <c r="X641" s="42"/>
      <c r="Y641" s="42"/>
    </row>
    <row r="642" spans="6:25" ht="15.75" customHeight="1">
      <c r="F642" s="10"/>
      <c r="J642" s="10"/>
      <c r="N642" s="10"/>
      <c r="R642" s="10"/>
      <c r="S642" s="10"/>
      <c r="W642" s="42"/>
      <c r="X642" s="42"/>
      <c r="Y642" s="42"/>
    </row>
    <row r="643" spans="6:25" ht="15.75" customHeight="1">
      <c r="F643" s="10"/>
      <c r="J643" s="10"/>
      <c r="N643" s="10"/>
      <c r="R643" s="10"/>
      <c r="S643" s="10"/>
      <c r="W643" s="42"/>
      <c r="X643" s="42"/>
      <c r="Y643" s="42"/>
    </row>
    <row r="644" spans="6:25" ht="15.75" customHeight="1">
      <c r="F644" s="10"/>
      <c r="J644" s="10"/>
      <c r="N644" s="10"/>
      <c r="R644" s="10"/>
      <c r="S644" s="10"/>
      <c r="W644" s="42"/>
      <c r="X644" s="42"/>
      <c r="Y644" s="42"/>
    </row>
    <row r="645" spans="6:25" ht="15.75" customHeight="1">
      <c r="F645" s="10"/>
      <c r="J645" s="10"/>
      <c r="N645" s="10"/>
      <c r="R645" s="10"/>
      <c r="S645" s="10"/>
      <c r="W645" s="42"/>
      <c r="X645" s="42"/>
      <c r="Y645" s="42"/>
    </row>
    <row r="646" spans="6:25" ht="15.75" customHeight="1">
      <c r="F646" s="10"/>
      <c r="J646" s="10"/>
      <c r="N646" s="10"/>
      <c r="R646" s="10"/>
      <c r="S646" s="10"/>
      <c r="W646" s="42"/>
      <c r="X646" s="42"/>
      <c r="Y646" s="42"/>
    </row>
    <row r="647" spans="6:25" ht="15.75" customHeight="1">
      <c r="F647" s="10"/>
      <c r="J647" s="10"/>
      <c r="N647" s="10"/>
      <c r="R647" s="10"/>
      <c r="S647" s="10"/>
      <c r="W647" s="42"/>
      <c r="X647" s="42"/>
      <c r="Y647" s="42"/>
    </row>
    <row r="648" spans="6:25" ht="15.75" customHeight="1">
      <c r="F648" s="10"/>
      <c r="J648" s="10"/>
      <c r="N648" s="10"/>
      <c r="R648" s="10"/>
      <c r="S648" s="10"/>
      <c r="W648" s="42"/>
      <c r="X648" s="42"/>
      <c r="Y648" s="42"/>
    </row>
    <row r="649" spans="6:25" ht="15.75" customHeight="1">
      <c r="F649" s="10"/>
      <c r="J649" s="10"/>
      <c r="N649" s="10"/>
      <c r="R649" s="10"/>
      <c r="S649" s="10"/>
      <c r="W649" s="42"/>
      <c r="X649" s="42"/>
      <c r="Y649" s="42"/>
    </row>
    <row r="650" spans="6:25" ht="15.75" customHeight="1">
      <c r="F650" s="10"/>
      <c r="J650" s="10"/>
      <c r="N650" s="10"/>
      <c r="R650" s="10"/>
      <c r="S650" s="10"/>
      <c r="W650" s="42"/>
      <c r="X650" s="42"/>
      <c r="Y650" s="42"/>
    </row>
    <row r="651" spans="6:25" ht="15.75" customHeight="1">
      <c r="F651" s="10"/>
      <c r="J651" s="10"/>
      <c r="N651" s="10"/>
      <c r="R651" s="10"/>
      <c r="S651" s="10"/>
      <c r="W651" s="42"/>
      <c r="X651" s="42"/>
      <c r="Y651" s="42"/>
    </row>
    <row r="652" spans="6:25" ht="15.75" customHeight="1">
      <c r="F652" s="10"/>
      <c r="J652" s="10"/>
      <c r="N652" s="10"/>
      <c r="R652" s="10"/>
      <c r="S652" s="10"/>
      <c r="W652" s="42"/>
      <c r="X652" s="42"/>
      <c r="Y652" s="42"/>
    </row>
    <row r="653" spans="6:25" ht="15.75" customHeight="1">
      <c r="F653" s="10"/>
      <c r="J653" s="10"/>
      <c r="N653" s="10"/>
      <c r="R653" s="10"/>
      <c r="S653" s="10"/>
      <c r="W653" s="42"/>
      <c r="X653" s="42"/>
      <c r="Y653" s="42"/>
    </row>
    <row r="654" spans="6:25" ht="15.75" customHeight="1">
      <c r="F654" s="10"/>
      <c r="J654" s="10"/>
      <c r="N654" s="10"/>
      <c r="R654" s="10"/>
      <c r="S654" s="10"/>
      <c r="W654" s="42"/>
      <c r="X654" s="42"/>
      <c r="Y654" s="42"/>
    </row>
    <row r="655" spans="6:25" ht="15.75" customHeight="1">
      <c r="F655" s="10"/>
      <c r="J655" s="10"/>
      <c r="N655" s="10"/>
      <c r="R655" s="10"/>
      <c r="S655" s="10"/>
      <c r="W655" s="42"/>
      <c r="X655" s="42"/>
      <c r="Y655" s="42"/>
    </row>
    <row r="656" spans="6:25" ht="15.75" customHeight="1">
      <c r="F656" s="10"/>
      <c r="J656" s="10"/>
      <c r="N656" s="10"/>
      <c r="R656" s="10"/>
      <c r="S656" s="10"/>
      <c r="W656" s="42"/>
      <c r="X656" s="42"/>
      <c r="Y656" s="42"/>
    </row>
    <row r="657" spans="6:25" ht="15.75" customHeight="1">
      <c r="F657" s="10"/>
      <c r="J657" s="10"/>
      <c r="N657" s="10"/>
      <c r="R657" s="10"/>
      <c r="S657" s="10"/>
      <c r="W657" s="42"/>
      <c r="X657" s="42"/>
      <c r="Y657" s="42"/>
    </row>
    <row r="658" spans="6:25" ht="15.75" customHeight="1">
      <c r="F658" s="10"/>
      <c r="J658" s="10"/>
      <c r="N658" s="10"/>
      <c r="R658" s="10"/>
      <c r="S658" s="10"/>
      <c r="W658" s="42"/>
      <c r="X658" s="42"/>
      <c r="Y658" s="42"/>
    </row>
    <row r="659" spans="6:25" ht="15.75" customHeight="1">
      <c r="F659" s="10"/>
      <c r="J659" s="10"/>
      <c r="N659" s="10"/>
      <c r="R659" s="10"/>
      <c r="S659" s="10"/>
      <c r="W659" s="42"/>
      <c r="X659" s="42"/>
      <c r="Y659" s="42"/>
    </row>
    <row r="660" spans="6:25" ht="15.75" customHeight="1">
      <c r="F660" s="10"/>
      <c r="J660" s="10"/>
      <c r="N660" s="10"/>
      <c r="R660" s="10"/>
      <c r="S660" s="10"/>
      <c r="W660" s="42"/>
      <c r="X660" s="42"/>
      <c r="Y660" s="42"/>
    </row>
    <row r="661" spans="6:25" ht="15.75" customHeight="1">
      <c r="F661" s="10"/>
      <c r="J661" s="10"/>
      <c r="N661" s="10"/>
      <c r="R661" s="10"/>
      <c r="S661" s="10"/>
      <c r="W661" s="42"/>
      <c r="X661" s="42"/>
      <c r="Y661" s="42"/>
    </row>
    <row r="662" spans="6:25" ht="15.75" customHeight="1">
      <c r="F662" s="10"/>
      <c r="J662" s="10"/>
      <c r="N662" s="10"/>
      <c r="R662" s="10"/>
      <c r="S662" s="10"/>
      <c r="W662" s="42"/>
      <c r="X662" s="42"/>
      <c r="Y662" s="42"/>
    </row>
    <row r="663" spans="6:25" ht="15.75" customHeight="1">
      <c r="F663" s="10"/>
      <c r="J663" s="10"/>
      <c r="N663" s="10"/>
      <c r="R663" s="10"/>
      <c r="S663" s="10"/>
      <c r="W663" s="42"/>
      <c r="X663" s="42"/>
      <c r="Y663" s="42"/>
    </row>
    <row r="664" spans="6:25" ht="15.75" customHeight="1">
      <c r="F664" s="10"/>
      <c r="J664" s="10"/>
      <c r="N664" s="10"/>
      <c r="R664" s="10"/>
      <c r="S664" s="10"/>
      <c r="W664" s="42"/>
      <c r="X664" s="42"/>
      <c r="Y664" s="42"/>
    </row>
    <row r="665" spans="6:25" ht="15.75" customHeight="1">
      <c r="F665" s="10"/>
      <c r="J665" s="10"/>
      <c r="N665" s="10"/>
      <c r="R665" s="10"/>
      <c r="S665" s="10"/>
      <c r="W665" s="42"/>
      <c r="X665" s="42"/>
      <c r="Y665" s="42"/>
    </row>
    <row r="666" spans="6:25" ht="15.75" customHeight="1">
      <c r="F666" s="10"/>
      <c r="J666" s="10"/>
      <c r="N666" s="10"/>
      <c r="R666" s="10"/>
      <c r="S666" s="10"/>
      <c r="W666" s="42"/>
      <c r="X666" s="42"/>
      <c r="Y666" s="42"/>
    </row>
    <row r="667" spans="6:25" ht="15.75" customHeight="1">
      <c r="F667" s="10"/>
      <c r="J667" s="10"/>
      <c r="N667" s="10"/>
      <c r="R667" s="10"/>
      <c r="S667" s="10"/>
      <c r="W667" s="42"/>
      <c r="X667" s="42"/>
      <c r="Y667" s="42"/>
    </row>
    <row r="668" spans="6:25" ht="15.75" customHeight="1">
      <c r="F668" s="10"/>
      <c r="J668" s="10"/>
      <c r="N668" s="10"/>
      <c r="R668" s="10"/>
      <c r="S668" s="10"/>
      <c r="W668" s="42"/>
      <c r="X668" s="42"/>
      <c r="Y668" s="42"/>
    </row>
    <row r="669" spans="6:25" ht="15.75" customHeight="1">
      <c r="F669" s="10"/>
      <c r="J669" s="10"/>
      <c r="N669" s="10"/>
      <c r="R669" s="10"/>
      <c r="S669" s="10"/>
      <c r="W669" s="42"/>
      <c r="X669" s="42"/>
      <c r="Y669" s="42"/>
    </row>
    <row r="670" spans="6:25" ht="15.75" customHeight="1">
      <c r="F670" s="10"/>
      <c r="J670" s="10"/>
      <c r="N670" s="10"/>
      <c r="R670" s="10"/>
      <c r="S670" s="10"/>
      <c r="W670" s="42"/>
      <c r="X670" s="42"/>
      <c r="Y670" s="42"/>
    </row>
    <row r="671" spans="6:25" ht="15.75" customHeight="1">
      <c r="F671" s="10"/>
      <c r="J671" s="10"/>
      <c r="N671" s="10"/>
      <c r="R671" s="10"/>
      <c r="S671" s="10"/>
      <c r="W671" s="42"/>
      <c r="X671" s="42"/>
      <c r="Y671" s="42"/>
    </row>
    <row r="672" spans="6:25" ht="15.75" customHeight="1">
      <c r="F672" s="10"/>
      <c r="J672" s="10"/>
      <c r="N672" s="10"/>
      <c r="R672" s="10"/>
      <c r="S672" s="10"/>
      <c r="W672" s="42"/>
      <c r="X672" s="42"/>
      <c r="Y672" s="42"/>
    </row>
    <row r="673" spans="6:25" ht="15.75" customHeight="1">
      <c r="F673" s="10"/>
      <c r="J673" s="10"/>
      <c r="N673" s="10"/>
      <c r="R673" s="10"/>
      <c r="S673" s="10"/>
      <c r="W673" s="42"/>
      <c r="X673" s="42"/>
      <c r="Y673" s="42"/>
    </row>
    <row r="674" spans="6:25" ht="15.75" customHeight="1">
      <c r="F674" s="10"/>
      <c r="J674" s="10"/>
      <c r="N674" s="10"/>
      <c r="R674" s="10"/>
      <c r="S674" s="10"/>
      <c r="W674" s="42"/>
      <c r="X674" s="42"/>
      <c r="Y674" s="42"/>
    </row>
    <row r="675" spans="6:25" ht="15.75" customHeight="1">
      <c r="F675" s="10"/>
      <c r="J675" s="10"/>
      <c r="N675" s="10"/>
      <c r="R675" s="10"/>
      <c r="S675" s="10"/>
      <c r="W675" s="42"/>
      <c r="X675" s="42"/>
      <c r="Y675" s="42"/>
    </row>
    <row r="676" spans="6:25" ht="15.75" customHeight="1">
      <c r="F676" s="10"/>
      <c r="J676" s="10"/>
      <c r="N676" s="10"/>
      <c r="R676" s="10"/>
      <c r="S676" s="10"/>
      <c r="W676" s="42"/>
      <c r="X676" s="42"/>
      <c r="Y676" s="42"/>
    </row>
    <row r="677" spans="6:25" ht="15.75" customHeight="1">
      <c r="F677" s="10"/>
      <c r="J677" s="10"/>
      <c r="N677" s="10"/>
      <c r="R677" s="10"/>
      <c r="S677" s="10"/>
      <c r="W677" s="42"/>
      <c r="X677" s="42"/>
      <c r="Y677" s="42"/>
    </row>
    <row r="678" spans="6:25" ht="15.75" customHeight="1">
      <c r="F678" s="10"/>
      <c r="J678" s="10"/>
      <c r="N678" s="10"/>
      <c r="R678" s="10"/>
      <c r="S678" s="10"/>
      <c r="W678" s="42"/>
      <c r="X678" s="42"/>
      <c r="Y678" s="42"/>
    </row>
    <row r="679" spans="6:25" ht="15.75" customHeight="1">
      <c r="F679" s="10"/>
      <c r="J679" s="10"/>
      <c r="N679" s="10"/>
      <c r="R679" s="10"/>
      <c r="S679" s="10"/>
      <c r="W679" s="42"/>
      <c r="X679" s="42"/>
      <c r="Y679" s="42"/>
    </row>
    <row r="680" spans="6:25" ht="15.75" customHeight="1">
      <c r="F680" s="10"/>
      <c r="J680" s="10"/>
      <c r="N680" s="10"/>
      <c r="R680" s="10"/>
      <c r="S680" s="10"/>
      <c r="W680" s="42"/>
      <c r="X680" s="42"/>
      <c r="Y680" s="42"/>
    </row>
    <row r="681" spans="6:25" ht="15.75" customHeight="1">
      <c r="F681" s="10"/>
      <c r="J681" s="10"/>
      <c r="N681" s="10"/>
      <c r="R681" s="10"/>
      <c r="S681" s="10"/>
      <c r="W681" s="42"/>
      <c r="X681" s="42"/>
      <c r="Y681" s="42"/>
    </row>
    <row r="682" spans="6:25" ht="15.75" customHeight="1">
      <c r="F682" s="10"/>
      <c r="J682" s="10"/>
      <c r="N682" s="10"/>
      <c r="R682" s="10"/>
      <c r="S682" s="10"/>
      <c r="W682" s="42"/>
      <c r="X682" s="42"/>
      <c r="Y682" s="42"/>
    </row>
    <row r="683" spans="6:25" ht="15.75" customHeight="1">
      <c r="F683" s="10"/>
      <c r="J683" s="10"/>
      <c r="N683" s="10"/>
      <c r="R683" s="10"/>
      <c r="S683" s="10"/>
      <c r="W683" s="42"/>
      <c r="X683" s="42"/>
      <c r="Y683" s="42"/>
    </row>
    <row r="684" spans="6:25" ht="15.75" customHeight="1">
      <c r="F684" s="10"/>
      <c r="J684" s="10"/>
      <c r="N684" s="10"/>
      <c r="R684" s="10"/>
      <c r="S684" s="10"/>
      <c r="W684" s="42"/>
      <c r="X684" s="42"/>
      <c r="Y684" s="42"/>
    </row>
    <row r="685" spans="6:25" ht="15.75" customHeight="1">
      <c r="F685" s="10"/>
      <c r="J685" s="10"/>
      <c r="N685" s="10"/>
      <c r="R685" s="10"/>
      <c r="S685" s="10"/>
      <c r="W685" s="42"/>
      <c r="X685" s="42"/>
      <c r="Y685" s="42"/>
    </row>
    <row r="686" spans="6:25" ht="15.75" customHeight="1">
      <c r="F686" s="10"/>
      <c r="J686" s="10"/>
      <c r="N686" s="10"/>
      <c r="R686" s="10"/>
      <c r="S686" s="10"/>
      <c r="W686" s="42"/>
      <c r="X686" s="42"/>
      <c r="Y686" s="42"/>
    </row>
    <row r="687" spans="6:25" ht="15.75" customHeight="1">
      <c r="F687" s="10"/>
      <c r="J687" s="10"/>
      <c r="N687" s="10"/>
      <c r="R687" s="10"/>
      <c r="S687" s="10"/>
      <c r="W687" s="42"/>
      <c r="X687" s="42"/>
      <c r="Y687" s="42"/>
    </row>
    <row r="688" spans="6:25" ht="15.75" customHeight="1">
      <c r="F688" s="10"/>
      <c r="J688" s="10"/>
      <c r="N688" s="10"/>
      <c r="R688" s="10"/>
      <c r="S688" s="10"/>
      <c r="W688" s="42"/>
      <c r="X688" s="42"/>
      <c r="Y688" s="42"/>
    </row>
    <row r="689" spans="6:25" ht="15.75" customHeight="1">
      <c r="F689" s="10"/>
      <c r="J689" s="10"/>
      <c r="N689" s="10"/>
      <c r="R689" s="10"/>
      <c r="S689" s="10"/>
      <c r="W689" s="42"/>
      <c r="X689" s="42"/>
      <c r="Y689" s="42"/>
    </row>
    <row r="690" spans="6:25" ht="15.75" customHeight="1">
      <c r="F690" s="10"/>
      <c r="J690" s="10"/>
      <c r="N690" s="10"/>
      <c r="R690" s="10"/>
      <c r="S690" s="10"/>
      <c r="W690" s="42"/>
      <c r="X690" s="42"/>
      <c r="Y690" s="42"/>
    </row>
    <row r="691" spans="6:25" ht="15.75" customHeight="1">
      <c r="F691" s="10"/>
      <c r="J691" s="10"/>
      <c r="N691" s="10"/>
      <c r="R691" s="10"/>
      <c r="S691" s="10"/>
      <c r="W691" s="42"/>
      <c r="X691" s="42"/>
      <c r="Y691" s="42"/>
    </row>
    <row r="692" spans="6:25" ht="15.75" customHeight="1">
      <c r="F692" s="10"/>
      <c r="J692" s="10"/>
      <c r="N692" s="10"/>
      <c r="R692" s="10"/>
      <c r="S692" s="10"/>
      <c r="W692" s="42"/>
      <c r="X692" s="42"/>
      <c r="Y692" s="42"/>
    </row>
    <row r="693" spans="6:25" ht="15.75" customHeight="1">
      <c r="F693" s="10"/>
      <c r="J693" s="10"/>
      <c r="N693" s="10"/>
      <c r="R693" s="10"/>
      <c r="S693" s="10"/>
      <c r="W693" s="42"/>
      <c r="X693" s="42"/>
      <c r="Y693" s="42"/>
    </row>
    <row r="694" spans="6:25" ht="15.75" customHeight="1">
      <c r="F694" s="10"/>
      <c r="J694" s="10"/>
      <c r="N694" s="10"/>
      <c r="R694" s="10"/>
      <c r="S694" s="10"/>
      <c r="W694" s="42"/>
      <c r="X694" s="42"/>
      <c r="Y694" s="42"/>
    </row>
    <row r="695" spans="6:25" ht="15.75" customHeight="1">
      <c r="F695" s="10"/>
      <c r="J695" s="10"/>
      <c r="N695" s="10"/>
      <c r="R695" s="10"/>
      <c r="S695" s="10"/>
      <c r="W695" s="42"/>
      <c r="X695" s="42"/>
      <c r="Y695" s="42"/>
    </row>
    <row r="696" spans="6:25" ht="15.75" customHeight="1">
      <c r="F696" s="10"/>
      <c r="J696" s="10"/>
      <c r="N696" s="10"/>
      <c r="R696" s="10"/>
      <c r="S696" s="10"/>
      <c r="W696" s="42"/>
      <c r="X696" s="42"/>
      <c r="Y696" s="42"/>
    </row>
    <row r="697" spans="6:25" ht="15.75" customHeight="1">
      <c r="F697" s="10"/>
      <c r="J697" s="10"/>
      <c r="N697" s="10"/>
      <c r="R697" s="10"/>
      <c r="S697" s="10"/>
      <c r="W697" s="42"/>
      <c r="X697" s="42"/>
      <c r="Y697" s="42"/>
    </row>
    <row r="698" spans="6:25" ht="15.75" customHeight="1">
      <c r="F698" s="10"/>
      <c r="J698" s="10"/>
      <c r="N698" s="10"/>
      <c r="R698" s="10"/>
      <c r="S698" s="10"/>
      <c r="W698" s="42"/>
      <c r="X698" s="42"/>
      <c r="Y698" s="42"/>
    </row>
    <row r="699" spans="6:25" ht="15.75" customHeight="1">
      <c r="F699" s="10"/>
      <c r="J699" s="10"/>
      <c r="N699" s="10"/>
      <c r="R699" s="10"/>
      <c r="S699" s="10"/>
      <c r="W699" s="42"/>
      <c r="X699" s="42"/>
      <c r="Y699" s="42"/>
    </row>
    <row r="700" spans="6:25" ht="15.75" customHeight="1">
      <c r="F700" s="10"/>
      <c r="J700" s="10"/>
      <c r="N700" s="10"/>
      <c r="R700" s="10"/>
      <c r="S700" s="10"/>
      <c r="W700" s="42"/>
      <c r="X700" s="42"/>
      <c r="Y700" s="42"/>
    </row>
    <row r="701" spans="6:25" ht="15.75" customHeight="1">
      <c r="F701" s="10"/>
      <c r="J701" s="10"/>
      <c r="N701" s="10"/>
      <c r="R701" s="10"/>
      <c r="S701" s="10"/>
      <c r="W701" s="42"/>
      <c r="X701" s="42"/>
      <c r="Y701" s="42"/>
    </row>
    <row r="702" spans="6:25" ht="15.75" customHeight="1">
      <c r="F702" s="10"/>
      <c r="J702" s="10"/>
      <c r="N702" s="10"/>
      <c r="R702" s="10"/>
      <c r="S702" s="10"/>
      <c r="W702" s="42"/>
      <c r="X702" s="42"/>
      <c r="Y702" s="42"/>
    </row>
    <row r="703" spans="6:25" ht="15.75" customHeight="1">
      <c r="F703" s="10"/>
      <c r="J703" s="10"/>
      <c r="N703" s="10"/>
      <c r="R703" s="10"/>
      <c r="S703" s="10"/>
      <c r="W703" s="42"/>
      <c r="X703" s="42"/>
      <c r="Y703" s="42"/>
    </row>
    <row r="704" spans="6:25" ht="15.75" customHeight="1">
      <c r="F704" s="10"/>
      <c r="J704" s="10"/>
      <c r="N704" s="10"/>
      <c r="R704" s="10"/>
      <c r="S704" s="10"/>
      <c r="W704" s="42"/>
      <c r="X704" s="42"/>
      <c r="Y704" s="42"/>
    </row>
    <row r="705" spans="6:25" ht="15.75" customHeight="1">
      <c r="F705" s="10"/>
      <c r="J705" s="10"/>
      <c r="N705" s="10"/>
      <c r="R705" s="10"/>
      <c r="S705" s="10"/>
      <c r="W705" s="42"/>
      <c r="X705" s="42"/>
      <c r="Y705" s="42"/>
    </row>
    <row r="706" spans="6:25" ht="15.75" customHeight="1">
      <c r="F706" s="10"/>
      <c r="J706" s="10"/>
      <c r="N706" s="10"/>
      <c r="R706" s="10"/>
      <c r="S706" s="10"/>
      <c r="W706" s="42"/>
      <c r="X706" s="42"/>
      <c r="Y706" s="42"/>
    </row>
    <row r="707" spans="6:25" ht="15.75" customHeight="1">
      <c r="F707" s="10"/>
      <c r="J707" s="10"/>
      <c r="N707" s="10"/>
      <c r="R707" s="10"/>
      <c r="S707" s="10"/>
      <c r="W707" s="42"/>
      <c r="X707" s="42"/>
      <c r="Y707" s="42"/>
    </row>
    <row r="708" spans="6:25" ht="15.75" customHeight="1">
      <c r="F708" s="10"/>
      <c r="J708" s="10"/>
      <c r="N708" s="10"/>
      <c r="R708" s="10"/>
      <c r="S708" s="10"/>
      <c r="W708" s="42"/>
      <c r="X708" s="42"/>
      <c r="Y708" s="42"/>
    </row>
    <row r="709" spans="6:25" ht="15.75" customHeight="1">
      <c r="F709" s="10"/>
      <c r="J709" s="10"/>
      <c r="N709" s="10"/>
      <c r="R709" s="10"/>
      <c r="S709" s="10"/>
      <c r="W709" s="42"/>
      <c r="X709" s="42"/>
      <c r="Y709" s="42"/>
    </row>
    <row r="710" spans="6:25" ht="15.75" customHeight="1">
      <c r="F710" s="10"/>
      <c r="J710" s="10"/>
      <c r="N710" s="10"/>
      <c r="R710" s="10"/>
      <c r="S710" s="10"/>
      <c r="W710" s="42"/>
      <c r="X710" s="42"/>
      <c r="Y710" s="42"/>
    </row>
    <row r="711" spans="6:25" ht="15.75" customHeight="1">
      <c r="F711" s="10"/>
      <c r="J711" s="10"/>
      <c r="N711" s="10"/>
      <c r="R711" s="10"/>
      <c r="S711" s="10"/>
      <c r="W711" s="42"/>
      <c r="X711" s="42"/>
      <c r="Y711" s="42"/>
    </row>
    <row r="712" spans="6:25" ht="15.75" customHeight="1">
      <c r="F712" s="10"/>
      <c r="J712" s="10"/>
      <c r="N712" s="10"/>
      <c r="R712" s="10"/>
      <c r="S712" s="10"/>
      <c r="W712" s="42"/>
      <c r="X712" s="42"/>
      <c r="Y712" s="42"/>
    </row>
    <row r="713" spans="6:25" ht="15.75" customHeight="1">
      <c r="F713" s="10"/>
      <c r="J713" s="10"/>
      <c r="N713" s="10"/>
      <c r="R713" s="10"/>
      <c r="S713" s="10"/>
      <c r="W713" s="42"/>
      <c r="X713" s="42"/>
      <c r="Y713" s="42"/>
    </row>
    <row r="714" spans="6:25" ht="15.75" customHeight="1">
      <c r="F714" s="10"/>
      <c r="J714" s="10"/>
      <c r="N714" s="10"/>
      <c r="R714" s="10"/>
      <c r="S714" s="10"/>
      <c r="W714" s="42"/>
      <c r="X714" s="42"/>
      <c r="Y714" s="42"/>
    </row>
    <row r="715" spans="6:25" ht="15.75" customHeight="1">
      <c r="F715" s="10"/>
      <c r="J715" s="10"/>
      <c r="N715" s="10"/>
      <c r="R715" s="10"/>
      <c r="S715" s="10"/>
      <c r="W715" s="42"/>
      <c r="X715" s="42"/>
      <c r="Y715" s="42"/>
    </row>
    <row r="716" spans="6:25" ht="15.75" customHeight="1">
      <c r="F716" s="10"/>
      <c r="J716" s="10"/>
      <c r="N716" s="10"/>
      <c r="R716" s="10"/>
      <c r="S716" s="10"/>
      <c r="W716" s="42"/>
      <c r="X716" s="42"/>
      <c r="Y716" s="42"/>
    </row>
    <row r="717" spans="6:25" ht="15.75" customHeight="1">
      <c r="F717" s="10"/>
      <c r="J717" s="10"/>
      <c r="N717" s="10"/>
      <c r="R717" s="10"/>
      <c r="S717" s="10"/>
      <c r="W717" s="42"/>
      <c r="X717" s="42"/>
      <c r="Y717" s="42"/>
    </row>
    <row r="718" spans="6:25" ht="15.75" customHeight="1">
      <c r="F718" s="10"/>
      <c r="J718" s="10"/>
      <c r="N718" s="10"/>
      <c r="R718" s="10"/>
      <c r="S718" s="10"/>
      <c r="W718" s="42"/>
      <c r="X718" s="42"/>
      <c r="Y718" s="42"/>
    </row>
    <row r="719" spans="6:25" ht="15.75" customHeight="1">
      <c r="F719" s="10"/>
      <c r="J719" s="10"/>
      <c r="N719" s="10"/>
      <c r="R719" s="10"/>
      <c r="S719" s="10"/>
      <c r="W719" s="42"/>
      <c r="X719" s="42"/>
      <c r="Y719" s="42"/>
    </row>
    <row r="720" spans="6:25" ht="15.75" customHeight="1">
      <c r="F720" s="10"/>
      <c r="J720" s="10"/>
      <c r="N720" s="10"/>
      <c r="R720" s="10"/>
      <c r="S720" s="10"/>
      <c r="W720" s="42"/>
      <c r="X720" s="42"/>
      <c r="Y720" s="42"/>
    </row>
    <row r="721" spans="6:25" ht="15.75" customHeight="1">
      <c r="F721" s="10"/>
      <c r="J721" s="10"/>
      <c r="N721" s="10"/>
      <c r="R721" s="10"/>
      <c r="S721" s="10"/>
      <c r="W721" s="42"/>
      <c r="X721" s="42"/>
      <c r="Y721" s="42"/>
    </row>
    <row r="722" spans="6:25" ht="15.75" customHeight="1">
      <c r="F722" s="10"/>
      <c r="J722" s="10"/>
      <c r="N722" s="10"/>
      <c r="R722" s="10"/>
      <c r="S722" s="10"/>
      <c r="W722" s="42"/>
      <c r="X722" s="42"/>
      <c r="Y722" s="42"/>
    </row>
    <row r="723" spans="6:25" ht="15.75" customHeight="1">
      <c r="F723" s="10"/>
      <c r="J723" s="10"/>
      <c r="N723" s="10"/>
      <c r="R723" s="10"/>
      <c r="S723" s="10"/>
      <c r="W723" s="42"/>
      <c r="X723" s="42"/>
      <c r="Y723" s="42"/>
    </row>
    <row r="724" spans="6:25" ht="15.75" customHeight="1">
      <c r="F724" s="10"/>
      <c r="J724" s="10"/>
      <c r="N724" s="10"/>
      <c r="R724" s="10"/>
      <c r="S724" s="10"/>
      <c r="W724" s="42"/>
      <c r="X724" s="42"/>
      <c r="Y724" s="42"/>
    </row>
    <row r="725" spans="6:25" ht="15.75" customHeight="1">
      <c r="F725" s="10"/>
      <c r="J725" s="10"/>
      <c r="N725" s="10"/>
      <c r="R725" s="10"/>
      <c r="S725" s="10"/>
      <c r="W725" s="42"/>
      <c r="X725" s="42"/>
      <c r="Y725" s="42"/>
    </row>
    <row r="726" spans="6:25" ht="15.75" customHeight="1">
      <c r="F726" s="10"/>
      <c r="J726" s="10"/>
      <c r="N726" s="10"/>
      <c r="R726" s="10"/>
      <c r="S726" s="10"/>
      <c r="W726" s="42"/>
      <c r="X726" s="42"/>
      <c r="Y726" s="42"/>
    </row>
    <row r="727" spans="6:25" ht="15.75" customHeight="1">
      <c r="F727" s="10"/>
      <c r="J727" s="10"/>
      <c r="N727" s="10"/>
      <c r="R727" s="10"/>
      <c r="S727" s="10"/>
      <c r="W727" s="42"/>
      <c r="X727" s="42"/>
      <c r="Y727" s="42"/>
    </row>
    <row r="728" spans="6:25" ht="15.75" customHeight="1">
      <c r="F728" s="10"/>
      <c r="J728" s="10"/>
      <c r="N728" s="10"/>
      <c r="R728" s="10"/>
      <c r="S728" s="10"/>
      <c r="W728" s="42"/>
      <c r="X728" s="42"/>
      <c r="Y728" s="42"/>
    </row>
    <row r="729" spans="6:25" ht="15.75" customHeight="1">
      <c r="F729" s="10"/>
      <c r="J729" s="10"/>
      <c r="N729" s="10"/>
      <c r="R729" s="10"/>
      <c r="S729" s="10"/>
      <c r="W729" s="42"/>
      <c r="X729" s="42"/>
      <c r="Y729" s="42"/>
    </row>
    <row r="730" spans="6:25" ht="15.75" customHeight="1">
      <c r="F730" s="10"/>
      <c r="J730" s="10"/>
      <c r="N730" s="10"/>
      <c r="R730" s="10"/>
      <c r="S730" s="10"/>
      <c r="W730" s="42"/>
      <c r="X730" s="42"/>
      <c r="Y730" s="42"/>
    </row>
    <row r="731" spans="6:25" ht="15.75" customHeight="1">
      <c r="F731" s="10"/>
      <c r="J731" s="10"/>
      <c r="N731" s="10"/>
      <c r="R731" s="10"/>
      <c r="S731" s="10"/>
      <c r="W731" s="42"/>
      <c r="X731" s="42"/>
      <c r="Y731" s="42"/>
    </row>
    <row r="732" spans="6:25" ht="15.75" customHeight="1">
      <c r="F732" s="10"/>
      <c r="J732" s="10"/>
      <c r="N732" s="10"/>
      <c r="R732" s="10"/>
      <c r="S732" s="10"/>
      <c r="W732" s="42"/>
      <c r="X732" s="42"/>
      <c r="Y732" s="42"/>
    </row>
    <row r="733" spans="6:25" ht="15.75" customHeight="1">
      <c r="F733" s="10"/>
      <c r="J733" s="10"/>
      <c r="N733" s="10"/>
      <c r="R733" s="10"/>
      <c r="S733" s="10"/>
      <c r="W733" s="42"/>
      <c r="X733" s="42"/>
      <c r="Y733" s="42"/>
    </row>
    <row r="734" spans="6:25" ht="15.75" customHeight="1">
      <c r="F734" s="10"/>
      <c r="J734" s="10"/>
      <c r="N734" s="10"/>
      <c r="R734" s="10"/>
      <c r="S734" s="10"/>
      <c r="W734" s="42"/>
      <c r="X734" s="42"/>
      <c r="Y734" s="42"/>
    </row>
    <row r="735" spans="6:25" ht="15.75" customHeight="1">
      <c r="F735" s="10"/>
      <c r="J735" s="10"/>
      <c r="N735" s="10"/>
      <c r="R735" s="10"/>
      <c r="S735" s="10"/>
      <c r="W735" s="42"/>
      <c r="X735" s="42"/>
      <c r="Y735" s="42"/>
    </row>
    <row r="736" spans="6:25" ht="15.75" customHeight="1">
      <c r="F736" s="10"/>
      <c r="J736" s="10"/>
      <c r="N736" s="10"/>
      <c r="R736" s="10"/>
      <c r="S736" s="10"/>
      <c r="W736" s="42"/>
      <c r="X736" s="42"/>
      <c r="Y736" s="42"/>
    </row>
    <row r="737" spans="6:25" ht="15.75" customHeight="1">
      <c r="F737" s="10"/>
      <c r="J737" s="10"/>
      <c r="N737" s="10"/>
      <c r="R737" s="10"/>
      <c r="S737" s="10"/>
      <c r="W737" s="42"/>
      <c r="X737" s="42"/>
      <c r="Y737" s="42"/>
    </row>
    <row r="738" spans="6:25" ht="15.75" customHeight="1">
      <c r="F738" s="10"/>
      <c r="J738" s="10"/>
      <c r="N738" s="10"/>
      <c r="R738" s="10"/>
      <c r="S738" s="10"/>
      <c r="W738" s="42"/>
      <c r="X738" s="42"/>
      <c r="Y738" s="42"/>
    </row>
    <row r="739" spans="6:25" ht="15.75" customHeight="1">
      <c r="F739" s="10"/>
      <c r="J739" s="10"/>
      <c r="N739" s="10"/>
      <c r="R739" s="10"/>
      <c r="S739" s="10"/>
      <c r="W739" s="42"/>
      <c r="X739" s="42"/>
      <c r="Y739" s="42"/>
    </row>
    <row r="740" spans="6:25" ht="15.75" customHeight="1">
      <c r="F740" s="10"/>
      <c r="J740" s="10"/>
      <c r="N740" s="10"/>
      <c r="R740" s="10"/>
      <c r="S740" s="10"/>
      <c r="W740" s="42"/>
      <c r="X740" s="42"/>
      <c r="Y740" s="42"/>
    </row>
    <row r="741" spans="6:25" ht="15.75" customHeight="1">
      <c r="F741" s="10"/>
      <c r="J741" s="10"/>
      <c r="N741" s="10"/>
      <c r="R741" s="10"/>
      <c r="S741" s="10"/>
      <c r="W741" s="42"/>
      <c r="X741" s="42"/>
      <c r="Y741" s="42"/>
    </row>
    <row r="742" spans="6:25" ht="15.75" customHeight="1">
      <c r="F742" s="10"/>
      <c r="J742" s="10"/>
      <c r="N742" s="10"/>
      <c r="R742" s="10"/>
      <c r="S742" s="10"/>
      <c r="W742" s="42"/>
      <c r="X742" s="42"/>
      <c r="Y742" s="42"/>
    </row>
    <row r="743" spans="6:25" ht="15.75" customHeight="1">
      <c r="F743" s="10"/>
      <c r="J743" s="10"/>
      <c r="N743" s="10"/>
      <c r="R743" s="10"/>
      <c r="S743" s="10"/>
      <c r="W743" s="42"/>
      <c r="X743" s="42"/>
      <c r="Y743" s="42"/>
    </row>
    <row r="744" spans="6:25" ht="15.75" customHeight="1">
      <c r="F744" s="10"/>
      <c r="J744" s="10"/>
      <c r="N744" s="10"/>
      <c r="R744" s="10"/>
      <c r="S744" s="10"/>
      <c r="W744" s="42"/>
      <c r="X744" s="42"/>
      <c r="Y744" s="42"/>
    </row>
    <row r="745" spans="6:25" ht="15.75" customHeight="1">
      <c r="F745" s="10"/>
      <c r="J745" s="10"/>
      <c r="N745" s="10"/>
      <c r="R745" s="10"/>
      <c r="S745" s="10"/>
      <c r="W745" s="42"/>
      <c r="X745" s="42"/>
      <c r="Y745" s="42"/>
    </row>
    <row r="746" spans="6:25" ht="15.75" customHeight="1">
      <c r="F746" s="10"/>
      <c r="J746" s="10"/>
      <c r="N746" s="10"/>
      <c r="R746" s="10"/>
      <c r="S746" s="10"/>
      <c r="W746" s="42"/>
      <c r="X746" s="42"/>
      <c r="Y746" s="42"/>
    </row>
    <row r="747" spans="6:25" ht="15.75" customHeight="1">
      <c r="F747" s="10"/>
      <c r="J747" s="10"/>
      <c r="N747" s="10"/>
      <c r="R747" s="10"/>
      <c r="S747" s="10"/>
      <c r="W747" s="42"/>
      <c r="X747" s="42"/>
      <c r="Y747" s="42"/>
    </row>
    <row r="748" spans="6:25" ht="15.75" customHeight="1">
      <c r="F748" s="10"/>
      <c r="J748" s="10"/>
      <c r="N748" s="10"/>
      <c r="R748" s="10"/>
      <c r="S748" s="10"/>
      <c r="W748" s="42"/>
      <c r="X748" s="42"/>
      <c r="Y748" s="42"/>
    </row>
    <row r="749" spans="6:25" ht="15.75" customHeight="1">
      <c r="F749" s="10"/>
      <c r="J749" s="10"/>
      <c r="N749" s="10"/>
      <c r="R749" s="10"/>
      <c r="S749" s="10"/>
      <c r="W749" s="42"/>
      <c r="X749" s="42"/>
      <c r="Y749" s="42"/>
    </row>
    <row r="750" spans="6:25" ht="15.75" customHeight="1">
      <c r="F750" s="10"/>
      <c r="J750" s="10"/>
      <c r="N750" s="10"/>
      <c r="R750" s="10"/>
      <c r="S750" s="10"/>
      <c r="W750" s="42"/>
      <c r="X750" s="42"/>
      <c r="Y750" s="42"/>
    </row>
    <row r="751" spans="6:25" ht="15.75" customHeight="1">
      <c r="F751" s="10"/>
      <c r="J751" s="10"/>
      <c r="N751" s="10"/>
      <c r="R751" s="10"/>
      <c r="S751" s="10"/>
      <c r="W751" s="42"/>
      <c r="X751" s="42"/>
      <c r="Y751" s="42"/>
    </row>
    <row r="752" spans="6:25" ht="15.75" customHeight="1">
      <c r="F752" s="10"/>
      <c r="J752" s="10"/>
      <c r="N752" s="10"/>
      <c r="R752" s="10"/>
      <c r="S752" s="10"/>
      <c r="W752" s="42"/>
      <c r="X752" s="42"/>
      <c r="Y752" s="42"/>
    </row>
    <row r="753" spans="6:25" ht="15.75" customHeight="1">
      <c r="F753" s="10"/>
      <c r="J753" s="10"/>
      <c r="N753" s="10"/>
      <c r="R753" s="10"/>
      <c r="S753" s="10"/>
      <c r="W753" s="42"/>
      <c r="X753" s="42"/>
      <c r="Y753" s="42"/>
    </row>
    <row r="754" spans="6:25" ht="15.75" customHeight="1">
      <c r="F754" s="10"/>
      <c r="J754" s="10"/>
      <c r="N754" s="10"/>
      <c r="R754" s="10"/>
      <c r="S754" s="10"/>
      <c r="W754" s="42"/>
      <c r="X754" s="42"/>
      <c r="Y754" s="42"/>
    </row>
    <row r="755" spans="6:25" ht="15.75" customHeight="1">
      <c r="F755" s="10"/>
      <c r="J755" s="10"/>
      <c r="N755" s="10"/>
      <c r="R755" s="10"/>
      <c r="S755" s="10"/>
      <c r="W755" s="42"/>
      <c r="X755" s="42"/>
      <c r="Y755" s="42"/>
    </row>
    <row r="756" spans="6:25" ht="15.75" customHeight="1">
      <c r="F756" s="10"/>
      <c r="J756" s="10"/>
      <c r="N756" s="10"/>
      <c r="R756" s="10"/>
      <c r="S756" s="10"/>
      <c r="W756" s="42"/>
      <c r="X756" s="42"/>
      <c r="Y756" s="42"/>
    </row>
    <row r="757" spans="6:25" ht="15.75" customHeight="1">
      <c r="F757" s="10"/>
      <c r="J757" s="10"/>
      <c r="N757" s="10"/>
      <c r="R757" s="10"/>
      <c r="S757" s="10"/>
      <c r="W757" s="42"/>
      <c r="X757" s="42"/>
      <c r="Y757" s="42"/>
    </row>
    <row r="758" spans="6:25" ht="15.75" customHeight="1">
      <c r="F758" s="10"/>
      <c r="J758" s="10"/>
      <c r="N758" s="10"/>
      <c r="R758" s="10"/>
      <c r="S758" s="10"/>
      <c r="W758" s="42"/>
      <c r="X758" s="42"/>
      <c r="Y758" s="42"/>
    </row>
    <row r="759" spans="6:25" ht="15.75" customHeight="1">
      <c r="F759" s="10"/>
      <c r="J759" s="10"/>
      <c r="N759" s="10"/>
      <c r="R759" s="10"/>
      <c r="S759" s="10"/>
      <c r="W759" s="42"/>
      <c r="X759" s="42"/>
      <c r="Y759" s="42"/>
    </row>
    <row r="760" spans="6:25" ht="15.75" customHeight="1">
      <c r="F760" s="10"/>
      <c r="J760" s="10"/>
      <c r="N760" s="10"/>
      <c r="R760" s="10"/>
      <c r="S760" s="10"/>
      <c r="W760" s="42"/>
      <c r="X760" s="42"/>
      <c r="Y760" s="42"/>
    </row>
    <row r="761" spans="6:25" ht="15.75" customHeight="1">
      <c r="F761" s="10"/>
      <c r="J761" s="10"/>
      <c r="N761" s="10"/>
      <c r="R761" s="10"/>
      <c r="S761" s="10"/>
      <c r="W761" s="42"/>
      <c r="X761" s="42"/>
      <c r="Y761" s="42"/>
    </row>
    <row r="762" spans="6:25" ht="15.75" customHeight="1">
      <c r="F762" s="10"/>
      <c r="J762" s="10"/>
      <c r="N762" s="10"/>
      <c r="R762" s="10"/>
      <c r="S762" s="10"/>
      <c r="W762" s="42"/>
      <c r="X762" s="42"/>
      <c r="Y762" s="42"/>
    </row>
    <row r="763" spans="6:25" ht="15.75" customHeight="1">
      <c r="F763" s="10"/>
      <c r="J763" s="10"/>
      <c r="N763" s="10"/>
      <c r="R763" s="10"/>
      <c r="S763" s="10"/>
      <c r="W763" s="42"/>
      <c r="X763" s="42"/>
      <c r="Y763" s="42"/>
    </row>
    <row r="764" spans="6:25" ht="15.75" customHeight="1">
      <c r="F764" s="10"/>
      <c r="J764" s="10"/>
      <c r="N764" s="10"/>
      <c r="R764" s="10"/>
      <c r="S764" s="10"/>
      <c r="W764" s="42"/>
      <c r="X764" s="42"/>
      <c r="Y764" s="42"/>
    </row>
    <row r="765" spans="6:25" ht="15.75" customHeight="1">
      <c r="F765" s="10"/>
      <c r="J765" s="10"/>
      <c r="N765" s="10"/>
      <c r="R765" s="10"/>
      <c r="S765" s="10"/>
      <c r="W765" s="42"/>
      <c r="X765" s="42"/>
      <c r="Y765" s="42"/>
    </row>
    <row r="766" spans="6:25" ht="15.75" customHeight="1">
      <c r="F766" s="10"/>
      <c r="J766" s="10"/>
      <c r="N766" s="10"/>
      <c r="R766" s="10"/>
      <c r="S766" s="10"/>
      <c r="W766" s="42"/>
      <c r="X766" s="42"/>
      <c r="Y766" s="42"/>
    </row>
    <row r="767" spans="6:25" ht="15.75" customHeight="1">
      <c r="F767" s="10"/>
      <c r="J767" s="10"/>
      <c r="N767" s="10"/>
      <c r="R767" s="10"/>
      <c r="S767" s="10"/>
      <c r="W767" s="42"/>
      <c r="X767" s="42"/>
      <c r="Y767" s="42"/>
    </row>
    <row r="768" spans="6:25" ht="15.75" customHeight="1">
      <c r="F768" s="10"/>
      <c r="J768" s="10"/>
      <c r="N768" s="10"/>
      <c r="R768" s="10"/>
      <c r="S768" s="10"/>
      <c r="W768" s="42"/>
      <c r="X768" s="42"/>
      <c r="Y768" s="42"/>
    </row>
    <row r="769" spans="6:25" ht="15.75" customHeight="1">
      <c r="F769" s="10"/>
      <c r="J769" s="10"/>
      <c r="N769" s="10"/>
      <c r="R769" s="10"/>
      <c r="S769" s="10"/>
      <c r="W769" s="42"/>
      <c r="X769" s="42"/>
      <c r="Y769" s="42"/>
    </row>
    <row r="770" spans="6:25" ht="15.75" customHeight="1">
      <c r="F770" s="10"/>
      <c r="J770" s="10"/>
      <c r="N770" s="10"/>
      <c r="R770" s="10"/>
      <c r="S770" s="10"/>
      <c r="W770" s="42"/>
      <c r="X770" s="42"/>
      <c r="Y770" s="42"/>
    </row>
    <row r="771" spans="6:25" ht="15.75" customHeight="1">
      <c r="F771" s="10"/>
      <c r="J771" s="10"/>
      <c r="N771" s="10"/>
      <c r="R771" s="10"/>
      <c r="S771" s="10"/>
      <c r="W771" s="42"/>
      <c r="X771" s="42"/>
      <c r="Y771" s="42"/>
    </row>
    <row r="772" spans="6:25" ht="15.75" customHeight="1">
      <c r="F772" s="10"/>
      <c r="J772" s="10"/>
      <c r="N772" s="10"/>
      <c r="R772" s="10"/>
      <c r="S772" s="10"/>
      <c r="W772" s="42"/>
      <c r="X772" s="42"/>
      <c r="Y772" s="42"/>
    </row>
    <row r="773" spans="6:25" ht="15.75" customHeight="1">
      <c r="F773" s="10"/>
      <c r="J773" s="10"/>
      <c r="N773" s="10"/>
      <c r="R773" s="10"/>
      <c r="S773" s="10"/>
      <c r="W773" s="42"/>
      <c r="X773" s="42"/>
      <c r="Y773" s="42"/>
    </row>
    <row r="774" spans="6:25" ht="15.75" customHeight="1">
      <c r="F774" s="10"/>
      <c r="J774" s="10"/>
      <c r="N774" s="10"/>
      <c r="R774" s="10"/>
      <c r="S774" s="10"/>
      <c r="W774" s="42"/>
      <c r="X774" s="42"/>
      <c r="Y774" s="42"/>
    </row>
    <row r="775" spans="6:25" ht="15.75" customHeight="1">
      <c r="F775" s="10"/>
      <c r="J775" s="10"/>
      <c r="N775" s="10"/>
      <c r="R775" s="10"/>
      <c r="S775" s="10"/>
      <c r="W775" s="42"/>
      <c r="X775" s="42"/>
      <c r="Y775" s="42"/>
    </row>
    <row r="776" spans="6:25" ht="15.75" customHeight="1">
      <c r="F776" s="10"/>
      <c r="J776" s="10"/>
      <c r="N776" s="10"/>
      <c r="R776" s="10"/>
      <c r="S776" s="10"/>
      <c r="W776" s="42"/>
      <c r="X776" s="42"/>
      <c r="Y776" s="42"/>
    </row>
    <row r="777" spans="6:25" ht="15.75" customHeight="1">
      <c r="F777" s="10"/>
      <c r="J777" s="10"/>
      <c r="N777" s="10"/>
      <c r="R777" s="10"/>
      <c r="S777" s="10"/>
      <c r="W777" s="42"/>
      <c r="X777" s="42"/>
      <c r="Y777" s="42"/>
    </row>
    <row r="778" spans="6:25" ht="15.75" customHeight="1">
      <c r="F778" s="10"/>
      <c r="J778" s="10"/>
      <c r="N778" s="10"/>
      <c r="R778" s="10"/>
      <c r="S778" s="10"/>
      <c r="W778" s="42"/>
      <c r="X778" s="42"/>
      <c r="Y778" s="42"/>
    </row>
    <row r="779" spans="6:25" ht="15.75" customHeight="1">
      <c r="F779" s="10"/>
      <c r="J779" s="10"/>
      <c r="N779" s="10"/>
      <c r="R779" s="10"/>
      <c r="S779" s="10"/>
      <c r="W779" s="42"/>
      <c r="X779" s="42"/>
      <c r="Y779" s="42"/>
    </row>
    <row r="780" spans="6:25" ht="15.75" customHeight="1">
      <c r="F780" s="10"/>
      <c r="J780" s="10"/>
      <c r="N780" s="10"/>
      <c r="R780" s="10"/>
      <c r="S780" s="10"/>
      <c r="W780" s="42"/>
      <c r="X780" s="42"/>
      <c r="Y780" s="42"/>
    </row>
    <row r="781" spans="6:25" ht="15.75" customHeight="1">
      <c r="F781" s="10"/>
      <c r="J781" s="10"/>
      <c r="N781" s="10"/>
      <c r="R781" s="10"/>
      <c r="S781" s="10"/>
      <c r="W781" s="42"/>
      <c r="X781" s="42"/>
      <c r="Y781" s="42"/>
    </row>
    <row r="782" spans="6:25" ht="15.75" customHeight="1">
      <c r="F782" s="10"/>
      <c r="J782" s="10"/>
      <c r="N782" s="10"/>
      <c r="R782" s="10"/>
      <c r="S782" s="10"/>
      <c r="W782" s="42"/>
      <c r="X782" s="42"/>
      <c r="Y782" s="42"/>
    </row>
    <row r="783" spans="6:25" ht="15.75" customHeight="1">
      <c r="F783" s="10"/>
      <c r="J783" s="10"/>
      <c r="N783" s="10"/>
      <c r="R783" s="10"/>
      <c r="S783" s="10"/>
      <c r="W783" s="42"/>
      <c r="X783" s="42"/>
      <c r="Y783" s="42"/>
    </row>
    <row r="784" spans="6:25" ht="15.75" customHeight="1">
      <c r="F784" s="10"/>
      <c r="J784" s="10"/>
      <c r="N784" s="10"/>
      <c r="R784" s="10"/>
      <c r="S784" s="10"/>
      <c r="W784" s="42"/>
      <c r="X784" s="42"/>
      <c r="Y784" s="42"/>
    </row>
    <row r="785" spans="6:25" ht="15.75" customHeight="1">
      <c r="F785" s="10"/>
      <c r="J785" s="10"/>
      <c r="N785" s="10"/>
      <c r="R785" s="10"/>
      <c r="S785" s="10"/>
      <c r="W785" s="42"/>
      <c r="X785" s="42"/>
      <c r="Y785" s="42"/>
    </row>
    <row r="786" spans="6:25" ht="15.75" customHeight="1">
      <c r="F786" s="10"/>
      <c r="J786" s="10"/>
      <c r="N786" s="10"/>
      <c r="R786" s="10"/>
      <c r="S786" s="10"/>
      <c r="W786" s="42"/>
      <c r="X786" s="42"/>
      <c r="Y786" s="42"/>
    </row>
    <row r="787" spans="6:25" ht="15.75" customHeight="1">
      <c r="F787" s="10"/>
      <c r="J787" s="10"/>
      <c r="N787" s="10"/>
      <c r="R787" s="10"/>
      <c r="S787" s="10"/>
      <c r="W787" s="42"/>
      <c r="X787" s="42"/>
      <c r="Y787" s="42"/>
    </row>
    <row r="788" spans="6:25" ht="15.75" customHeight="1">
      <c r="F788" s="10"/>
      <c r="J788" s="10"/>
      <c r="N788" s="10"/>
      <c r="R788" s="10"/>
      <c r="S788" s="10"/>
      <c r="W788" s="42"/>
      <c r="X788" s="42"/>
      <c r="Y788" s="42"/>
    </row>
    <row r="789" spans="6:25" ht="15.75" customHeight="1">
      <c r="F789" s="10"/>
      <c r="J789" s="10"/>
      <c r="N789" s="10"/>
      <c r="R789" s="10"/>
      <c r="S789" s="10"/>
      <c r="W789" s="42"/>
      <c r="X789" s="42"/>
      <c r="Y789" s="42"/>
    </row>
    <row r="790" spans="6:25" ht="15.75" customHeight="1">
      <c r="F790" s="10"/>
      <c r="J790" s="10"/>
      <c r="N790" s="10"/>
      <c r="R790" s="10"/>
      <c r="S790" s="10"/>
      <c r="W790" s="42"/>
      <c r="X790" s="42"/>
      <c r="Y790" s="42"/>
    </row>
    <row r="791" spans="6:25" ht="15.75" customHeight="1">
      <c r="F791" s="10"/>
      <c r="J791" s="10"/>
      <c r="N791" s="10"/>
      <c r="R791" s="10"/>
      <c r="S791" s="10"/>
      <c r="W791" s="42"/>
      <c r="X791" s="42"/>
      <c r="Y791" s="42"/>
    </row>
    <row r="792" spans="6:25" ht="15.75" customHeight="1">
      <c r="F792" s="10"/>
      <c r="J792" s="10"/>
      <c r="N792" s="10"/>
      <c r="R792" s="10"/>
      <c r="S792" s="10"/>
      <c r="W792" s="42"/>
      <c r="X792" s="42"/>
      <c r="Y792" s="42"/>
    </row>
    <row r="793" spans="6:25" ht="15.75" customHeight="1">
      <c r="F793" s="10"/>
      <c r="J793" s="10"/>
      <c r="N793" s="10"/>
      <c r="R793" s="10"/>
      <c r="S793" s="10"/>
      <c r="W793" s="42"/>
      <c r="X793" s="42"/>
      <c r="Y793" s="42"/>
    </row>
    <row r="794" spans="6:25" ht="15.75" customHeight="1">
      <c r="F794" s="10"/>
      <c r="J794" s="10"/>
      <c r="N794" s="10"/>
      <c r="R794" s="10"/>
      <c r="S794" s="10"/>
      <c r="W794" s="42"/>
      <c r="X794" s="42"/>
      <c r="Y794" s="42"/>
    </row>
    <row r="795" spans="6:25" ht="15.75" customHeight="1">
      <c r="F795" s="10"/>
      <c r="J795" s="10"/>
      <c r="N795" s="10"/>
      <c r="R795" s="10"/>
      <c r="S795" s="10"/>
      <c r="W795" s="42"/>
      <c r="X795" s="42"/>
      <c r="Y795" s="42"/>
    </row>
    <row r="796" spans="6:25" ht="15.75" customHeight="1">
      <c r="F796" s="10"/>
      <c r="J796" s="10"/>
      <c r="N796" s="10"/>
      <c r="R796" s="10"/>
      <c r="S796" s="10"/>
      <c r="W796" s="42"/>
      <c r="X796" s="42"/>
      <c r="Y796" s="42"/>
    </row>
    <row r="797" spans="6:25" ht="15.75" customHeight="1">
      <c r="F797" s="10"/>
      <c r="J797" s="10"/>
      <c r="N797" s="10"/>
      <c r="R797" s="10"/>
      <c r="S797" s="10"/>
      <c r="W797" s="42"/>
      <c r="X797" s="42"/>
      <c r="Y797" s="42"/>
    </row>
    <row r="798" spans="6:25" ht="15.75" customHeight="1">
      <c r="F798" s="10"/>
      <c r="J798" s="10"/>
      <c r="N798" s="10"/>
      <c r="R798" s="10"/>
      <c r="S798" s="10"/>
      <c r="W798" s="42"/>
      <c r="X798" s="42"/>
      <c r="Y798" s="42"/>
    </row>
    <row r="799" spans="6:25" ht="15.75" customHeight="1">
      <c r="F799" s="10"/>
      <c r="J799" s="10"/>
      <c r="N799" s="10"/>
      <c r="R799" s="10"/>
      <c r="S799" s="10"/>
      <c r="W799" s="42"/>
      <c r="X799" s="42"/>
      <c r="Y799" s="42"/>
    </row>
    <row r="800" spans="6:25" ht="15.75" customHeight="1">
      <c r="F800" s="10"/>
      <c r="J800" s="10"/>
      <c r="N800" s="10"/>
      <c r="R800" s="10"/>
      <c r="S800" s="10"/>
      <c r="W800" s="42"/>
      <c r="X800" s="42"/>
      <c r="Y800" s="42"/>
    </row>
    <row r="801" spans="6:25" ht="15.75" customHeight="1">
      <c r="F801" s="10"/>
      <c r="J801" s="10"/>
      <c r="N801" s="10"/>
      <c r="R801" s="10"/>
      <c r="S801" s="10"/>
      <c r="W801" s="42"/>
      <c r="X801" s="42"/>
      <c r="Y801" s="42"/>
    </row>
    <row r="802" spans="6:25" ht="15.75" customHeight="1">
      <c r="F802" s="10"/>
      <c r="J802" s="10"/>
      <c r="N802" s="10"/>
      <c r="R802" s="10"/>
      <c r="S802" s="10"/>
      <c r="W802" s="42"/>
      <c r="X802" s="42"/>
      <c r="Y802" s="42"/>
    </row>
    <row r="803" spans="6:25" ht="15.75" customHeight="1">
      <c r="F803" s="10"/>
      <c r="J803" s="10"/>
      <c r="N803" s="10"/>
      <c r="R803" s="10"/>
      <c r="S803" s="10"/>
      <c r="W803" s="42"/>
      <c r="X803" s="42"/>
      <c r="Y803" s="42"/>
    </row>
    <row r="804" spans="6:25" ht="15.75" customHeight="1">
      <c r="F804" s="10"/>
      <c r="J804" s="10"/>
      <c r="N804" s="10"/>
      <c r="R804" s="10"/>
      <c r="S804" s="10"/>
      <c r="W804" s="42"/>
      <c r="X804" s="42"/>
      <c r="Y804" s="42"/>
    </row>
    <row r="805" spans="6:25" ht="15.75" customHeight="1">
      <c r="F805" s="10"/>
      <c r="J805" s="10"/>
      <c r="N805" s="10"/>
      <c r="R805" s="10"/>
      <c r="S805" s="10"/>
      <c r="W805" s="42"/>
      <c r="X805" s="42"/>
      <c r="Y805" s="42"/>
    </row>
    <row r="806" spans="6:25" ht="15.75" customHeight="1">
      <c r="F806" s="10"/>
      <c r="J806" s="10"/>
      <c r="N806" s="10"/>
      <c r="R806" s="10"/>
      <c r="S806" s="10"/>
      <c r="W806" s="42"/>
      <c r="X806" s="42"/>
      <c r="Y806" s="42"/>
    </row>
    <row r="807" spans="6:25" ht="15.75" customHeight="1">
      <c r="F807" s="10"/>
      <c r="J807" s="10"/>
      <c r="N807" s="10"/>
      <c r="R807" s="10"/>
      <c r="S807" s="10"/>
      <c r="W807" s="42"/>
      <c r="X807" s="42"/>
      <c r="Y807" s="42"/>
    </row>
    <row r="808" spans="6:25" ht="15.75" customHeight="1">
      <c r="F808" s="10"/>
      <c r="J808" s="10"/>
      <c r="N808" s="10"/>
      <c r="R808" s="10"/>
      <c r="S808" s="10"/>
      <c r="W808" s="42"/>
      <c r="X808" s="42"/>
      <c r="Y808" s="42"/>
    </row>
    <row r="809" spans="6:25" ht="15.75" customHeight="1">
      <c r="F809" s="10"/>
      <c r="J809" s="10"/>
      <c r="N809" s="10"/>
      <c r="R809" s="10"/>
      <c r="S809" s="10"/>
      <c r="W809" s="42"/>
      <c r="X809" s="42"/>
      <c r="Y809" s="42"/>
    </row>
    <row r="810" spans="6:25" ht="15.75" customHeight="1">
      <c r="F810" s="10"/>
      <c r="J810" s="10"/>
      <c r="N810" s="10"/>
      <c r="R810" s="10"/>
      <c r="S810" s="10"/>
      <c r="W810" s="42"/>
      <c r="X810" s="42"/>
      <c r="Y810" s="42"/>
    </row>
    <row r="811" spans="6:25" ht="15.75" customHeight="1">
      <c r="F811" s="10"/>
      <c r="J811" s="10"/>
      <c r="N811" s="10"/>
      <c r="R811" s="10"/>
      <c r="S811" s="10"/>
      <c r="W811" s="42"/>
      <c r="X811" s="42"/>
      <c r="Y811" s="42"/>
    </row>
    <row r="812" spans="6:25" ht="15.75" customHeight="1">
      <c r="F812" s="10"/>
      <c r="J812" s="10"/>
      <c r="N812" s="10"/>
      <c r="R812" s="10"/>
      <c r="S812" s="10"/>
      <c r="W812" s="42"/>
      <c r="X812" s="42"/>
      <c r="Y812" s="42"/>
    </row>
    <row r="813" spans="6:25" ht="15.75" customHeight="1">
      <c r="F813" s="10"/>
      <c r="J813" s="10"/>
      <c r="N813" s="10"/>
      <c r="R813" s="10"/>
      <c r="S813" s="10"/>
      <c r="W813" s="42"/>
      <c r="X813" s="42"/>
      <c r="Y813" s="42"/>
    </row>
    <row r="814" spans="6:25" ht="15.75" customHeight="1">
      <c r="F814" s="10"/>
      <c r="J814" s="10"/>
      <c r="N814" s="10"/>
      <c r="R814" s="10"/>
      <c r="S814" s="10"/>
      <c r="W814" s="42"/>
      <c r="X814" s="42"/>
      <c r="Y814" s="42"/>
    </row>
    <row r="815" spans="6:25" ht="15.75" customHeight="1">
      <c r="F815" s="10"/>
      <c r="J815" s="10"/>
      <c r="N815" s="10"/>
      <c r="R815" s="10"/>
      <c r="S815" s="10"/>
      <c r="W815" s="42"/>
      <c r="X815" s="42"/>
      <c r="Y815" s="42"/>
    </row>
    <row r="816" spans="6:25" ht="15.75" customHeight="1">
      <c r="F816" s="10"/>
      <c r="J816" s="10"/>
      <c r="N816" s="10"/>
      <c r="R816" s="10"/>
      <c r="S816" s="10"/>
      <c r="W816" s="42"/>
      <c r="X816" s="42"/>
      <c r="Y816" s="42"/>
    </row>
    <row r="817" spans="6:25" ht="15.75" customHeight="1">
      <c r="F817" s="10"/>
      <c r="J817" s="10"/>
      <c r="N817" s="10"/>
      <c r="R817" s="10"/>
      <c r="S817" s="10"/>
      <c r="W817" s="42"/>
      <c r="X817" s="42"/>
      <c r="Y817" s="42"/>
    </row>
    <row r="818" spans="6:25" ht="15.75" customHeight="1">
      <c r="F818" s="10"/>
      <c r="J818" s="10"/>
      <c r="N818" s="10"/>
      <c r="R818" s="10"/>
      <c r="S818" s="10"/>
      <c r="W818" s="42"/>
      <c r="X818" s="42"/>
      <c r="Y818" s="42"/>
    </row>
    <row r="819" spans="6:25" ht="15.75" customHeight="1">
      <c r="F819" s="10"/>
      <c r="J819" s="10"/>
      <c r="N819" s="10"/>
      <c r="R819" s="10"/>
      <c r="S819" s="10"/>
      <c r="W819" s="42"/>
      <c r="X819" s="42"/>
      <c r="Y819" s="42"/>
    </row>
    <row r="820" spans="6:25" ht="15.75" customHeight="1">
      <c r="F820" s="10"/>
      <c r="J820" s="10"/>
      <c r="N820" s="10"/>
      <c r="R820" s="10"/>
      <c r="S820" s="10"/>
      <c r="W820" s="42"/>
      <c r="X820" s="42"/>
      <c r="Y820" s="42"/>
    </row>
    <row r="821" spans="6:25" ht="15.75" customHeight="1">
      <c r="F821" s="10"/>
      <c r="J821" s="10"/>
      <c r="N821" s="10"/>
      <c r="R821" s="10"/>
      <c r="S821" s="10"/>
      <c r="W821" s="42"/>
      <c r="X821" s="42"/>
      <c r="Y821" s="42"/>
    </row>
    <row r="822" spans="6:25" ht="15.75" customHeight="1">
      <c r="F822" s="10"/>
      <c r="J822" s="10"/>
      <c r="N822" s="10"/>
      <c r="R822" s="10"/>
      <c r="S822" s="10"/>
      <c r="W822" s="42"/>
      <c r="X822" s="42"/>
      <c r="Y822" s="42"/>
    </row>
    <row r="823" spans="6:25" ht="15.75" customHeight="1">
      <c r="F823" s="10"/>
      <c r="J823" s="10"/>
      <c r="N823" s="10"/>
      <c r="R823" s="10"/>
      <c r="S823" s="10"/>
      <c r="W823" s="42"/>
      <c r="X823" s="42"/>
      <c r="Y823" s="42"/>
    </row>
    <row r="824" spans="6:25" ht="15.75" customHeight="1">
      <c r="F824" s="10"/>
      <c r="J824" s="10"/>
      <c r="N824" s="10"/>
      <c r="R824" s="10"/>
      <c r="S824" s="10"/>
      <c r="W824" s="42"/>
      <c r="X824" s="42"/>
      <c r="Y824" s="42"/>
    </row>
    <row r="825" spans="6:25" ht="15.75" customHeight="1">
      <c r="F825" s="10"/>
      <c r="J825" s="10"/>
      <c r="N825" s="10"/>
      <c r="R825" s="10"/>
      <c r="S825" s="10"/>
      <c r="W825" s="42"/>
      <c r="X825" s="42"/>
      <c r="Y825" s="42"/>
    </row>
    <row r="826" spans="6:25" ht="15.75" customHeight="1">
      <c r="F826" s="10"/>
      <c r="J826" s="10"/>
      <c r="N826" s="10"/>
      <c r="R826" s="10"/>
      <c r="S826" s="10"/>
      <c r="W826" s="42"/>
      <c r="X826" s="42"/>
      <c r="Y826" s="42"/>
    </row>
    <row r="827" spans="6:25" ht="15.75" customHeight="1">
      <c r="F827" s="10"/>
      <c r="J827" s="10"/>
      <c r="N827" s="10"/>
      <c r="R827" s="10"/>
      <c r="S827" s="10"/>
      <c r="W827" s="42"/>
      <c r="X827" s="42"/>
      <c r="Y827" s="42"/>
    </row>
    <row r="828" spans="6:25" ht="15.75" customHeight="1">
      <c r="F828" s="10"/>
      <c r="J828" s="10"/>
      <c r="N828" s="10"/>
      <c r="R828" s="10"/>
      <c r="S828" s="10"/>
      <c r="W828" s="42"/>
      <c r="X828" s="42"/>
      <c r="Y828" s="42"/>
    </row>
    <row r="829" spans="6:25" ht="15.75" customHeight="1">
      <c r="F829" s="10"/>
      <c r="J829" s="10"/>
      <c r="N829" s="10"/>
      <c r="R829" s="10"/>
      <c r="S829" s="10"/>
      <c r="W829" s="42"/>
      <c r="X829" s="42"/>
      <c r="Y829" s="42"/>
    </row>
    <row r="830" spans="6:25" ht="15.75" customHeight="1">
      <c r="F830" s="10"/>
      <c r="J830" s="10"/>
      <c r="N830" s="10"/>
      <c r="R830" s="10"/>
      <c r="S830" s="10"/>
      <c r="W830" s="42"/>
      <c r="X830" s="42"/>
      <c r="Y830" s="42"/>
    </row>
    <row r="831" spans="6:25" ht="15.75" customHeight="1">
      <c r="F831" s="10"/>
      <c r="J831" s="10"/>
      <c r="N831" s="10"/>
      <c r="R831" s="10"/>
      <c r="S831" s="10"/>
      <c r="W831" s="42"/>
      <c r="X831" s="42"/>
      <c r="Y831" s="42"/>
    </row>
    <row r="832" spans="6:25" ht="15.75" customHeight="1">
      <c r="F832" s="10"/>
      <c r="J832" s="10"/>
      <c r="N832" s="10"/>
      <c r="R832" s="10"/>
      <c r="S832" s="10"/>
      <c r="W832" s="42"/>
      <c r="X832" s="42"/>
      <c r="Y832" s="42"/>
    </row>
    <row r="833" spans="6:25" ht="15.75" customHeight="1">
      <c r="F833" s="10"/>
      <c r="J833" s="10"/>
      <c r="N833" s="10"/>
      <c r="R833" s="10"/>
      <c r="S833" s="10"/>
      <c r="W833" s="42"/>
      <c r="X833" s="42"/>
      <c r="Y833" s="42"/>
    </row>
    <row r="834" spans="6:25" ht="15.75" customHeight="1">
      <c r="F834" s="10"/>
      <c r="J834" s="10"/>
      <c r="N834" s="10"/>
      <c r="R834" s="10"/>
      <c r="S834" s="10"/>
      <c r="W834" s="42"/>
      <c r="X834" s="42"/>
      <c r="Y834" s="42"/>
    </row>
    <row r="835" spans="6:25" ht="15.75" customHeight="1">
      <c r="F835" s="10"/>
      <c r="J835" s="10"/>
      <c r="N835" s="10"/>
      <c r="R835" s="10"/>
      <c r="S835" s="10"/>
      <c r="W835" s="42"/>
      <c r="X835" s="42"/>
      <c r="Y835" s="42"/>
    </row>
    <row r="836" spans="6:25" ht="15.75" customHeight="1">
      <c r="F836" s="10"/>
      <c r="J836" s="10"/>
      <c r="N836" s="10"/>
      <c r="R836" s="10"/>
      <c r="S836" s="10"/>
      <c r="W836" s="42"/>
      <c r="X836" s="42"/>
      <c r="Y836" s="42"/>
    </row>
    <row r="837" spans="6:25" ht="15.75" customHeight="1">
      <c r="F837" s="10"/>
      <c r="J837" s="10"/>
      <c r="N837" s="10"/>
      <c r="R837" s="10"/>
      <c r="S837" s="10"/>
      <c r="W837" s="42"/>
      <c r="X837" s="42"/>
      <c r="Y837" s="42"/>
    </row>
    <row r="838" spans="6:25" ht="15.75" customHeight="1">
      <c r="F838" s="10"/>
      <c r="J838" s="10"/>
      <c r="N838" s="10"/>
      <c r="R838" s="10"/>
      <c r="S838" s="10"/>
      <c r="W838" s="42"/>
      <c r="X838" s="42"/>
      <c r="Y838" s="42"/>
    </row>
    <row r="839" spans="6:25" ht="15.75" customHeight="1">
      <c r="F839" s="10"/>
      <c r="J839" s="10"/>
      <c r="N839" s="10"/>
      <c r="R839" s="10"/>
      <c r="S839" s="10"/>
      <c r="W839" s="42"/>
      <c r="X839" s="42"/>
      <c r="Y839" s="42"/>
    </row>
    <row r="840" spans="6:25" ht="15.75" customHeight="1">
      <c r="F840" s="10"/>
      <c r="J840" s="10"/>
      <c r="N840" s="10"/>
      <c r="R840" s="10"/>
      <c r="S840" s="10"/>
      <c r="W840" s="42"/>
      <c r="X840" s="42"/>
      <c r="Y840" s="42"/>
    </row>
    <row r="841" spans="6:25" ht="15.75" customHeight="1">
      <c r="F841" s="10"/>
      <c r="J841" s="10"/>
      <c r="N841" s="10"/>
      <c r="R841" s="10"/>
      <c r="S841" s="10"/>
      <c r="W841" s="42"/>
      <c r="X841" s="42"/>
      <c r="Y841" s="42"/>
    </row>
    <row r="842" spans="6:25" ht="15.75" customHeight="1">
      <c r="F842" s="10"/>
      <c r="J842" s="10"/>
      <c r="N842" s="10"/>
      <c r="R842" s="10"/>
      <c r="S842" s="10"/>
      <c r="W842" s="42"/>
      <c r="X842" s="42"/>
      <c r="Y842" s="42"/>
    </row>
    <row r="843" spans="6:25" ht="15.75" customHeight="1">
      <c r="F843" s="10"/>
      <c r="J843" s="10"/>
      <c r="N843" s="10"/>
      <c r="R843" s="10"/>
      <c r="S843" s="10"/>
      <c r="W843" s="42"/>
      <c r="X843" s="42"/>
      <c r="Y843" s="42"/>
    </row>
    <row r="844" spans="6:25" ht="15.75" customHeight="1">
      <c r="F844" s="10"/>
      <c r="J844" s="10"/>
      <c r="N844" s="10"/>
      <c r="R844" s="10"/>
      <c r="S844" s="10"/>
      <c r="W844" s="42"/>
      <c r="X844" s="42"/>
      <c r="Y844" s="42"/>
    </row>
    <row r="845" spans="6:25" ht="15.75" customHeight="1">
      <c r="F845" s="10"/>
      <c r="J845" s="10"/>
      <c r="N845" s="10"/>
      <c r="R845" s="10"/>
      <c r="S845" s="10"/>
      <c r="W845" s="42"/>
      <c r="X845" s="42"/>
      <c r="Y845" s="42"/>
    </row>
    <row r="846" spans="6:25" ht="15.75" customHeight="1">
      <c r="F846" s="10"/>
      <c r="J846" s="10"/>
      <c r="N846" s="10"/>
      <c r="R846" s="10"/>
      <c r="S846" s="10"/>
      <c r="W846" s="42"/>
      <c r="X846" s="42"/>
      <c r="Y846" s="42"/>
    </row>
    <row r="847" spans="6:25" ht="15.75" customHeight="1">
      <c r="F847" s="10"/>
      <c r="J847" s="10"/>
      <c r="N847" s="10"/>
      <c r="R847" s="10"/>
      <c r="S847" s="10"/>
      <c r="W847" s="42"/>
      <c r="X847" s="42"/>
      <c r="Y847" s="42"/>
    </row>
    <row r="848" spans="6:25" ht="15.75" customHeight="1">
      <c r="F848" s="10"/>
      <c r="J848" s="10"/>
      <c r="N848" s="10"/>
      <c r="R848" s="10"/>
      <c r="S848" s="10"/>
      <c r="W848" s="42"/>
      <c r="X848" s="42"/>
      <c r="Y848" s="42"/>
    </row>
    <row r="849" spans="6:25" ht="15.75" customHeight="1">
      <c r="F849" s="10"/>
      <c r="J849" s="10"/>
      <c r="N849" s="10"/>
      <c r="R849" s="10"/>
      <c r="S849" s="10"/>
      <c r="W849" s="42"/>
      <c r="X849" s="42"/>
      <c r="Y849" s="42"/>
    </row>
    <row r="850" spans="6:25" ht="15.75" customHeight="1">
      <c r="F850" s="10"/>
      <c r="J850" s="10"/>
      <c r="N850" s="10"/>
      <c r="R850" s="10"/>
      <c r="S850" s="10"/>
      <c r="W850" s="42"/>
      <c r="X850" s="42"/>
      <c r="Y850" s="42"/>
    </row>
    <row r="851" spans="6:25" ht="15.75" customHeight="1">
      <c r="F851" s="10"/>
      <c r="J851" s="10"/>
      <c r="N851" s="10"/>
      <c r="R851" s="10"/>
      <c r="S851" s="10"/>
      <c r="W851" s="42"/>
      <c r="X851" s="42"/>
      <c r="Y851" s="42"/>
    </row>
    <row r="852" spans="6:25" ht="15.75" customHeight="1">
      <c r="F852" s="10"/>
      <c r="J852" s="10"/>
      <c r="N852" s="10"/>
      <c r="R852" s="10"/>
      <c r="S852" s="10"/>
      <c r="W852" s="42"/>
      <c r="X852" s="42"/>
      <c r="Y852" s="42"/>
    </row>
    <row r="853" spans="6:25" ht="15.75" customHeight="1">
      <c r="F853" s="10"/>
      <c r="J853" s="10"/>
      <c r="N853" s="10"/>
      <c r="R853" s="10"/>
      <c r="S853" s="10"/>
      <c r="W853" s="42"/>
      <c r="X853" s="42"/>
      <c r="Y853" s="42"/>
    </row>
    <row r="854" spans="6:25" ht="15.75" customHeight="1">
      <c r="F854" s="10"/>
      <c r="J854" s="10"/>
      <c r="N854" s="10"/>
      <c r="R854" s="10"/>
      <c r="S854" s="10"/>
      <c r="W854" s="42"/>
      <c r="X854" s="42"/>
      <c r="Y854" s="42"/>
    </row>
    <row r="855" spans="6:25" ht="15.75" customHeight="1">
      <c r="F855" s="10"/>
      <c r="J855" s="10"/>
      <c r="N855" s="10"/>
      <c r="R855" s="10"/>
      <c r="S855" s="10"/>
      <c r="W855" s="42"/>
      <c r="X855" s="42"/>
      <c r="Y855" s="42"/>
    </row>
    <row r="856" spans="6:25" ht="15.75" customHeight="1">
      <c r="F856" s="10"/>
      <c r="J856" s="10"/>
      <c r="N856" s="10"/>
      <c r="R856" s="10"/>
      <c r="S856" s="10"/>
      <c r="W856" s="42"/>
      <c r="X856" s="42"/>
      <c r="Y856" s="42"/>
    </row>
    <row r="857" spans="6:25" ht="15.75" customHeight="1">
      <c r="F857" s="10"/>
      <c r="J857" s="10"/>
      <c r="N857" s="10"/>
      <c r="R857" s="10"/>
      <c r="S857" s="10"/>
      <c r="W857" s="42"/>
      <c r="X857" s="42"/>
      <c r="Y857" s="42"/>
    </row>
    <row r="858" spans="6:25" ht="15.75" customHeight="1">
      <c r="F858" s="10"/>
      <c r="J858" s="10"/>
      <c r="N858" s="10"/>
      <c r="R858" s="10"/>
      <c r="S858" s="10"/>
      <c r="W858" s="42"/>
      <c r="X858" s="42"/>
      <c r="Y858" s="42"/>
    </row>
    <row r="859" spans="6:25" ht="15.75" customHeight="1">
      <c r="F859" s="10"/>
      <c r="J859" s="10"/>
      <c r="N859" s="10"/>
      <c r="R859" s="10"/>
      <c r="S859" s="10"/>
      <c r="W859" s="42"/>
      <c r="X859" s="42"/>
      <c r="Y859" s="42"/>
    </row>
    <row r="860" spans="6:25" ht="15.75" customHeight="1">
      <c r="F860" s="10"/>
      <c r="J860" s="10"/>
      <c r="N860" s="10"/>
      <c r="R860" s="10"/>
      <c r="S860" s="10"/>
      <c r="W860" s="42"/>
      <c r="X860" s="42"/>
      <c r="Y860" s="42"/>
    </row>
    <row r="861" spans="6:25" ht="15.75" customHeight="1">
      <c r="F861" s="10"/>
      <c r="J861" s="10"/>
      <c r="N861" s="10"/>
      <c r="R861" s="10"/>
      <c r="S861" s="10"/>
      <c r="W861" s="42"/>
      <c r="X861" s="42"/>
      <c r="Y861" s="42"/>
    </row>
    <row r="862" spans="6:25" ht="15.75" customHeight="1">
      <c r="F862" s="10"/>
      <c r="J862" s="10"/>
      <c r="N862" s="10"/>
      <c r="R862" s="10"/>
      <c r="S862" s="10"/>
      <c r="W862" s="42"/>
      <c r="X862" s="42"/>
      <c r="Y862" s="42"/>
    </row>
    <row r="863" spans="6:25" ht="15.75" customHeight="1">
      <c r="F863" s="10"/>
      <c r="J863" s="10"/>
      <c r="N863" s="10"/>
      <c r="R863" s="10"/>
      <c r="S863" s="10"/>
      <c r="W863" s="42"/>
      <c r="X863" s="42"/>
      <c r="Y863" s="42"/>
    </row>
    <row r="864" spans="6:25" ht="15.75" customHeight="1">
      <c r="F864" s="10"/>
      <c r="J864" s="10"/>
      <c r="N864" s="10"/>
      <c r="R864" s="10"/>
      <c r="S864" s="10"/>
      <c r="W864" s="42"/>
      <c r="X864" s="42"/>
      <c r="Y864" s="42"/>
    </row>
    <row r="865" spans="6:25" ht="15.75" customHeight="1">
      <c r="F865" s="10"/>
      <c r="J865" s="10"/>
      <c r="N865" s="10"/>
      <c r="R865" s="10"/>
      <c r="S865" s="10"/>
      <c r="W865" s="42"/>
      <c r="X865" s="42"/>
      <c r="Y865" s="42"/>
    </row>
    <row r="866" spans="6:25" ht="15.75" customHeight="1">
      <c r="F866" s="10"/>
      <c r="J866" s="10"/>
      <c r="N866" s="10"/>
      <c r="R866" s="10"/>
      <c r="S866" s="10"/>
      <c r="W866" s="42"/>
      <c r="X866" s="42"/>
      <c r="Y866" s="42"/>
    </row>
    <row r="867" spans="6:25" ht="15.75" customHeight="1">
      <c r="F867" s="10"/>
      <c r="J867" s="10"/>
      <c r="N867" s="10"/>
      <c r="R867" s="10"/>
      <c r="S867" s="10"/>
      <c r="W867" s="42"/>
      <c r="X867" s="42"/>
      <c r="Y867" s="42"/>
    </row>
    <row r="868" spans="6:25" ht="15.75" customHeight="1">
      <c r="F868" s="10"/>
      <c r="J868" s="10"/>
      <c r="N868" s="10"/>
      <c r="R868" s="10"/>
      <c r="S868" s="10"/>
      <c r="W868" s="42"/>
      <c r="X868" s="42"/>
      <c r="Y868" s="42"/>
    </row>
    <row r="869" spans="6:25" ht="15.75" customHeight="1">
      <c r="F869" s="10"/>
      <c r="J869" s="10"/>
      <c r="N869" s="10"/>
      <c r="R869" s="10"/>
      <c r="S869" s="10"/>
      <c r="W869" s="42"/>
      <c r="X869" s="42"/>
      <c r="Y869" s="42"/>
    </row>
    <row r="870" spans="6:25" ht="15.75" customHeight="1">
      <c r="F870" s="10"/>
      <c r="J870" s="10"/>
      <c r="N870" s="10"/>
      <c r="R870" s="10"/>
      <c r="S870" s="10"/>
      <c r="W870" s="42"/>
      <c r="X870" s="42"/>
      <c r="Y870" s="42"/>
    </row>
    <row r="871" spans="6:25" ht="15.75" customHeight="1">
      <c r="F871" s="10"/>
      <c r="J871" s="10"/>
      <c r="N871" s="10"/>
      <c r="R871" s="10"/>
      <c r="S871" s="10"/>
      <c r="W871" s="42"/>
      <c r="X871" s="42"/>
      <c r="Y871" s="42"/>
    </row>
    <row r="872" spans="6:25" ht="15.75" customHeight="1">
      <c r="F872" s="10"/>
      <c r="J872" s="10"/>
      <c r="N872" s="10"/>
      <c r="R872" s="10"/>
      <c r="S872" s="10"/>
      <c r="W872" s="42"/>
      <c r="X872" s="42"/>
      <c r="Y872" s="42"/>
    </row>
    <row r="873" spans="6:25" ht="15.75" customHeight="1">
      <c r="F873" s="10"/>
      <c r="J873" s="10"/>
      <c r="N873" s="10"/>
      <c r="R873" s="10"/>
      <c r="S873" s="10"/>
      <c r="W873" s="42"/>
      <c r="X873" s="42"/>
      <c r="Y873" s="42"/>
    </row>
    <row r="874" spans="6:25" ht="15.75" customHeight="1">
      <c r="F874" s="10"/>
      <c r="J874" s="10"/>
      <c r="N874" s="10"/>
      <c r="R874" s="10"/>
      <c r="S874" s="10"/>
      <c r="W874" s="42"/>
      <c r="X874" s="42"/>
      <c r="Y874" s="42"/>
    </row>
    <row r="875" spans="6:25" ht="15.75" customHeight="1">
      <c r="F875" s="10"/>
      <c r="J875" s="10"/>
      <c r="N875" s="10"/>
      <c r="R875" s="10"/>
      <c r="S875" s="10"/>
      <c r="W875" s="42"/>
      <c r="X875" s="42"/>
      <c r="Y875" s="42"/>
    </row>
    <row r="876" spans="6:25" ht="15.75" customHeight="1">
      <c r="F876" s="10"/>
      <c r="J876" s="10"/>
      <c r="N876" s="10"/>
      <c r="R876" s="10"/>
      <c r="S876" s="10"/>
      <c r="W876" s="42"/>
      <c r="X876" s="42"/>
      <c r="Y876" s="42"/>
    </row>
    <row r="877" spans="6:25" ht="15.75" customHeight="1">
      <c r="F877" s="10"/>
      <c r="J877" s="10"/>
      <c r="N877" s="10"/>
      <c r="R877" s="10"/>
      <c r="S877" s="10"/>
      <c r="W877" s="42"/>
      <c r="X877" s="42"/>
      <c r="Y877" s="42"/>
    </row>
    <row r="878" spans="6:25" ht="15.75" customHeight="1">
      <c r="F878" s="10"/>
      <c r="J878" s="10"/>
      <c r="N878" s="10"/>
      <c r="R878" s="10"/>
      <c r="S878" s="10"/>
      <c r="W878" s="42"/>
      <c r="X878" s="42"/>
      <c r="Y878" s="42"/>
    </row>
    <row r="879" spans="6:25" ht="15.75" customHeight="1">
      <c r="F879" s="10"/>
      <c r="J879" s="10"/>
      <c r="N879" s="10"/>
      <c r="R879" s="10"/>
      <c r="S879" s="10"/>
      <c r="W879" s="42"/>
      <c r="X879" s="42"/>
      <c r="Y879" s="42"/>
    </row>
    <row r="880" spans="6:25" ht="15.75" customHeight="1">
      <c r="F880" s="10"/>
      <c r="J880" s="10"/>
      <c r="N880" s="10"/>
      <c r="R880" s="10"/>
      <c r="S880" s="10"/>
      <c r="W880" s="42"/>
      <c r="X880" s="42"/>
      <c r="Y880" s="42"/>
    </row>
    <row r="881" spans="6:25" ht="15.75" customHeight="1">
      <c r="F881" s="10"/>
      <c r="J881" s="10"/>
      <c r="N881" s="10"/>
      <c r="R881" s="10"/>
      <c r="S881" s="10"/>
      <c r="W881" s="42"/>
      <c r="X881" s="42"/>
      <c r="Y881" s="42"/>
    </row>
    <row r="882" spans="6:25" ht="15.75" customHeight="1">
      <c r="F882" s="10"/>
      <c r="J882" s="10"/>
      <c r="N882" s="10"/>
      <c r="R882" s="10"/>
      <c r="S882" s="10"/>
      <c r="W882" s="42"/>
      <c r="X882" s="42"/>
      <c r="Y882" s="42"/>
    </row>
    <row r="883" spans="6:25" ht="15.75" customHeight="1">
      <c r="F883" s="10"/>
      <c r="J883" s="10"/>
      <c r="N883" s="10"/>
      <c r="R883" s="10"/>
      <c r="S883" s="10"/>
      <c r="W883" s="42"/>
      <c r="X883" s="42"/>
      <c r="Y883" s="42"/>
    </row>
    <row r="884" spans="6:25" ht="15.75" customHeight="1">
      <c r="F884" s="10"/>
      <c r="J884" s="10"/>
      <c r="N884" s="10"/>
      <c r="R884" s="10"/>
      <c r="S884" s="10"/>
      <c r="W884" s="42"/>
      <c r="X884" s="42"/>
      <c r="Y884" s="42"/>
    </row>
    <row r="885" spans="6:25" ht="15.75" customHeight="1">
      <c r="F885" s="10"/>
      <c r="J885" s="10"/>
      <c r="N885" s="10"/>
      <c r="R885" s="10"/>
      <c r="S885" s="10"/>
      <c r="W885" s="42"/>
      <c r="X885" s="42"/>
      <c r="Y885" s="42"/>
    </row>
    <row r="886" spans="6:25" ht="15.75" customHeight="1">
      <c r="F886" s="10"/>
      <c r="J886" s="10"/>
      <c r="N886" s="10"/>
      <c r="R886" s="10"/>
      <c r="S886" s="10"/>
      <c r="W886" s="42"/>
      <c r="X886" s="42"/>
      <c r="Y886" s="42"/>
    </row>
    <row r="887" spans="6:25" ht="15.75" customHeight="1">
      <c r="F887" s="10"/>
      <c r="J887" s="10"/>
      <c r="N887" s="10"/>
      <c r="R887" s="10"/>
      <c r="S887" s="10"/>
      <c r="W887" s="42"/>
      <c r="X887" s="42"/>
      <c r="Y887" s="42"/>
    </row>
    <row r="888" spans="6:25" ht="15.75" customHeight="1">
      <c r="F888" s="10"/>
      <c r="J888" s="10"/>
      <c r="N888" s="10"/>
      <c r="R888" s="10"/>
      <c r="S888" s="10"/>
      <c r="W888" s="42"/>
      <c r="X888" s="42"/>
      <c r="Y888" s="42"/>
    </row>
    <row r="889" spans="6:25" ht="15.75" customHeight="1">
      <c r="F889" s="10"/>
      <c r="J889" s="10"/>
      <c r="N889" s="10"/>
      <c r="R889" s="10"/>
      <c r="S889" s="10"/>
      <c r="W889" s="42"/>
      <c r="X889" s="42"/>
      <c r="Y889" s="42"/>
    </row>
    <row r="890" spans="6:25" ht="15.75" customHeight="1">
      <c r="F890" s="10"/>
      <c r="J890" s="10"/>
      <c r="N890" s="10"/>
      <c r="R890" s="10"/>
      <c r="S890" s="10"/>
      <c r="W890" s="42"/>
      <c r="X890" s="42"/>
      <c r="Y890" s="42"/>
    </row>
    <row r="891" spans="6:25" ht="15.75" customHeight="1">
      <c r="F891" s="10"/>
      <c r="J891" s="10"/>
      <c r="N891" s="10"/>
      <c r="R891" s="10"/>
      <c r="S891" s="10"/>
      <c r="W891" s="42"/>
      <c r="X891" s="42"/>
      <c r="Y891" s="42"/>
    </row>
    <row r="892" spans="6:25" ht="15.75" customHeight="1">
      <c r="F892" s="10"/>
      <c r="J892" s="10"/>
      <c r="N892" s="10"/>
      <c r="R892" s="10"/>
      <c r="S892" s="10"/>
      <c r="W892" s="42"/>
      <c r="X892" s="42"/>
      <c r="Y892" s="42"/>
    </row>
    <row r="893" spans="6:25" ht="15.75" customHeight="1">
      <c r="F893" s="10"/>
      <c r="J893" s="10"/>
      <c r="N893" s="10"/>
      <c r="R893" s="10"/>
      <c r="S893" s="10"/>
      <c r="W893" s="42"/>
      <c r="X893" s="42"/>
      <c r="Y893" s="42"/>
    </row>
    <row r="894" spans="6:25" ht="15.75" customHeight="1">
      <c r="F894" s="10"/>
      <c r="J894" s="10"/>
      <c r="N894" s="10"/>
      <c r="R894" s="10"/>
      <c r="S894" s="10"/>
      <c r="W894" s="42"/>
      <c r="X894" s="42"/>
      <c r="Y894" s="42"/>
    </row>
    <row r="895" spans="6:25" ht="15.75" customHeight="1">
      <c r="F895" s="10"/>
      <c r="J895" s="10"/>
      <c r="N895" s="10"/>
      <c r="R895" s="10"/>
      <c r="S895" s="10"/>
      <c r="W895" s="42"/>
      <c r="X895" s="42"/>
      <c r="Y895" s="42"/>
    </row>
    <row r="896" spans="6:25" ht="15.75" customHeight="1">
      <c r="F896" s="10"/>
      <c r="J896" s="10"/>
      <c r="N896" s="10"/>
      <c r="R896" s="10"/>
      <c r="S896" s="10"/>
      <c r="W896" s="42"/>
      <c r="X896" s="42"/>
      <c r="Y896" s="42"/>
    </row>
    <row r="897" spans="6:25" ht="15.75" customHeight="1">
      <c r="F897" s="10"/>
      <c r="J897" s="10"/>
      <c r="N897" s="10"/>
      <c r="R897" s="10"/>
      <c r="S897" s="10"/>
      <c r="W897" s="42"/>
      <c r="X897" s="42"/>
      <c r="Y897" s="42"/>
    </row>
    <row r="898" spans="6:25" ht="15.75" customHeight="1">
      <c r="F898" s="10"/>
      <c r="J898" s="10"/>
      <c r="N898" s="10"/>
      <c r="R898" s="10"/>
      <c r="S898" s="10"/>
      <c r="W898" s="42"/>
      <c r="X898" s="42"/>
      <c r="Y898" s="42"/>
    </row>
    <row r="899" spans="6:25" ht="15.75" customHeight="1">
      <c r="F899" s="10"/>
      <c r="J899" s="10"/>
      <c r="N899" s="10"/>
      <c r="R899" s="10"/>
      <c r="S899" s="10"/>
      <c r="W899" s="42"/>
      <c r="X899" s="42"/>
      <c r="Y899" s="42"/>
    </row>
    <row r="900" spans="6:25" ht="15.75" customHeight="1">
      <c r="F900" s="10"/>
      <c r="J900" s="10"/>
      <c r="N900" s="10"/>
      <c r="R900" s="10"/>
      <c r="S900" s="10"/>
      <c r="W900" s="42"/>
      <c r="X900" s="42"/>
      <c r="Y900" s="42"/>
    </row>
    <row r="901" spans="6:25" ht="15.75" customHeight="1">
      <c r="F901" s="10"/>
      <c r="J901" s="10"/>
      <c r="N901" s="10"/>
      <c r="R901" s="10"/>
      <c r="S901" s="10"/>
      <c r="W901" s="42"/>
      <c r="X901" s="42"/>
      <c r="Y901" s="42"/>
    </row>
    <row r="902" spans="6:25" ht="15.75" customHeight="1">
      <c r="F902" s="10"/>
      <c r="J902" s="10"/>
      <c r="N902" s="10"/>
      <c r="R902" s="10"/>
      <c r="S902" s="10"/>
      <c r="W902" s="42"/>
      <c r="X902" s="42"/>
      <c r="Y902" s="42"/>
    </row>
    <row r="903" spans="6:25" ht="15.75" customHeight="1">
      <c r="F903" s="10"/>
      <c r="J903" s="10"/>
      <c r="N903" s="10"/>
      <c r="R903" s="10"/>
      <c r="S903" s="10"/>
      <c r="W903" s="42"/>
      <c r="X903" s="42"/>
      <c r="Y903" s="42"/>
    </row>
    <row r="904" spans="6:25" ht="15.75" customHeight="1">
      <c r="F904" s="10"/>
      <c r="J904" s="10"/>
      <c r="N904" s="10"/>
      <c r="R904" s="10"/>
      <c r="S904" s="10"/>
      <c r="W904" s="42"/>
      <c r="X904" s="42"/>
      <c r="Y904" s="42"/>
    </row>
    <row r="905" spans="6:25" ht="15.75" customHeight="1">
      <c r="F905" s="10"/>
      <c r="J905" s="10"/>
      <c r="N905" s="10"/>
      <c r="R905" s="10"/>
      <c r="S905" s="10"/>
      <c r="W905" s="42"/>
      <c r="X905" s="42"/>
      <c r="Y905" s="42"/>
    </row>
    <row r="906" spans="6:25" ht="15.75" customHeight="1">
      <c r="F906" s="10"/>
      <c r="J906" s="10"/>
      <c r="N906" s="10"/>
      <c r="R906" s="10"/>
      <c r="S906" s="10"/>
      <c r="W906" s="42"/>
      <c r="X906" s="42"/>
      <c r="Y906" s="42"/>
    </row>
    <row r="907" spans="6:25" ht="15.75" customHeight="1">
      <c r="F907" s="10"/>
      <c r="J907" s="10"/>
      <c r="N907" s="10"/>
      <c r="R907" s="10"/>
      <c r="S907" s="10"/>
      <c r="W907" s="42"/>
      <c r="X907" s="42"/>
      <c r="Y907" s="42"/>
    </row>
    <row r="908" spans="6:25" ht="15.75" customHeight="1">
      <c r="F908" s="10"/>
      <c r="J908" s="10"/>
      <c r="N908" s="10"/>
      <c r="R908" s="10"/>
      <c r="S908" s="10"/>
      <c r="W908" s="42"/>
      <c r="X908" s="42"/>
      <c r="Y908" s="42"/>
    </row>
    <row r="909" spans="6:25" ht="15.75" customHeight="1">
      <c r="F909" s="10"/>
      <c r="J909" s="10"/>
      <c r="N909" s="10"/>
      <c r="R909" s="10"/>
      <c r="S909" s="10"/>
      <c r="W909" s="42"/>
      <c r="X909" s="42"/>
      <c r="Y909" s="42"/>
    </row>
    <row r="910" spans="6:25" ht="15.75" customHeight="1">
      <c r="F910" s="10"/>
      <c r="J910" s="10"/>
      <c r="N910" s="10"/>
      <c r="R910" s="10"/>
      <c r="S910" s="10"/>
      <c r="W910" s="42"/>
      <c r="X910" s="42"/>
      <c r="Y910" s="42"/>
    </row>
    <row r="911" spans="6:25" ht="15.75" customHeight="1">
      <c r="F911" s="10"/>
      <c r="J911" s="10"/>
      <c r="N911" s="10"/>
      <c r="R911" s="10"/>
      <c r="S911" s="10"/>
      <c r="W911" s="42"/>
      <c r="X911" s="42"/>
      <c r="Y911" s="42"/>
    </row>
    <row r="912" spans="6:25" ht="15.75" customHeight="1">
      <c r="F912" s="10"/>
      <c r="J912" s="10"/>
      <c r="N912" s="10"/>
      <c r="R912" s="10"/>
      <c r="S912" s="10"/>
      <c r="W912" s="42"/>
      <c r="X912" s="42"/>
      <c r="Y912" s="42"/>
    </row>
    <row r="913" spans="6:25" ht="15.75" customHeight="1">
      <c r="F913" s="10"/>
      <c r="J913" s="10"/>
      <c r="N913" s="10"/>
      <c r="R913" s="10"/>
      <c r="S913" s="10"/>
      <c r="W913" s="42"/>
      <c r="X913" s="42"/>
      <c r="Y913" s="42"/>
    </row>
    <row r="914" spans="6:25" ht="15.75" customHeight="1">
      <c r="F914" s="10"/>
      <c r="J914" s="10"/>
      <c r="N914" s="10"/>
      <c r="R914" s="10"/>
      <c r="S914" s="10"/>
      <c r="W914" s="42"/>
      <c r="X914" s="42"/>
      <c r="Y914" s="42"/>
    </row>
    <row r="915" spans="6:25" ht="15.75" customHeight="1">
      <c r="F915" s="10"/>
      <c r="J915" s="10"/>
      <c r="N915" s="10"/>
      <c r="R915" s="10"/>
      <c r="S915" s="10"/>
      <c r="W915" s="42"/>
      <c r="X915" s="42"/>
      <c r="Y915" s="42"/>
    </row>
    <row r="916" spans="6:25" ht="15.75" customHeight="1">
      <c r="F916" s="10"/>
      <c r="J916" s="10"/>
      <c r="N916" s="10"/>
      <c r="R916" s="10"/>
      <c r="S916" s="10"/>
      <c r="W916" s="42"/>
      <c r="X916" s="42"/>
      <c r="Y916" s="42"/>
    </row>
    <row r="917" spans="6:25" ht="15.75" customHeight="1">
      <c r="F917" s="10"/>
      <c r="J917" s="10"/>
      <c r="N917" s="10"/>
      <c r="R917" s="10"/>
      <c r="S917" s="10"/>
      <c r="W917" s="42"/>
      <c r="X917" s="42"/>
      <c r="Y917" s="42"/>
    </row>
    <row r="918" spans="6:25" ht="15.75" customHeight="1">
      <c r="F918" s="10"/>
      <c r="J918" s="10"/>
      <c r="N918" s="10"/>
      <c r="R918" s="10"/>
      <c r="S918" s="10"/>
      <c r="W918" s="42"/>
      <c r="X918" s="42"/>
      <c r="Y918" s="42"/>
    </row>
    <row r="919" spans="6:25" ht="15.75" customHeight="1">
      <c r="F919" s="10"/>
      <c r="J919" s="10"/>
      <c r="N919" s="10"/>
      <c r="R919" s="10"/>
      <c r="S919" s="10"/>
      <c r="W919" s="42"/>
      <c r="X919" s="42"/>
      <c r="Y919" s="42"/>
    </row>
    <row r="920" spans="6:25" ht="15.75" customHeight="1">
      <c r="F920" s="10"/>
      <c r="J920" s="10"/>
      <c r="N920" s="10"/>
      <c r="R920" s="10"/>
      <c r="S920" s="10"/>
      <c r="W920" s="42"/>
      <c r="X920" s="42"/>
      <c r="Y920" s="42"/>
    </row>
    <row r="921" spans="6:25" ht="15.75" customHeight="1">
      <c r="F921" s="10"/>
      <c r="J921" s="10"/>
      <c r="N921" s="10"/>
      <c r="R921" s="10"/>
      <c r="S921" s="10"/>
      <c r="W921" s="42"/>
      <c r="X921" s="42"/>
      <c r="Y921" s="42"/>
    </row>
    <row r="922" spans="6:25" ht="15.75" customHeight="1">
      <c r="F922" s="10"/>
      <c r="J922" s="10"/>
      <c r="N922" s="10"/>
      <c r="R922" s="10"/>
      <c r="S922" s="10"/>
      <c r="W922" s="42"/>
      <c r="X922" s="42"/>
      <c r="Y922" s="42"/>
    </row>
    <row r="923" spans="6:25" ht="15.75" customHeight="1">
      <c r="F923" s="10"/>
      <c r="J923" s="10"/>
      <c r="N923" s="10"/>
      <c r="R923" s="10"/>
      <c r="S923" s="10"/>
      <c r="W923" s="42"/>
      <c r="X923" s="42"/>
      <c r="Y923" s="42"/>
    </row>
    <row r="924" spans="6:25" ht="15.75" customHeight="1">
      <c r="F924" s="10"/>
      <c r="J924" s="10"/>
      <c r="N924" s="10"/>
      <c r="R924" s="10"/>
      <c r="S924" s="10"/>
      <c r="W924" s="42"/>
      <c r="X924" s="42"/>
      <c r="Y924" s="42"/>
    </row>
    <row r="925" spans="6:25" ht="15.75" customHeight="1">
      <c r="F925" s="10"/>
      <c r="J925" s="10"/>
      <c r="N925" s="10"/>
      <c r="R925" s="10"/>
      <c r="S925" s="10"/>
      <c r="W925" s="42"/>
      <c r="X925" s="42"/>
      <c r="Y925" s="42"/>
    </row>
    <row r="926" spans="6:25" ht="15.75" customHeight="1">
      <c r="F926" s="10"/>
      <c r="J926" s="10"/>
      <c r="N926" s="10"/>
      <c r="R926" s="10"/>
      <c r="S926" s="10"/>
      <c r="W926" s="42"/>
      <c r="X926" s="42"/>
      <c r="Y926" s="42"/>
    </row>
    <row r="927" spans="6:25" ht="15.75" customHeight="1">
      <c r="F927" s="10"/>
      <c r="J927" s="10"/>
      <c r="N927" s="10"/>
      <c r="R927" s="10"/>
      <c r="S927" s="10"/>
      <c r="W927" s="42"/>
      <c r="X927" s="42"/>
      <c r="Y927" s="42"/>
    </row>
    <row r="928" spans="6:25" ht="15.75" customHeight="1">
      <c r="F928" s="10"/>
      <c r="J928" s="10"/>
      <c r="N928" s="10"/>
      <c r="R928" s="10"/>
      <c r="S928" s="10"/>
      <c r="W928" s="42"/>
      <c r="X928" s="42"/>
      <c r="Y928" s="42"/>
    </row>
    <row r="929" spans="6:25" ht="15.75" customHeight="1">
      <c r="F929" s="10"/>
      <c r="J929" s="10"/>
      <c r="N929" s="10"/>
      <c r="R929" s="10"/>
      <c r="S929" s="10"/>
      <c r="W929" s="42"/>
      <c r="X929" s="42"/>
      <c r="Y929" s="42"/>
    </row>
    <row r="930" spans="6:25" ht="15.75" customHeight="1">
      <c r="F930" s="10"/>
      <c r="J930" s="10"/>
      <c r="N930" s="10"/>
      <c r="R930" s="10"/>
      <c r="S930" s="10"/>
      <c r="W930" s="42"/>
      <c r="X930" s="42"/>
      <c r="Y930" s="42"/>
    </row>
    <row r="931" spans="6:25" ht="15.75" customHeight="1">
      <c r="F931" s="10"/>
      <c r="J931" s="10"/>
      <c r="N931" s="10"/>
      <c r="R931" s="10"/>
      <c r="S931" s="10"/>
      <c r="W931" s="42"/>
      <c r="X931" s="42"/>
      <c r="Y931" s="42"/>
    </row>
    <row r="932" spans="6:25" ht="15.75" customHeight="1">
      <c r="F932" s="10"/>
      <c r="J932" s="10"/>
      <c r="N932" s="10"/>
      <c r="R932" s="10"/>
      <c r="S932" s="10"/>
      <c r="W932" s="42"/>
      <c r="X932" s="42"/>
      <c r="Y932" s="42"/>
    </row>
    <row r="933" spans="6:25" ht="15.75" customHeight="1">
      <c r="F933" s="10"/>
      <c r="J933" s="10"/>
      <c r="N933" s="10"/>
      <c r="R933" s="10"/>
      <c r="S933" s="10"/>
      <c r="W933" s="42"/>
      <c r="X933" s="42"/>
      <c r="Y933" s="42"/>
    </row>
    <row r="934" spans="6:25" ht="15.75" customHeight="1">
      <c r="F934" s="10"/>
      <c r="J934" s="10"/>
      <c r="N934" s="10"/>
      <c r="R934" s="10"/>
      <c r="S934" s="10"/>
      <c r="W934" s="42"/>
      <c r="X934" s="42"/>
      <c r="Y934" s="42"/>
    </row>
    <row r="935" spans="6:25" ht="15.75" customHeight="1">
      <c r="F935" s="10"/>
      <c r="J935" s="10"/>
      <c r="N935" s="10"/>
      <c r="R935" s="10"/>
      <c r="S935" s="10"/>
      <c r="W935" s="42"/>
      <c r="X935" s="42"/>
      <c r="Y935" s="42"/>
    </row>
    <row r="936" spans="6:25" ht="15.75" customHeight="1">
      <c r="F936" s="10"/>
      <c r="J936" s="10"/>
      <c r="N936" s="10"/>
      <c r="R936" s="10"/>
      <c r="S936" s="10"/>
      <c r="W936" s="42"/>
      <c r="X936" s="42"/>
      <c r="Y936" s="42"/>
    </row>
    <row r="937" spans="6:25" ht="15.75" customHeight="1">
      <c r="F937" s="10"/>
      <c r="J937" s="10"/>
      <c r="N937" s="10"/>
      <c r="R937" s="10"/>
      <c r="S937" s="10"/>
      <c r="W937" s="42"/>
      <c r="X937" s="42"/>
      <c r="Y937" s="42"/>
    </row>
    <row r="938" spans="6:25" ht="15.75" customHeight="1">
      <c r="F938" s="10"/>
      <c r="J938" s="10"/>
      <c r="N938" s="10"/>
      <c r="R938" s="10"/>
      <c r="S938" s="10"/>
      <c r="W938" s="42"/>
      <c r="X938" s="42"/>
      <c r="Y938" s="42"/>
    </row>
    <row r="939" spans="6:25" ht="15.75" customHeight="1">
      <c r="F939" s="10"/>
      <c r="J939" s="10"/>
      <c r="N939" s="10"/>
      <c r="R939" s="10"/>
      <c r="S939" s="10"/>
      <c r="W939" s="42"/>
      <c r="X939" s="42"/>
      <c r="Y939" s="42"/>
    </row>
    <row r="940" spans="6:25" ht="15.75" customHeight="1">
      <c r="F940" s="10"/>
      <c r="J940" s="10"/>
      <c r="N940" s="10"/>
      <c r="R940" s="10"/>
      <c r="S940" s="10"/>
      <c r="W940" s="42"/>
      <c r="X940" s="42"/>
      <c r="Y940" s="42"/>
    </row>
    <row r="941" spans="6:25" ht="15.75" customHeight="1">
      <c r="F941" s="10"/>
      <c r="J941" s="10"/>
      <c r="N941" s="10"/>
      <c r="R941" s="10"/>
      <c r="S941" s="10"/>
      <c r="W941" s="42"/>
      <c r="X941" s="42"/>
      <c r="Y941" s="42"/>
    </row>
    <row r="942" spans="6:25" ht="15.75" customHeight="1">
      <c r="F942" s="10"/>
      <c r="J942" s="10"/>
      <c r="N942" s="10"/>
      <c r="R942" s="10"/>
      <c r="S942" s="10"/>
      <c r="W942" s="42"/>
      <c r="X942" s="42"/>
      <c r="Y942" s="42"/>
    </row>
    <row r="943" spans="6:25" ht="15.75" customHeight="1">
      <c r="F943" s="10"/>
      <c r="J943" s="10"/>
      <c r="N943" s="10"/>
      <c r="R943" s="10"/>
      <c r="S943" s="10"/>
      <c r="W943" s="42"/>
      <c r="X943" s="42"/>
      <c r="Y943" s="42"/>
    </row>
    <row r="944" spans="6:25" ht="15.75" customHeight="1">
      <c r="F944" s="10"/>
      <c r="J944" s="10"/>
      <c r="N944" s="10"/>
      <c r="R944" s="10"/>
      <c r="S944" s="10"/>
      <c r="W944" s="42"/>
      <c r="X944" s="42"/>
      <c r="Y944" s="42"/>
    </row>
    <row r="945" spans="6:25" ht="15.75" customHeight="1">
      <c r="F945" s="10"/>
      <c r="J945" s="10"/>
      <c r="N945" s="10"/>
      <c r="R945" s="10"/>
      <c r="S945" s="10"/>
      <c r="W945" s="42"/>
      <c r="X945" s="42"/>
      <c r="Y945" s="42"/>
    </row>
    <row r="946" spans="6:25" ht="15.75" customHeight="1">
      <c r="F946" s="10"/>
      <c r="J946" s="10"/>
      <c r="N946" s="10"/>
      <c r="R946" s="10"/>
      <c r="S946" s="10"/>
      <c r="W946" s="42"/>
      <c r="X946" s="42"/>
      <c r="Y946" s="42"/>
    </row>
    <row r="947" spans="6:25" ht="15.75" customHeight="1">
      <c r="F947" s="10"/>
      <c r="J947" s="10"/>
      <c r="N947" s="10"/>
      <c r="R947" s="10"/>
      <c r="S947" s="10"/>
      <c r="W947" s="42"/>
      <c r="X947" s="42"/>
      <c r="Y947" s="42"/>
    </row>
    <row r="948" spans="6:25" ht="15.75" customHeight="1">
      <c r="F948" s="10"/>
      <c r="J948" s="10"/>
      <c r="N948" s="10"/>
      <c r="R948" s="10"/>
      <c r="S948" s="10"/>
      <c r="W948" s="42"/>
      <c r="X948" s="42"/>
      <c r="Y948" s="42"/>
    </row>
    <row r="949" spans="6:25" ht="15.75" customHeight="1">
      <c r="F949" s="10"/>
      <c r="J949" s="10"/>
      <c r="N949" s="10"/>
      <c r="R949" s="10"/>
      <c r="S949" s="10"/>
      <c r="W949" s="42"/>
      <c r="X949" s="42"/>
      <c r="Y949" s="42"/>
    </row>
    <row r="950" spans="6:25" ht="15.75" customHeight="1">
      <c r="F950" s="10"/>
      <c r="J950" s="10"/>
      <c r="N950" s="10"/>
      <c r="R950" s="10"/>
      <c r="S950" s="10"/>
      <c r="W950" s="42"/>
      <c r="X950" s="42"/>
      <c r="Y950" s="42"/>
    </row>
    <row r="951" spans="6:25" ht="15.75" customHeight="1">
      <c r="F951" s="10"/>
      <c r="J951" s="10"/>
      <c r="N951" s="10"/>
      <c r="R951" s="10"/>
      <c r="S951" s="10"/>
      <c r="W951" s="42"/>
      <c r="X951" s="42"/>
      <c r="Y951" s="42"/>
    </row>
    <row r="952" spans="6:25" ht="15.75" customHeight="1">
      <c r="F952" s="10"/>
      <c r="J952" s="10"/>
      <c r="N952" s="10"/>
      <c r="R952" s="10"/>
      <c r="S952" s="10"/>
      <c r="W952" s="42"/>
      <c r="X952" s="42"/>
      <c r="Y952" s="42"/>
    </row>
    <row r="953" spans="6:25" ht="15.75" customHeight="1">
      <c r="F953" s="10"/>
      <c r="J953" s="10"/>
      <c r="N953" s="10"/>
      <c r="R953" s="10"/>
      <c r="S953" s="10"/>
      <c r="W953" s="42"/>
      <c r="X953" s="42"/>
      <c r="Y953" s="42"/>
    </row>
    <row r="954" spans="6:25" ht="15.75" customHeight="1">
      <c r="F954" s="10"/>
      <c r="J954" s="10"/>
      <c r="N954" s="10"/>
      <c r="R954" s="10"/>
      <c r="S954" s="10"/>
      <c r="W954" s="42"/>
      <c r="X954" s="42"/>
      <c r="Y954" s="42"/>
    </row>
    <row r="955" spans="6:25" ht="15.75" customHeight="1">
      <c r="F955" s="10"/>
      <c r="J955" s="10"/>
      <c r="N955" s="10"/>
      <c r="R955" s="10"/>
      <c r="S955" s="10"/>
      <c r="W955" s="42"/>
      <c r="X955" s="42"/>
      <c r="Y955" s="42"/>
    </row>
    <row r="956" spans="6:25" ht="15.75" customHeight="1">
      <c r="F956" s="10"/>
      <c r="J956" s="10"/>
      <c r="N956" s="10"/>
      <c r="R956" s="10"/>
      <c r="S956" s="10"/>
      <c r="W956" s="42"/>
      <c r="X956" s="42"/>
      <c r="Y956" s="42"/>
    </row>
    <row r="957" spans="6:25" ht="15.75" customHeight="1">
      <c r="F957" s="10"/>
      <c r="J957" s="10"/>
      <c r="N957" s="10"/>
      <c r="R957" s="10"/>
      <c r="S957" s="10"/>
      <c r="W957" s="42"/>
      <c r="X957" s="42"/>
      <c r="Y957" s="42"/>
    </row>
    <row r="958" spans="6:25" ht="15.75" customHeight="1">
      <c r="F958" s="10"/>
      <c r="J958" s="10"/>
      <c r="N958" s="10"/>
      <c r="R958" s="10"/>
      <c r="S958" s="10"/>
      <c r="W958" s="42"/>
      <c r="X958" s="42"/>
      <c r="Y958" s="42"/>
    </row>
    <row r="959" spans="6:25" ht="15.75" customHeight="1">
      <c r="F959" s="10"/>
      <c r="J959" s="10"/>
      <c r="N959" s="10"/>
      <c r="R959" s="10"/>
      <c r="S959" s="10"/>
      <c r="W959" s="42"/>
      <c r="X959" s="42"/>
      <c r="Y959" s="42"/>
    </row>
    <row r="960" spans="6:25" ht="15.75" customHeight="1">
      <c r="F960" s="10"/>
      <c r="J960" s="10"/>
      <c r="N960" s="10"/>
      <c r="R960" s="10"/>
      <c r="S960" s="10"/>
      <c r="W960" s="42"/>
      <c r="X960" s="42"/>
      <c r="Y960" s="42"/>
    </row>
    <row r="961" spans="6:25" ht="15.75" customHeight="1">
      <c r="F961" s="10"/>
      <c r="J961" s="10"/>
      <c r="N961" s="10"/>
      <c r="R961" s="10"/>
      <c r="S961" s="10"/>
      <c r="W961" s="42"/>
      <c r="X961" s="42"/>
      <c r="Y961" s="42"/>
    </row>
    <row r="962" spans="6:25" ht="15.75" customHeight="1">
      <c r="F962" s="10"/>
      <c r="J962" s="10"/>
      <c r="N962" s="10"/>
      <c r="R962" s="10"/>
      <c r="S962" s="10"/>
      <c r="W962" s="42"/>
      <c r="X962" s="42"/>
      <c r="Y962" s="42"/>
    </row>
    <row r="963" spans="6:25" ht="15.75" customHeight="1">
      <c r="F963" s="10"/>
      <c r="J963" s="10"/>
      <c r="N963" s="10"/>
      <c r="R963" s="10"/>
      <c r="S963" s="10"/>
      <c r="W963" s="42"/>
      <c r="X963" s="42"/>
      <c r="Y963" s="42"/>
    </row>
    <row r="964" spans="6:25" ht="15.75" customHeight="1">
      <c r="F964" s="10"/>
      <c r="J964" s="10"/>
      <c r="N964" s="10"/>
      <c r="R964" s="10"/>
      <c r="S964" s="10"/>
      <c r="W964" s="42"/>
      <c r="X964" s="42"/>
      <c r="Y964" s="42"/>
    </row>
    <row r="965" spans="6:25" ht="15.75" customHeight="1">
      <c r="F965" s="10"/>
      <c r="J965" s="10"/>
      <c r="N965" s="10"/>
      <c r="R965" s="10"/>
      <c r="S965" s="10"/>
      <c r="W965" s="42"/>
      <c r="X965" s="42"/>
      <c r="Y965" s="42"/>
    </row>
    <row r="966" spans="6:25" ht="15.75" customHeight="1">
      <c r="F966" s="10"/>
      <c r="J966" s="10"/>
      <c r="N966" s="10"/>
      <c r="R966" s="10"/>
      <c r="S966" s="10"/>
      <c r="W966" s="42"/>
      <c r="X966" s="42"/>
      <c r="Y966" s="42"/>
    </row>
    <row r="967" spans="6:25" ht="15.75" customHeight="1">
      <c r="F967" s="10"/>
      <c r="J967" s="10"/>
      <c r="N967" s="10"/>
      <c r="R967" s="10"/>
      <c r="S967" s="10"/>
      <c r="W967" s="42"/>
      <c r="X967" s="42"/>
      <c r="Y967" s="42"/>
    </row>
    <row r="968" spans="6:25" ht="15.75" customHeight="1">
      <c r="F968" s="10"/>
      <c r="J968" s="10"/>
      <c r="N968" s="10"/>
      <c r="R968" s="10"/>
      <c r="S968" s="10"/>
      <c r="W968" s="42"/>
      <c r="X968" s="42"/>
      <c r="Y968" s="42"/>
    </row>
    <row r="969" spans="6:25" ht="15.75" customHeight="1">
      <c r="F969" s="10"/>
      <c r="J969" s="10"/>
      <c r="N969" s="10"/>
      <c r="R969" s="10"/>
      <c r="S969" s="10"/>
      <c r="W969" s="42"/>
      <c r="X969" s="42"/>
      <c r="Y969" s="42"/>
    </row>
    <row r="970" spans="6:25" ht="15.75" customHeight="1">
      <c r="F970" s="10"/>
      <c r="J970" s="10"/>
      <c r="N970" s="10"/>
      <c r="R970" s="10"/>
      <c r="S970" s="10"/>
      <c r="W970" s="42"/>
      <c r="X970" s="42"/>
      <c r="Y970" s="42"/>
    </row>
    <row r="971" spans="6:25" ht="15.75" customHeight="1">
      <c r="F971" s="10"/>
      <c r="J971" s="10"/>
      <c r="N971" s="10"/>
      <c r="R971" s="10"/>
      <c r="S971" s="10"/>
      <c r="W971" s="42"/>
      <c r="X971" s="42"/>
      <c r="Y971" s="42"/>
    </row>
    <row r="972" spans="6:25" ht="15.75" customHeight="1">
      <c r="F972" s="10"/>
      <c r="J972" s="10"/>
      <c r="N972" s="10"/>
      <c r="R972" s="10"/>
      <c r="S972" s="10"/>
      <c r="W972" s="42"/>
      <c r="X972" s="42"/>
      <c r="Y972" s="42"/>
    </row>
    <row r="973" spans="6:25" ht="15.75" customHeight="1">
      <c r="F973" s="10"/>
      <c r="J973" s="10"/>
      <c r="N973" s="10"/>
      <c r="R973" s="10"/>
      <c r="S973" s="10"/>
      <c r="W973" s="42"/>
      <c r="X973" s="42"/>
      <c r="Y973" s="42"/>
    </row>
    <row r="974" spans="6:25" ht="15.75" customHeight="1">
      <c r="F974" s="10"/>
      <c r="J974" s="10"/>
      <c r="N974" s="10"/>
      <c r="R974" s="10"/>
      <c r="S974" s="10"/>
      <c r="W974" s="42"/>
      <c r="X974" s="42"/>
      <c r="Y974" s="42"/>
    </row>
    <row r="975" spans="6:25" ht="15.75" customHeight="1">
      <c r="F975" s="10"/>
      <c r="J975" s="10"/>
      <c r="N975" s="10"/>
      <c r="R975" s="10"/>
      <c r="S975" s="10"/>
      <c r="W975" s="42"/>
      <c r="X975" s="42"/>
      <c r="Y975" s="42"/>
    </row>
    <row r="976" spans="6:25" ht="15.75" customHeight="1">
      <c r="F976" s="10"/>
      <c r="J976" s="10"/>
      <c r="N976" s="10"/>
      <c r="R976" s="10"/>
      <c r="S976" s="10"/>
      <c r="W976" s="42"/>
      <c r="X976" s="42"/>
      <c r="Y976" s="42"/>
    </row>
    <row r="977" spans="6:25" ht="15.75" customHeight="1">
      <c r="F977" s="10"/>
      <c r="J977" s="10"/>
      <c r="N977" s="10"/>
      <c r="R977" s="10"/>
      <c r="S977" s="10"/>
      <c r="W977" s="42"/>
      <c r="X977" s="42"/>
      <c r="Y977" s="42"/>
    </row>
    <row r="978" spans="6:25" ht="15.75" customHeight="1">
      <c r="F978" s="10"/>
      <c r="J978" s="10"/>
      <c r="N978" s="10"/>
      <c r="R978" s="10"/>
      <c r="S978" s="10"/>
      <c r="W978" s="42"/>
      <c r="X978" s="42"/>
      <c r="Y978" s="42"/>
    </row>
    <row r="979" spans="6:25" ht="15.75" customHeight="1">
      <c r="F979" s="10"/>
      <c r="J979" s="10"/>
      <c r="N979" s="10"/>
      <c r="R979" s="10"/>
      <c r="S979" s="10"/>
      <c r="W979" s="42"/>
      <c r="X979" s="42"/>
      <c r="Y979" s="42"/>
    </row>
    <row r="980" spans="6:25" ht="15.75" customHeight="1">
      <c r="F980" s="10"/>
      <c r="J980" s="10"/>
      <c r="N980" s="10"/>
      <c r="R980" s="10"/>
      <c r="S980" s="10"/>
      <c r="W980" s="42"/>
      <c r="X980" s="42"/>
      <c r="Y980" s="42"/>
    </row>
    <row r="981" spans="6:25" ht="15.75" customHeight="1">
      <c r="F981" s="10"/>
      <c r="J981" s="10"/>
      <c r="N981" s="10"/>
      <c r="R981" s="10"/>
      <c r="S981" s="10"/>
      <c r="W981" s="42"/>
      <c r="X981" s="42"/>
      <c r="Y981" s="42"/>
    </row>
    <row r="982" spans="6:25" ht="15.75" customHeight="1">
      <c r="F982" s="10"/>
      <c r="J982" s="10"/>
      <c r="N982" s="10"/>
      <c r="R982" s="10"/>
      <c r="S982" s="10"/>
      <c r="W982" s="42"/>
      <c r="X982" s="42"/>
      <c r="Y982" s="42"/>
    </row>
    <row r="983" spans="6:25" ht="15.75" customHeight="1">
      <c r="F983" s="10"/>
      <c r="J983" s="10"/>
      <c r="N983" s="10"/>
      <c r="R983" s="10"/>
      <c r="S983" s="10"/>
      <c r="W983" s="42"/>
      <c r="X983" s="42"/>
      <c r="Y983" s="42"/>
    </row>
    <row r="984" spans="6:25" ht="15.75" customHeight="1">
      <c r="F984" s="10"/>
      <c r="J984" s="10"/>
      <c r="N984" s="10"/>
      <c r="R984" s="10"/>
      <c r="S984" s="10"/>
      <c r="W984" s="42"/>
      <c r="X984" s="42"/>
      <c r="Y984" s="42"/>
    </row>
    <row r="985" spans="6:25" ht="15.75" customHeight="1">
      <c r="F985" s="10"/>
      <c r="J985" s="10"/>
      <c r="N985" s="10"/>
      <c r="R985" s="10"/>
      <c r="S985" s="10"/>
      <c r="W985" s="42"/>
      <c r="X985" s="42"/>
      <c r="Y985" s="42"/>
    </row>
    <row r="986" spans="6:25" ht="15.75" customHeight="1">
      <c r="F986" s="10"/>
      <c r="J986" s="10"/>
      <c r="N986" s="10"/>
      <c r="R986" s="10"/>
      <c r="S986" s="10"/>
      <c r="W986" s="42"/>
      <c r="X986" s="42"/>
      <c r="Y986" s="42"/>
    </row>
    <row r="987" spans="6:25" ht="15.75" customHeight="1">
      <c r="F987" s="10"/>
      <c r="J987" s="10"/>
      <c r="N987" s="10"/>
      <c r="R987" s="10"/>
      <c r="S987" s="10"/>
      <c r="W987" s="42"/>
      <c r="X987" s="42"/>
      <c r="Y987" s="42"/>
    </row>
    <row r="988" spans="6:25" ht="15.75" customHeight="1">
      <c r="F988" s="10"/>
      <c r="J988" s="10"/>
      <c r="N988" s="10"/>
      <c r="R988" s="10"/>
      <c r="S988" s="10"/>
      <c r="W988" s="42"/>
      <c r="X988" s="42"/>
      <c r="Y988" s="42"/>
    </row>
    <row r="989" spans="6:25" ht="15.75" customHeight="1">
      <c r="F989" s="10"/>
      <c r="J989" s="10"/>
      <c r="N989" s="10"/>
      <c r="R989" s="10"/>
      <c r="S989" s="10"/>
      <c r="W989" s="42"/>
      <c r="X989" s="42"/>
      <c r="Y989" s="42"/>
    </row>
    <row r="990" spans="6:25" ht="15.75" customHeight="1">
      <c r="F990" s="10"/>
      <c r="J990" s="10"/>
      <c r="N990" s="10"/>
      <c r="R990" s="10"/>
      <c r="S990" s="10"/>
      <c r="W990" s="42"/>
      <c r="X990" s="42"/>
      <c r="Y990" s="42"/>
    </row>
    <row r="991" spans="6:25" ht="15.75" customHeight="1">
      <c r="F991" s="10"/>
      <c r="J991" s="10"/>
      <c r="N991" s="10"/>
      <c r="R991" s="10"/>
      <c r="S991" s="10"/>
      <c r="W991" s="42"/>
      <c r="X991" s="42"/>
      <c r="Y991" s="42"/>
    </row>
    <row r="992" spans="6:25" ht="15.75" customHeight="1">
      <c r="F992" s="10"/>
      <c r="J992" s="10"/>
      <c r="N992" s="10"/>
      <c r="R992" s="10"/>
      <c r="S992" s="10"/>
      <c r="W992" s="42"/>
      <c r="X992" s="42"/>
      <c r="Y992" s="42"/>
    </row>
    <row r="993" spans="6:25" ht="15.75" customHeight="1">
      <c r="F993" s="10"/>
      <c r="J993" s="10"/>
      <c r="N993" s="10"/>
      <c r="R993" s="10"/>
      <c r="S993" s="10"/>
      <c r="W993" s="42"/>
      <c r="X993" s="42"/>
      <c r="Y993" s="42"/>
    </row>
    <row r="994" spans="6:25" ht="15.75" customHeight="1">
      <c r="F994" s="10"/>
      <c r="J994" s="10"/>
      <c r="N994" s="10"/>
      <c r="R994" s="10"/>
      <c r="S994" s="10"/>
      <c r="W994" s="42"/>
      <c r="X994" s="42"/>
      <c r="Y994" s="42"/>
    </row>
    <row r="995" spans="6:25" ht="15.75" customHeight="1">
      <c r="F995" s="10"/>
      <c r="J995" s="10"/>
      <c r="N995" s="10"/>
      <c r="R995" s="10"/>
      <c r="S995" s="10"/>
      <c r="W995" s="42"/>
      <c r="X995" s="42"/>
      <c r="Y995" s="42"/>
    </row>
    <row r="996" spans="6:25" ht="15.75" customHeight="1">
      <c r="F996" s="10"/>
      <c r="J996" s="10"/>
      <c r="N996" s="10"/>
      <c r="R996" s="10"/>
      <c r="S996" s="10"/>
      <c r="W996" s="42"/>
      <c r="X996" s="42"/>
      <c r="Y996" s="42"/>
    </row>
    <row r="997" spans="6:25" ht="15.75" customHeight="1">
      <c r="F997" s="10"/>
      <c r="J997" s="10"/>
      <c r="N997" s="10"/>
      <c r="R997" s="10"/>
      <c r="S997" s="10"/>
      <c r="W997" s="42"/>
      <c r="X997" s="42"/>
      <c r="Y997" s="42"/>
    </row>
    <row r="998" spans="6:25" ht="15.75" customHeight="1">
      <c r="F998" s="10"/>
      <c r="J998" s="10"/>
      <c r="N998" s="10"/>
      <c r="R998" s="10"/>
      <c r="S998" s="10"/>
      <c r="W998" s="42"/>
      <c r="X998" s="42"/>
      <c r="Y998" s="42"/>
    </row>
    <row r="999" spans="6:25" ht="15.75" customHeight="1">
      <c r="F999" s="10"/>
      <c r="J999" s="10"/>
      <c r="N999" s="10"/>
      <c r="R999" s="10"/>
      <c r="S999" s="10"/>
      <c r="W999" s="42"/>
      <c r="X999" s="42"/>
      <c r="Y999" s="42"/>
    </row>
    <row r="1000" spans="6:25" ht="15.75" customHeight="1">
      <c r="F1000" s="10"/>
      <c r="J1000" s="10"/>
      <c r="N1000" s="10"/>
      <c r="R1000" s="10"/>
      <c r="S1000" s="10"/>
      <c r="W1000" s="42"/>
      <c r="X1000" s="42"/>
      <c r="Y1000" s="42"/>
    </row>
  </sheetData>
  <mergeCells count="5">
    <mergeCell ref="D6:F6"/>
    <mergeCell ref="H6:J6"/>
    <mergeCell ref="L6:N6"/>
    <mergeCell ref="P6:R6"/>
    <mergeCell ref="AB15:AF15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/>
  </sheetPr>
  <dimension ref="A1:AP1000"/>
  <sheetViews>
    <sheetView showGridLines="0" zoomScale="130" zoomScaleNormal="130" workbookViewId="0">
      <selection activeCell="H33" sqref="H33"/>
    </sheetView>
  </sheetViews>
  <sheetFormatPr defaultColWidth="12.54296875" defaultRowHeight="15" customHeight="1"/>
  <cols>
    <col min="1" max="2" width="1.7265625" customWidth="1"/>
    <col min="3" max="3" width="28.453125" customWidth="1"/>
    <col min="4" max="6" width="9" customWidth="1"/>
    <col min="7" max="7" width="1.7265625" customWidth="1"/>
    <col min="8" max="8" width="9" customWidth="1"/>
    <col min="9" max="10" width="1.7265625" customWidth="1"/>
    <col min="11" max="13" width="9.1796875" customWidth="1"/>
    <col min="14" max="17" width="8.54296875" customWidth="1"/>
    <col min="18" max="18" width="1.7265625" customWidth="1"/>
    <col min="19" max="42" width="8.54296875" customWidth="1"/>
  </cols>
  <sheetData>
    <row r="1" spans="1:42" ht="14.5">
      <c r="C1" s="70" t="s">
        <v>246</v>
      </c>
      <c r="D1" s="198">
        <f t="array" ref="D1">INDEX($C:$C,MATCH($M$12,$L:$L,0)+11)</f>
        <v>46112</v>
      </c>
      <c r="E1" s="198"/>
      <c r="H1" s="198"/>
      <c r="K1" s="42"/>
      <c r="L1" s="42"/>
      <c r="M1" s="42"/>
    </row>
    <row r="2" spans="1:42" ht="4.5" customHeight="1">
      <c r="K2" s="42"/>
      <c r="L2" s="42"/>
      <c r="M2" s="42"/>
    </row>
    <row r="3" spans="1:42" ht="14.5">
      <c r="C3" s="17" t="str">
        <f>Checks!$C$3</f>
        <v>Firefly Lane</v>
      </c>
      <c r="K3" s="42"/>
      <c r="L3" s="42"/>
      <c r="M3" s="42"/>
    </row>
    <row r="4" spans="1:42" ht="14.5">
      <c r="C4" s="3" t="s">
        <v>247</v>
      </c>
      <c r="K4" s="42"/>
      <c r="L4" s="42"/>
      <c r="M4" s="42"/>
    </row>
    <row r="5" spans="1:42" ht="14.5">
      <c r="A5" s="199"/>
      <c r="B5" s="199"/>
      <c r="C5" s="200"/>
      <c r="D5" s="201" t="s">
        <v>248</v>
      </c>
      <c r="E5" s="201" t="s">
        <v>249</v>
      </c>
      <c r="F5" s="201"/>
      <c r="G5" s="201"/>
      <c r="H5" s="201" t="s">
        <v>250</v>
      </c>
      <c r="I5" s="201"/>
      <c r="J5" s="201"/>
      <c r="K5" s="203"/>
      <c r="L5" s="203"/>
      <c r="M5" s="203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</row>
    <row r="6" spans="1:42" ht="14.5">
      <c r="C6" s="213"/>
      <c r="D6" s="520" t="s">
        <v>263</v>
      </c>
      <c r="E6" s="514"/>
      <c r="F6" s="515"/>
      <c r="H6" s="213"/>
      <c r="J6" s="214"/>
      <c r="K6" s="215"/>
      <c r="L6" s="215"/>
      <c r="M6" s="42"/>
    </row>
    <row r="7" spans="1:42" ht="14.5">
      <c r="C7" s="213" t="s">
        <v>252</v>
      </c>
      <c r="D7" s="213" t="s">
        <v>248</v>
      </c>
      <c r="E7" s="213" t="s">
        <v>249</v>
      </c>
      <c r="F7" s="213" t="s">
        <v>195</v>
      </c>
      <c r="H7" s="213" t="s">
        <v>264</v>
      </c>
      <c r="J7" s="214"/>
      <c r="K7" s="215" t="s">
        <v>254</v>
      </c>
      <c r="L7" s="215" t="s">
        <v>65</v>
      </c>
      <c r="M7" s="42"/>
    </row>
    <row r="8" spans="1:42" ht="4.5" customHeight="1">
      <c r="K8" s="206"/>
      <c r="L8" s="206"/>
      <c r="M8" s="206"/>
    </row>
    <row r="9" spans="1:42" ht="14.5">
      <c r="C9" s="33" t="s">
        <v>255</v>
      </c>
      <c r="K9" s="206"/>
      <c r="L9" s="206"/>
      <c r="M9" s="206"/>
    </row>
    <row r="10" spans="1:42" ht="14.5">
      <c r="C10" s="8">
        <f>Checks!D11</f>
        <v>2024</v>
      </c>
      <c r="D10" s="25">
        <f t="shared" ref="D10:F10" si="0">SUMIFS(D$19:D$67,$K$19:$K$67,$C10)</f>
        <v>65</v>
      </c>
      <c r="E10" s="25">
        <f t="shared" si="0"/>
        <v>117</v>
      </c>
      <c r="F10" s="25">
        <f t="shared" si="0"/>
        <v>182</v>
      </c>
      <c r="H10" s="25">
        <f t="shared" ref="H10:H11" si="1">SUMIFS(H$19:H$67,$K$19:$K$67,$C10)</f>
        <v>39</v>
      </c>
      <c r="K10" s="206"/>
      <c r="L10" s="206"/>
      <c r="M10" s="206"/>
    </row>
    <row r="11" spans="1:42" ht="14.5">
      <c r="C11" s="8">
        <f>Checks!D12</f>
        <v>2025</v>
      </c>
      <c r="D11" s="25">
        <f t="shared" ref="D11:F11" si="2">SUMIFS(D$19:D$67,$K$19:$K$67,$C11)</f>
        <v>40</v>
      </c>
      <c r="E11" s="25">
        <f t="shared" si="2"/>
        <v>75</v>
      </c>
      <c r="F11" s="25">
        <f t="shared" si="2"/>
        <v>115</v>
      </c>
      <c r="H11" s="25">
        <f t="shared" si="1"/>
        <v>37</v>
      </c>
      <c r="K11" s="206"/>
      <c r="L11" s="206"/>
      <c r="M11" s="206"/>
    </row>
    <row r="12" spans="1:42" ht="14.5">
      <c r="C12" s="8" t="str">
        <f>Checks!D13</f>
        <v>LTM Apr-26</v>
      </c>
      <c r="D12" s="25">
        <f t="shared" ref="D12:F12" si="3">SUMIFS(D$19:D$67,$L$19:$L$67,$M12)</f>
        <v>40</v>
      </c>
      <c r="E12" s="25">
        <f t="shared" si="3"/>
        <v>81</v>
      </c>
      <c r="F12" s="25">
        <f t="shared" si="3"/>
        <v>121</v>
      </c>
      <c r="H12" s="25">
        <f>SUMIFS(H$19:H$67,$L$19:$L$67,$M12)</f>
        <v>28</v>
      </c>
      <c r="K12" s="206"/>
      <c r="L12" s="206"/>
      <c r="M12" s="206" t="s">
        <v>256</v>
      </c>
      <c r="N12" s="206">
        <f>COUNTIFS($L:$L,M12)</f>
        <v>12</v>
      </c>
    </row>
    <row r="13" spans="1:42" ht="14.5">
      <c r="C13" s="8"/>
      <c r="D13" s="25"/>
      <c r="E13" s="25"/>
      <c r="F13" s="25"/>
      <c r="H13" s="25"/>
      <c r="K13" s="206"/>
      <c r="L13" s="206"/>
      <c r="M13" s="206"/>
    </row>
    <row r="14" spans="1:42" ht="14.5">
      <c r="C14" s="8" t="str">
        <f>"LTM "&amp;$C$1&amp;"-27"</f>
        <v>LTM May-27</v>
      </c>
      <c r="D14" s="25">
        <f t="shared" ref="D14:F14" si="4">SUMIFS(D$19:D$67,$L$19:$L$67,$M14)</f>
        <v>0</v>
      </c>
      <c r="E14" s="25">
        <f t="shared" si="4"/>
        <v>0</v>
      </c>
      <c r="F14" s="25">
        <f t="shared" si="4"/>
        <v>0</v>
      </c>
      <c r="H14" s="25">
        <f t="shared" ref="H14:H16" si="5">SUMIFS(H$19:H$67,$L$19:$L$67,$M14)</f>
        <v>0</v>
      </c>
      <c r="K14" s="206"/>
      <c r="L14" s="206"/>
      <c r="M14" s="206" t="s">
        <v>257</v>
      </c>
      <c r="N14" s="206">
        <f t="shared" ref="N14:N16" si="6">COUNTIFS($L:$L,M14)</f>
        <v>12</v>
      </c>
    </row>
    <row r="15" spans="1:42" ht="14.5">
      <c r="C15" s="8" t="str">
        <f>"LTM "&amp;$C$1&amp;"-28"</f>
        <v>LTM May-28</v>
      </c>
      <c r="D15" s="25">
        <f t="shared" ref="D15:F15" si="7">SUMIFS(D$19:D$67,$L$19:$L$67,$M15)</f>
        <v>0</v>
      </c>
      <c r="E15" s="25">
        <f t="shared" si="7"/>
        <v>0</v>
      </c>
      <c r="F15" s="25">
        <f t="shared" si="7"/>
        <v>0</v>
      </c>
      <c r="H15" s="25">
        <f t="shared" si="5"/>
        <v>0</v>
      </c>
      <c r="K15" s="206"/>
      <c r="L15" s="206"/>
      <c r="M15" s="206" t="s">
        <v>258</v>
      </c>
      <c r="N15" s="206">
        <f t="shared" si="6"/>
        <v>12</v>
      </c>
      <c r="P15" s="516" t="s">
        <v>259</v>
      </c>
      <c r="Q15" s="514"/>
      <c r="R15" s="514"/>
      <c r="S15" s="514"/>
      <c r="T15" s="515"/>
      <c r="V15" s="516" t="s">
        <v>265</v>
      </c>
      <c r="W15" s="514"/>
      <c r="X15" s="514"/>
      <c r="Y15" s="514"/>
      <c r="Z15" s="515"/>
      <c r="AB15" s="516" t="s">
        <v>250</v>
      </c>
      <c r="AC15" s="514"/>
      <c r="AD15" s="514"/>
      <c r="AE15" s="514"/>
      <c r="AF15" s="515"/>
    </row>
    <row r="16" spans="1:42" ht="14.5">
      <c r="C16" s="8" t="str">
        <f>"LTM "&amp;$C$1&amp;"-29"</f>
        <v>LTM May-29</v>
      </c>
      <c r="D16" s="25">
        <f t="shared" ref="D16:F16" si="8">SUMIFS(D$19:D$67,$L$19:$L$67,$M16)</f>
        <v>0</v>
      </c>
      <c r="E16" s="25">
        <f t="shared" si="8"/>
        <v>0</v>
      </c>
      <c r="F16" s="25">
        <f t="shared" si="8"/>
        <v>0</v>
      </c>
      <c r="H16" s="25">
        <f t="shared" si="5"/>
        <v>0</v>
      </c>
      <c r="K16" s="206"/>
      <c r="L16" s="206"/>
      <c r="M16" s="206" t="s">
        <v>260</v>
      </c>
      <c r="N16" s="206">
        <f t="shared" si="6"/>
        <v>12</v>
      </c>
      <c r="P16" s="19" t="s">
        <v>261</v>
      </c>
      <c r="Q16" s="19" t="s">
        <v>74</v>
      </c>
      <c r="R16" s="23"/>
      <c r="S16" s="19" t="s">
        <v>74</v>
      </c>
      <c r="T16" s="205" t="s">
        <v>262</v>
      </c>
      <c r="V16" s="19" t="s">
        <v>74</v>
      </c>
      <c r="W16" s="516" t="s">
        <v>266</v>
      </c>
      <c r="X16" s="515"/>
      <c r="Y16" s="205" t="s">
        <v>267</v>
      </c>
      <c r="Z16" s="205" t="s">
        <v>87</v>
      </c>
      <c r="AB16" s="19" t="s">
        <v>74</v>
      </c>
      <c r="AC16" s="516" t="s">
        <v>266</v>
      </c>
      <c r="AD16" s="515"/>
      <c r="AE16" s="205" t="s">
        <v>267</v>
      </c>
      <c r="AF16" s="205" t="s">
        <v>87</v>
      </c>
    </row>
    <row r="17" spans="3:32" ht="4.5" customHeight="1">
      <c r="C17" s="8"/>
      <c r="D17" s="25"/>
      <c r="E17" s="25"/>
      <c r="F17" s="25"/>
      <c r="H17" s="25"/>
      <c r="K17" s="206"/>
      <c r="L17" s="206"/>
      <c r="M17" s="206"/>
    </row>
    <row r="18" spans="3:32" ht="14.5">
      <c r="C18" s="33" t="s">
        <v>141</v>
      </c>
      <c r="K18" s="206"/>
      <c r="L18" s="206"/>
      <c r="M18" s="206"/>
    </row>
    <row r="19" spans="3:32" ht="14.5">
      <c r="C19" s="67">
        <v>45322</v>
      </c>
      <c r="D19" s="84">
        <f>COUNTIFS('24-25 events'!$H:$H,$C19,'24-25 events'!$N:$N,D$5)</f>
        <v>13</v>
      </c>
      <c r="E19" s="84">
        <f>COUNTIFS('24-25 events'!$H:$H,$C19,'24-25 events'!$N:$N,E$5)</f>
        <v>11</v>
      </c>
      <c r="F19" s="25">
        <f t="shared" ref="F19:F44" si="9">D19+E19</f>
        <v>24</v>
      </c>
      <c r="H19" s="84">
        <f>COUNTIFS('24-25 events'!$H:$H,$C19,'24-25 events'!$N:$N,H$5)</f>
        <v>1</v>
      </c>
      <c r="K19" s="206">
        <f t="shared" ref="K19:K44" si="10">YEAR(C19)</f>
        <v>2024</v>
      </c>
      <c r="L19" s="206"/>
      <c r="M19" s="207">
        <f t="array" ref="M19">INDEX('Adj. P&amp;L'!$3:$3,MATCH($C19,'Adj. P&amp;L'!$9:$9,0))</f>
        <v>0</v>
      </c>
      <c r="P19" s="208">
        <f t="shared" ref="P19:P42" si="11">IFERROR(F19/SUMIFS($F$19:$F$79,$K$19:$K$79,K19),"-")</f>
        <v>0.13186813186813187</v>
      </c>
      <c r="Q19" s="3">
        <v>1</v>
      </c>
      <c r="R19" s="208"/>
      <c r="S19" s="3">
        <v>1</v>
      </c>
      <c r="T19" s="63">
        <f t="shared" ref="T19:T30" si="12">ROUND(AVERAGEIFS($P$19:$P$79,$Q$19:$Q$79,S19),2)</f>
        <v>0.11</v>
      </c>
      <c r="V19" s="3">
        <v>1</v>
      </c>
      <c r="W19" s="3">
        <v>0</v>
      </c>
      <c r="X19" s="3">
        <v>30</v>
      </c>
      <c r="Y19" s="3">
        <f>COUNTIFS('24-25 events'!$J:$J,"&gt;="&amp;$W19,'24-25 events'!$J:$J,"&lt;="&amp;$X19,'24-25 events'!$N:$N,"Barn")+COUNTIFS('24-25 events'!$J:$J,"&gt;="&amp;$W19,'24-25 events'!$J:$J,"&lt;="&amp;$X19,'24-25 events'!$N:$N,"Chapel")</f>
        <v>0</v>
      </c>
      <c r="Z19" s="63">
        <f t="shared" ref="Z19:Z44" si="13">Y19/SUM($Y$19:$Y$55)</f>
        <v>0</v>
      </c>
      <c r="AB19" s="3">
        <v>1</v>
      </c>
      <c r="AC19" s="3">
        <v>0</v>
      </c>
      <c r="AD19" s="3">
        <v>30</v>
      </c>
      <c r="AE19" s="3">
        <f>COUNTIFS('24-25 events'!$J:$J,"&gt;="&amp;$W19,'24-25 events'!$J:$J,"&lt;="&amp;$X19,'24-25 events'!$N:$N,"Elopement")</f>
        <v>2</v>
      </c>
      <c r="AF19" s="63">
        <f t="shared" ref="AF19:AF44" si="14">AE19/SUM($AE$19:$AE$55)</f>
        <v>2.4390243902439025E-2</v>
      </c>
    </row>
    <row r="20" spans="3:32" ht="14.5">
      <c r="C20" s="67">
        <f t="shared" ref="C20:C44" si="15">EOMONTH(C19,1)</f>
        <v>45351</v>
      </c>
      <c r="D20" s="84">
        <f>COUNTIFS('24-25 events'!$H:$H,$C20,'24-25 events'!$N:$N,D$5)</f>
        <v>3</v>
      </c>
      <c r="E20" s="84">
        <f>COUNTIFS('24-25 events'!$H:$H,$C20,'24-25 events'!$N:$N,E$5)</f>
        <v>8</v>
      </c>
      <c r="F20" s="25">
        <f t="shared" si="9"/>
        <v>11</v>
      </c>
      <c r="H20" s="84">
        <f>COUNTIFS('24-25 events'!$H:$H,$C20,'24-25 events'!$N:$N,H$5)</f>
        <v>0</v>
      </c>
      <c r="K20" s="206">
        <f t="shared" si="10"/>
        <v>2024</v>
      </c>
      <c r="L20" s="206"/>
      <c r="M20" s="207">
        <f t="array" ref="M20">INDEX('Adj. P&amp;L'!$3:$3,MATCH($C20,'Adj. P&amp;L'!$9:$9,0))</f>
        <v>0</v>
      </c>
      <c r="P20" s="208">
        <f t="shared" si="11"/>
        <v>6.043956043956044E-2</v>
      </c>
      <c r="Q20" s="3">
        <f t="shared" ref="Q20:Q30" si="16">Q19+1</f>
        <v>2</v>
      </c>
      <c r="R20" s="208"/>
      <c r="S20" s="3">
        <f t="shared" ref="S20:S30" si="17">S19+1</f>
        <v>2</v>
      </c>
      <c r="T20" s="63">
        <f t="shared" si="12"/>
        <v>0.06</v>
      </c>
      <c r="V20" s="3">
        <f t="shared" ref="V20:V44" si="18">V19+1</f>
        <v>2</v>
      </c>
      <c r="W20" s="3">
        <f t="shared" ref="W20:W44" si="19">X19+1</f>
        <v>31</v>
      </c>
      <c r="X20" s="3">
        <f t="shared" ref="X20:X44" si="20">X19+30</f>
        <v>60</v>
      </c>
      <c r="Y20" s="3">
        <f>COUNTIFS('24-25 events'!$J:$J,"&gt;="&amp;$W20,'24-25 events'!$J:$J,"&lt;="&amp;$X20,'24-25 events'!$N:$N,"Barn")+COUNTIFS('24-25 events'!$J:$J,"&gt;="&amp;$W20,'24-25 events'!$J:$J,"&lt;="&amp;$X20,'24-25 events'!$N:$N,"Chapel")</f>
        <v>1</v>
      </c>
      <c r="Z20" s="63">
        <f t="shared" si="13"/>
        <v>2.242152466367713E-3</v>
      </c>
      <c r="AB20" s="3">
        <f t="shared" ref="AB20:AB44" si="21">AB19+1</f>
        <v>2</v>
      </c>
      <c r="AC20" s="3">
        <f t="shared" ref="AC20:AC44" si="22">AD19+1</f>
        <v>31</v>
      </c>
      <c r="AD20" s="3">
        <f t="shared" ref="AD20:AD44" si="23">AD19+30</f>
        <v>60</v>
      </c>
      <c r="AE20" s="3">
        <f>COUNTIFS('24-25 events'!$J:$J,"&gt;="&amp;$W20,'24-25 events'!$J:$J,"&lt;="&amp;$X20,'24-25 events'!$N:$N,"Elopement")</f>
        <v>6</v>
      </c>
      <c r="AF20" s="63">
        <f t="shared" si="14"/>
        <v>7.3170731707317069E-2</v>
      </c>
    </row>
    <row r="21" spans="3:32" ht="15.75" customHeight="1">
      <c r="C21" s="67">
        <f t="shared" si="15"/>
        <v>45382</v>
      </c>
      <c r="D21" s="84">
        <f>COUNTIFS('24-25 events'!$H:$H,$C21,'24-25 events'!$N:$N,D$5)</f>
        <v>9</v>
      </c>
      <c r="E21" s="84">
        <f>COUNTIFS('24-25 events'!$H:$H,$C21,'24-25 events'!$N:$N,E$5)</f>
        <v>11</v>
      </c>
      <c r="F21" s="25">
        <f t="shared" si="9"/>
        <v>20</v>
      </c>
      <c r="H21" s="84">
        <f>COUNTIFS('24-25 events'!$H:$H,$C21,'24-25 events'!$N:$N,H$5)</f>
        <v>4</v>
      </c>
      <c r="K21" s="206">
        <f t="shared" si="10"/>
        <v>2024</v>
      </c>
      <c r="L21" s="206"/>
      <c r="M21" s="207">
        <f t="array" ref="M21">INDEX('Adj. P&amp;L'!$3:$3,MATCH($C21,'Adj. P&amp;L'!$9:$9,0))</f>
        <v>0</v>
      </c>
      <c r="P21" s="208">
        <f t="shared" si="11"/>
        <v>0.10989010989010989</v>
      </c>
      <c r="Q21" s="3">
        <f t="shared" si="16"/>
        <v>3</v>
      </c>
      <c r="R21" s="208"/>
      <c r="S21" s="3">
        <f t="shared" si="17"/>
        <v>3</v>
      </c>
      <c r="T21" s="63">
        <f t="shared" si="12"/>
        <v>0.09</v>
      </c>
      <c r="V21" s="3">
        <f t="shared" si="18"/>
        <v>3</v>
      </c>
      <c r="W21" s="3">
        <f t="shared" si="19"/>
        <v>61</v>
      </c>
      <c r="X21" s="3">
        <f t="shared" si="20"/>
        <v>90</v>
      </c>
      <c r="Y21" s="3">
        <f>COUNTIFS('24-25 events'!$J:$J,"&gt;="&amp;$W21,'24-25 events'!$J:$J,"&lt;="&amp;$X21,'24-25 events'!$N:$N,"Barn")+COUNTIFS('24-25 events'!$J:$J,"&gt;="&amp;$W21,'24-25 events'!$J:$J,"&lt;="&amp;$X21,'24-25 events'!$N:$N,"Chapel")</f>
        <v>3</v>
      </c>
      <c r="Z21" s="63">
        <f t="shared" si="13"/>
        <v>6.7264573991031393E-3</v>
      </c>
      <c r="AB21" s="3">
        <f t="shared" si="21"/>
        <v>3</v>
      </c>
      <c r="AC21" s="3">
        <f t="shared" si="22"/>
        <v>61</v>
      </c>
      <c r="AD21" s="3">
        <f t="shared" si="23"/>
        <v>90</v>
      </c>
      <c r="AE21" s="3">
        <f>COUNTIFS('24-25 events'!$J:$J,"&gt;="&amp;$W21,'24-25 events'!$J:$J,"&lt;="&amp;$X21,'24-25 events'!$N:$N,"Elopement")</f>
        <v>4</v>
      </c>
      <c r="AF21" s="63">
        <f t="shared" si="14"/>
        <v>4.878048780487805E-2</v>
      </c>
    </row>
    <row r="22" spans="3:32" ht="15.75" customHeight="1">
      <c r="C22" s="67">
        <f t="shared" si="15"/>
        <v>45412</v>
      </c>
      <c r="D22" s="84">
        <f>COUNTIFS('24-25 events'!$H:$H,$C22,'24-25 events'!$N:$N,D$5)</f>
        <v>3</v>
      </c>
      <c r="E22" s="84">
        <f>COUNTIFS('24-25 events'!$H:$H,$C22,'24-25 events'!$N:$N,E$5)</f>
        <v>8</v>
      </c>
      <c r="F22" s="25">
        <f t="shared" si="9"/>
        <v>11</v>
      </c>
      <c r="H22" s="84">
        <f>COUNTIFS('24-25 events'!$H:$H,$C22,'24-25 events'!$N:$N,H$5)</f>
        <v>3</v>
      </c>
      <c r="K22" s="206">
        <f t="shared" si="10"/>
        <v>2024</v>
      </c>
      <c r="L22" s="206"/>
      <c r="M22" s="207">
        <f t="array" ref="M22">INDEX('Adj. P&amp;L'!$3:$3,MATCH($C22,'Adj. P&amp;L'!$9:$9,0))</f>
        <v>0</v>
      </c>
      <c r="P22" s="208">
        <f t="shared" si="11"/>
        <v>6.043956043956044E-2</v>
      </c>
      <c r="Q22" s="3">
        <f t="shared" si="16"/>
        <v>4</v>
      </c>
      <c r="R22" s="208"/>
      <c r="S22" s="3">
        <f t="shared" si="17"/>
        <v>4</v>
      </c>
      <c r="T22" s="63">
        <f t="shared" si="12"/>
        <v>7.0000000000000007E-2</v>
      </c>
      <c r="V22" s="3">
        <f t="shared" si="18"/>
        <v>4</v>
      </c>
      <c r="W22" s="3">
        <f t="shared" si="19"/>
        <v>91</v>
      </c>
      <c r="X22" s="3">
        <f t="shared" si="20"/>
        <v>120</v>
      </c>
      <c r="Y22" s="3">
        <f>COUNTIFS('24-25 events'!$J:$J,"&gt;="&amp;$W22,'24-25 events'!$J:$J,"&lt;="&amp;$X22,'24-25 events'!$N:$N,"Barn")+COUNTIFS('24-25 events'!$J:$J,"&gt;="&amp;$W22,'24-25 events'!$J:$J,"&lt;="&amp;$X22,'24-25 events'!$N:$N,"Chapel")</f>
        <v>4</v>
      </c>
      <c r="Z22" s="63">
        <f t="shared" si="13"/>
        <v>8.9686098654708519E-3</v>
      </c>
      <c r="AB22" s="216">
        <f t="shared" si="21"/>
        <v>4</v>
      </c>
      <c r="AC22" s="216">
        <f t="shared" si="22"/>
        <v>91</v>
      </c>
      <c r="AD22" s="216">
        <f t="shared" si="23"/>
        <v>120</v>
      </c>
      <c r="AE22" s="216">
        <f>COUNTIFS('24-25 events'!$J:$J,"&gt;="&amp;$W22,'24-25 events'!$J:$J,"&lt;="&amp;$X22,'24-25 events'!$N:$N,"Elopement")</f>
        <v>9</v>
      </c>
      <c r="AF22" s="217">
        <f t="shared" si="14"/>
        <v>0.10975609756097561</v>
      </c>
    </row>
    <row r="23" spans="3:32" ht="15.75" customHeight="1">
      <c r="C23" s="67">
        <f t="shared" si="15"/>
        <v>45443</v>
      </c>
      <c r="D23" s="84">
        <f>COUNTIFS('24-25 events'!$H:$H,$C23,'24-25 events'!$N:$N,D$5)</f>
        <v>4</v>
      </c>
      <c r="E23" s="84">
        <f>COUNTIFS('24-25 events'!$H:$H,$C23,'24-25 events'!$N:$N,E$5)</f>
        <v>14</v>
      </c>
      <c r="F23" s="25">
        <f t="shared" si="9"/>
        <v>18</v>
      </c>
      <c r="H23" s="84">
        <f>COUNTIFS('24-25 events'!$H:$H,$C23,'24-25 events'!$N:$N,H$5)</f>
        <v>5</v>
      </c>
      <c r="K23" s="206">
        <f t="shared" si="10"/>
        <v>2024</v>
      </c>
      <c r="L23" s="206"/>
      <c r="M23" s="207">
        <f t="array" ref="M23">INDEX('Adj. P&amp;L'!$3:$3,MATCH($C23,'Adj. P&amp;L'!$9:$9,0))</f>
        <v>0</v>
      </c>
      <c r="P23" s="208">
        <f t="shared" si="11"/>
        <v>9.8901098901098897E-2</v>
      </c>
      <c r="Q23" s="3">
        <f t="shared" si="16"/>
        <v>5</v>
      </c>
      <c r="R23" s="208"/>
      <c r="S23" s="3">
        <f t="shared" si="17"/>
        <v>5</v>
      </c>
      <c r="T23" s="63">
        <f t="shared" si="12"/>
        <v>7.0000000000000007E-2</v>
      </c>
      <c r="V23" s="3">
        <f t="shared" si="18"/>
        <v>5</v>
      </c>
      <c r="W23" s="3">
        <f t="shared" si="19"/>
        <v>121</v>
      </c>
      <c r="X23" s="3">
        <f t="shared" si="20"/>
        <v>150</v>
      </c>
      <c r="Y23" s="3">
        <f>COUNTIFS('24-25 events'!$J:$J,"&gt;="&amp;$W23,'24-25 events'!$J:$J,"&lt;="&amp;$X23,'24-25 events'!$N:$N,"Barn")+COUNTIFS('24-25 events'!$J:$J,"&gt;="&amp;$W23,'24-25 events'!$J:$J,"&lt;="&amp;$X23,'24-25 events'!$N:$N,"Chapel")</f>
        <v>6</v>
      </c>
      <c r="Z23" s="63">
        <f t="shared" si="13"/>
        <v>1.3452914798206279E-2</v>
      </c>
      <c r="AB23" s="216">
        <f t="shared" si="21"/>
        <v>5</v>
      </c>
      <c r="AC23" s="216">
        <f t="shared" si="22"/>
        <v>121</v>
      </c>
      <c r="AD23" s="216">
        <f t="shared" si="23"/>
        <v>150</v>
      </c>
      <c r="AE23" s="216">
        <f>COUNTIFS('24-25 events'!$J:$J,"&gt;="&amp;$W23,'24-25 events'!$J:$J,"&lt;="&amp;$X23,'24-25 events'!$N:$N,"Elopement")</f>
        <v>11</v>
      </c>
      <c r="AF23" s="217">
        <f t="shared" si="14"/>
        <v>0.13414634146341464</v>
      </c>
    </row>
    <row r="24" spans="3:32" ht="15.75" customHeight="1">
      <c r="C24" s="67">
        <f t="shared" si="15"/>
        <v>45473</v>
      </c>
      <c r="D24" s="84">
        <f>COUNTIFS('24-25 events'!$H:$H,$C24,'24-25 events'!$N:$N,D$5)</f>
        <v>7</v>
      </c>
      <c r="E24" s="84">
        <f>COUNTIFS('24-25 events'!$H:$H,$C24,'24-25 events'!$N:$N,E$5)</f>
        <v>15</v>
      </c>
      <c r="F24" s="25">
        <f t="shared" si="9"/>
        <v>22</v>
      </c>
      <c r="H24" s="84">
        <f>COUNTIFS('24-25 events'!$H:$H,$C24,'24-25 events'!$N:$N,H$5)</f>
        <v>1</v>
      </c>
      <c r="K24" s="206">
        <f t="shared" si="10"/>
        <v>2024</v>
      </c>
      <c r="L24" s="206"/>
      <c r="M24" s="207">
        <f t="array" ref="M24">INDEX('Adj. P&amp;L'!$3:$3,MATCH($C24,'Adj. P&amp;L'!$9:$9,0))</f>
        <v>0</v>
      </c>
      <c r="P24" s="208">
        <f t="shared" si="11"/>
        <v>0.12087912087912088</v>
      </c>
      <c r="Q24" s="3">
        <f t="shared" si="16"/>
        <v>6</v>
      </c>
      <c r="R24" s="208"/>
      <c r="S24" s="3">
        <f t="shared" si="17"/>
        <v>6</v>
      </c>
      <c r="T24" s="63">
        <f t="shared" si="12"/>
        <v>0.1</v>
      </c>
      <c r="V24" s="3">
        <f t="shared" si="18"/>
        <v>6</v>
      </c>
      <c r="W24" s="3">
        <f t="shared" si="19"/>
        <v>151</v>
      </c>
      <c r="X24" s="3">
        <f t="shared" si="20"/>
        <v>180</v>
      </c>
      <c r="Y24" s="3">
        <f>COUNTIFS('24-25 events'!$J:$J,"&gt;="&amp;$W24,'24-25 events'!$J:$J,"&lt;="&amp;$X24,'24-25 events'!$N:$N,"Barn")+COUNTIFS('24-25 events'!$J:$J,"&gt;="&amp;$W24,'24-25 events'!$J:$J,"&lt;="&amp;$X24,'24-25 events'!$N:$N,"Chapel")</f>
        <v>7</v>
      </c>
      <c r="Z24" s="63">
        <f t="shared" si="13"/>
        <v>1.5695067264573991E-2</v>
      </c>
      <c r="AB24" s="216">
        <f t="shared" si="21"/>
        <v>6</v>
      </c>
      <c r="AC24" s="216">
        <f t="shared" si="22"/>
        <v>151</v>
      </c>
      <c r="AD24" s="216">
        <f t="shared" si="23"/>
        <v>180</v>
      </c>
      <c r="AE24" s="216">
        <f>COUNTIFS('24-25 events'!$J:$J,"&gt;="&amp;$W24,'24-25 events'!$J:$J,"&lt;="&amp;$X24,'24-25 events'!$N:$N,"Elopement")</f>
        <v>4</v>
      </c>
      <c r="AF24" s="217">
        <f t="shared" si="14"/>
        <v>4.878048780487805E-2</v>
      </c>
    </row>
    <row r="25" spans="3:32" ht="15.75" customHeight="1">
      <c r="C25" s="67">
        <f t="shared" si="15"/>
        <v>45504</v>
      </c>
      <c r="D25" s="84">
        <f>COUNTIFS('24-25 events'!$H:$H,$C25,'24-25 events'!$N:$N,D$5)</f>
        <v>9</v>
      </c>
      <c r="E25" s="84">
        <f>COUNTIFS('24-25 events'!$H:$H,$C25,'24-25 events'!$N:$N,E$5)</f>
        <v>13</v>
      </c>
      <c r="F25" s="25">
        <f t="shared" si="9"/>
        <v>22</v>
      </c>
      <c r="H25" s="84">
        <f>COUNTIFS('24-25 events'!$H:$H,$C25,'24-25 events'!$N:$N,H$5)</f>
        <v>3</v>
      </c>
      <c r="K25" s="206">
        <f t="shared" si="10"/>
        <v>2024</v>
      </c>
      <c r="L25" s="206"/>
      <c r="M25" s="207">
        <f t="array" ref="M25">INDEX('Adj. P&amp;L'!$3:$3,MATCH($C25,'Adj. P&amp;L'!$9:$9,0))</f>
        <v>0</v>
      </c>
      <c r="P25" s="208">
        <f t="shared" si="11"/>
        <v>0.12087912087912088</v>
      </c>
      <c r="Q25" s="3">
        <f t="shared" si="16"/>
        <v>7</v>
      </c>
      <c r="R25" s="208"/>
      <c r="S25" s="3">
        <f t="shared" si="17"/>
        <v>7</v>
      </c>
      <c r="T25" s="63">
        <f t="shared" si="12"/>
        <v>0.14000000000000001</v>
      </c>
      <c r="V25" s="3">
        <f t="shared" si="18"/>
        <v>7</v>
      </c>
      <c r="W25" s="3">
        <f t="shared" si="19"/>
        <v>181</v>
      </c>
      <c r="X25" s="3">
        <f t="shared" si="20"/>
        <v>210</v>
      </c>
      <c r="Y25" s="3">
        <f>COUNTIFS('24-25 events'!$J:$J,"&gt;="&amp;$W25,'24-25 events'!$J:$J,"&lt;="&amp;$X25,'24-25 events'!$N:$N,"Barn")+COUNTIFS('24-25 events'!$J:$J,"&gt;="&amp;$W25,'24-25 events'!$J:$J,"&lt;="&amp;$X25,'24-25 events'!$N:$N,"Chapel")</f>
        <v>14</v>
      </c>
      <c r="Z25" s="63">
        <f t="shared" si="13"/>
        <v>3.1390134529147982E-2</v>
      </c>
      <c r="AB25" s="216">
        <f t="shared" si="21"/>
        <v>7</v>
      </c>
      <c r="AC25" s="216">
        <f t="shared" si="22"/>
        <v>181</v>
      </c>
      <c r="AD25" s="216">
        <f t="shared" si="23"/>
        <v>210</v>
      </c>
      <c r="AE25" s="216">
        <f>COUNTIFS('24-25 events'!$J:$J,"&gt;="&amp;$W25,'24-25 events'!$J:$J,"&lt;="&amp;$X25,'24-25 events'!$N:$N,"Elopement")</f>
        <v>8</v>
      </c>
      <c r="AF25" s="217">
        <f t="shared" si="14"/>
        <v>9.7560975609756101E-2</v>
      </c>
    </row>
    <row r="26" spans="3:32" ht="15.75" customHeight="1">
      <c r="C26" s="67">
        <f t="shared" si="15"/>
        <v>45535</v>
      </c>
      <c r="D26" s="84">
        <f>COUNTIFS('24-25 events'!$H:$H,$C26,'24-25 events'!$N:$N,D$5)</f>
        <v>8</v>
      </c>
      <c r="E26" s="84">
        <f>COUNTIFS('24-25 events'!$H:$H,$C26,'24-25 events'!$N:$N,E$5)</f>
        <v>9</v>
      </c>
      <c r="F26" s="25">
        <f t="shared" si="9"/>
        <v>17</v>
      </c>
      <c r="H26" s="84">
        <f>COUNTIFS('24-25 events'!$H:$H,$C26,'24-25 events'!$N:$N,H$5)</f>
        <v>5</v>
      </c>
      <c r="K26" s="206">
        <f t="shared" si="10"/>
        <v>2024</v>
      </c>
      <c r="L26" s="206"/>
      <c r="M26" s="207">
        <f t="array" ref="M26">INDEX('Adj. P&amp;L'!$3:$3,MATCH($C26,'Adj. P&amp;L'!$9:$9,0))</f>
        <v>0</v>
      </c>
      <c r="P26" s="208">
        <f t="shared" si="11"/>
        <v>9.3406593406593408E-2</v>
      </c>
      <c r="Q26" s="3">
        <f t="shared" si="16"/>
        <v>8</v>
      </c>
      <c r="R26" s="208"/>
      <c r="S26" s="3">
        <f t="shared" si="17"/>
        <v>8</v>
      </c>
      <c r="T26" s="63">
        <f t="shared" si="12"/>
        <v>0.12</v>
      </c>
      <c r="V26" s="3">
        <f t="shared" si="18"/>
        <v>8</v>
      </c>
      <c r="W26" s="3">
        <f t="shared" si="19"/>
        <v>211</v>
      </c>
      <c r="X26" s="3">
        <f t="shared" si="20"/>
        <v>240</v>
      </c>
      <c r="Y26" s="3">
        <f>COUNTIFS('24-25 events'!$J:$J,"&gt;="&amp;$W26,'24-25 events'!$J:$J,"&lt;="&amp;$X26,'24-25 events'!$N:$N,"Barn")+COUNTIFS('24-25 events'!$J:$J,"&gt;="&amp;$W26,'24-25 events'!$J:$J,"&lt;="&amp;$X26,'24-25 events'!$N:$N,"Chapel")</f>
        <v>20</v>
      </c>
      <c r="Z26" s="63">
        <f t="shared" si="13"/>
        <v>4.4843049327354258E-2</v>
      </c>
      <c r="AB26" s="216">
        <f t="shared" si="21"/>
        <v>8</v>
      </c>
      <c r="AC26" s="216">
        <f t="shared" si="22"/>
        <v>211</v>
      </c>
      <c r="AD26" s="216">
        <f t="shared" si="23"/>
        <v>240</v>
      </c>
      <c r="AE26" s="216">
        <f>COUNTIFS('24-25 events'!$J:$J,"&gt;="&amp;$W26,'24-25 events'!$J:$J,"&lt;="&amp;$X26,'24-25 events'!$N:$N,"Elopement")</f>
        <v>12</v>
      </c>
      <c r="AF26" s="217">
        <f t="shared" si="14"/>
        <v>0.14634146341463414</v>
      </c>
    </row>
    <row r="27" spans="3:32" ht="15.75" customHeight="1">
      <c r="C27" s="67">
        <f t="shared" si="15"/>
        <v>45565</v>
      </c>
      <c r="D27" s="84">
        <f>COUNTIFS('24-25 events'!$H:$H,$C27,'24-25 events'!$N:$N,D$5)</f>
        <v>1</v>
      </c>
      <c r="E27" s="84">
        <f>COUNTIFS('24-25 events'!$H:$H,$C27,'24-25 events'!$N:$N,E$5)</f>
        <v>12</v>
      </c>
      <c r="F27" s="25">
        <f t="shared" si="9"/>
        <v>13</v>
      </c>
      <c r="H27" s="84">
        <f>COUNTIFS('24-25 events'!$H:$H,$C27,'24-25 events'!$N:$N,H$5)</f>
        <v>2</v>
      </c>
      <c r="K27" s="206">
        <f t="shared" si="10"/>
        <v>2024</v>
      </c>
      <c r="L27" s="206"/>
      <c r="M27" s="207">
        <f t="array" ref="M27">INDEX('Adj. P&amp;L'!$3:$3,MATCH($C27,'Adj. P&amp;L'!$9:$9,0))</f>
        <v>0</v>
      </c>
      <c r="P27" s="208">
        <f t="shared" si="11"/>
        <v>7.1428571428571425E-2</v>
      </c>
      <c r="Q27" s="3">
        <f t="shared" si="16"/>
        <v>9</v>
      </c>
      <c r="R27" s="208"/>
      <c r="S27" s="3">
        <f t="shared" si="17"/>
        <v>9</v>
      </c>
      <c r="T27" s="63">
        <f t="shared" si="12"/>
        <v>0.08</v>
      </c>
      <c r="V27" s="3">
        <f t="shared" si="18"/>
        <v>9</v>
      </c>
      <c r="W27" s="3">
        <f t="shared" si="19"/>
        <v>241</v>
      </c>
      <c r="X27" s="3">
        <f t="shared" si="20"/>
        <v>270</v>
      </c>
      <c r="Y27" s="3">
        <f>COUNTIFS('24-25 events'!$J:$J,"&gt;="&amp;$W27,'24-25 events'!$J:$J,"&lt;="&amp;$X27,'24-25 events'!$N:$N,"Barn")+COUNTIFS('24-25 events'!$J:$J,"&gt;="&amp;$W27,'24-25 events'!$J:$J,"&lt;="&amp;$X27,'24-25 events'!$N:$N,"Chapel")</f>
        <v>13</v>
      </c>
      <c r="Z27" s="63">
        <f t="shared" si="13"/>
        <v>2.914798206278027E-2</v>
      </c>
      <c r="AB27" s="3">
        <f t="shared" si="21"/>
        <v>9</v>
      </c>
      <c r="AC27" s="3">
        <f t="shared" si="22"/>
        <v>241</v>
      </c>
      <c r="AD27" s="3">
        <f t="shared" si="23"/>
        <v>270</v>
      </c>
      <c r="AE27" s="3">
        <f>COUNTIFS('24-25 events'!$J:$J,"&gt;="&amp;$W27,'24-25 events'!$J:$J,"&lt;="&amp;$X27,'24-25 events'!$N:$N,"Elopement")</f>
        <v>3</v>
      </c>
      <c r="AF27" s="63">
        <f t="shared" si="14"/>
        <v>3.6585365853658534E-2</v>
      </c>
    </row>
    <row r="28" spans="3:32" ht="15.75" customHeight="1">
      <c r="C28" s="67">
        <f t="shared" si="15"/>
        <v>45596</v>
      </c>
      <c r="D28" s="84">
        <f>COUNTIFS('24-25 events'!$H:$H,$C28,'24-25 events'!$N:$N,D$5)</f>
        <v>6</v>
      </c>
      <c r="E28" s="84">
        <f>COUNTIFS('24-25 events'!$H:$H,$C28,'24-25 events'!$N:$N,E$5)</f>
        <v>9</v>
      </c>
      <c r="F28" s="25">
        <f t="shared" si="9"/>
        <v>15</v>
      </c>
      <c r="H28" s="84">
        <f>COUNTIFS('24-25 events'!$H:$H,$C28,'24-25 events'!$N:$N,H$5)</f>
        <v>5</v>
      </c>
      <c r="K28" s="206">
        <f t="shared" si="10"/>
        <v>2024</v>
      </c>
      <c r="L28" s="206"/>
      <c r="M28" s="207">
        <f t="array" ref="M28">INDEX('Adj. P&amp;L'!$3:$3,MATCH($C28,'Adj. P&amp;L'!$9:$9,0))</f>
        <v>0</v>
      </c>
      <c r="P28" s="208">
        <f t="shared" si="11"/>
        <v>8.2417582417582416E-2</v>
      </c>
      <c r="Q28" s="3">
        <f t="shared" si="16"/>
        <v>10</v>
      </c>
      <c r="R28" s="208"/>
      <c r="S28" s="3">
        <f t="shared" si="17"/>
        <v>10</v>
      </c>
      <c r="T28" s="63">
        <f t="shared" si="12"/>
        <v>0.06</v>
      </c>
      <c r="V28" s="3">
        <f t="shared" si="18"/>
        <v>10</v>
      </c>
      <c r="W28" s="3">
        <f t="shared" si="19"/>
        <v>271</v>
      </c>
      <c r="X28" s="3">
        <f t="shared" si="20"/>
        <v>300</v>
      </c>
      <c r="Y28" s="3">
        <f>COUNTIFS('24-25 events'!$J:$J,"&gt;="&amp;$W28,'24-25 events'!$J:$J,"&lt;="&amp;$X28,'24-25 events'!$N:$N,"Barn")+COUNTIFS('24-25 events'!$J:$J,"&gt;="&amp;$W28,'24-25 events'!$J:$J,"&lt;="&amp;$X28,'24-25 events'!$N:$N,"Chapel")</f>
        <v>28</v>
      </c>
      <c r="Z28" s="63">
        <f t="shared" si="13"/>
        <v>6.2780269058295965E-2</v>
      </c>
      <c r="AB28" s="3">
        <f t="shared" si="21"/>
        <v>10</v>
      </c>
      <c r="AC28" s="3">
        <f t="shared" si="22"/>
        <v>271</v>
      </c>
      <c r="AD28" s="3">
        <f t="shared" si="23"/>
        <v>300</v>
      </c>
      <c r="AE28" s="3">
        <f>COUNTIFS('24-25 events'!$J:$J,"&gt;="&amp;$W28,'24-25 events'!$J:$J,"&lt;="&amp;$X28,'24-25 events'!$N:$N,"Elopement")</f>
        <v>6</v>
      </c>
      <c r="AF28" s="63">
        <f t="shared" si="14"/>
        <v>7.3170731707317069E-2</v>
      </c>
    </row>
    <row r="29" spans="3:32" ht="15.75" customHeight="1">
      <c r="C29" s="67">
        <f t="shared" si="15"/>
        <v>45626</v>
      </c>
      <c r="D29" s="84">
        <f>COUNTIFS('24-25 events'!$H:$H,$C29,'24-25 events'!$N:$N,D$5)</f>
        <v>1</v>
      </c>
      <c r="E29" s="84">
        <f>COUNTIFS('24-25 events'!$H:$H,$C29,'24-25 events'!$N:$N,E$5)</f>
        <v>4</v>
      </c>
      <c r="F29" s="25">
        <f t="shared" si="9"/>
        <v>5</v>
      </c>
      <c r="H29" s="84">
        <f>COUNTIFS('24-25 events'!$H:$H,$C29,'24-25 events'!$N:$N,H$5)</f>
        <v>5</v>
      </c>
      <c r="K29" s="206">
        <f t="shared" si="10"/>
        <v>2024</v>
      </c>
      <c r="L29" s="206"/>
      <c r="M29" s="207">
        <f t="array" ref="M29">INDEX('Adj. P&amp;L'!$3:$3,MATCH($C29,'Adj. P&amp;L'!$9:$9,0))</f>
        <v>0</v>
      </c>
      <c r="P29" s="208">
        <f t="shared" si="11"/>
        <v>2.7472527472527472E-2</v>
      </c>
      <c r="Q29" s="3">
        <f t="shared" si="16"/>
        <v>11</v>
      </c>
      <c r="R29" s="208"/>
      <c r="S29" s="3">
        <f t="shared" si="17"/>
        <v>11</v>
      </c>
      <c r="T29" s="63">
        <f t="shared" si="12"/>
        <v>7.0000000000000007E-2</v>
      </c>
      <c r="V29" s="3">
        <f t="shared" si="18"/>
        <v>11</v>
      </c>
      <c r="W29" s="3">
        <f t="shared" si="19"/>
        <v>301</v>
      </c>
      <c r="X29" s="3">
        <f t="shared" si="20"/>
        <v>330</v>
      </c>
      <c r="Y29" s="3">
        <f>COUNTIFS('24-25 events'!$J:$J,"&gt;="&amp;$W29,'24-25 events'!$J:$J,"&lt;="&amp;$X29,'24-25 events'!$N:$N,"Barn")+COUNTIFS('24-25 events'!$J:$J,"&gt;="&amp;$W29,'24-25 events'!$J:$J,"&lt;="&amp;$X29,'24-25 events'!$N:$N,"Chapel")</f>
        <v>30</v>
      </c>
      <c r="Z29" s="63">
        <f t="shared" si="13"/>
        <v>6.726457399103139E-2</v>
      </c>
      <c r="AB29" s="3">
        <f t="shared" si="21"/>
        <v>11</v>
      </c>
      <c r="AC29" s="3">
        <f t="shared" si="22"/>
        <v>301</v>
      </c>
      <c r="AD29" s="3">
        <f t="shared" si="23"/>
        <v>330</v>
      </c>
      <c r="AE29" s="3">
        <f>COUNTIFS('24-25 events'!$J:$J,"&gt;="&amp;$W29,'24-25 events'!$J:$J,"&lt;="&amp;$X29,'24-25 events'!$N:$N,"Elopement")</f>
        <v>3</v>
      </c>
      <c r="AF29" s="63">
        <f t="shared" si="14"/>
        <v>3.6585365853658534E-2</v>
      </c>
    </row>
    <row r="30" spans="3:32" ht="15.75" customHeight="1">
      <c r="C30" s="67">
        <f t="shared" si="15"/>
        <v>45657</v>
      </c>
      <c r="D30" s="84">
        <f>COUNTIFS('24-25 events'!$H:$H,$C30,'24-25 events'!$N:$N,D$5)</f>
        <v>1</v>
      </c>
      <c r="E30" s="84">
        <f>COUNTIFS('24-25 events'!$H:$H,$C30,'24-25 events'!$N:$N,E$5)</f>
        <v>3</v>
      </c>
      <c r="F30" s="25">
        <f t="shared" si="9"/>
        <v>4</v>
      </c>
      <c r="H30" s="84">
        <f>COUNTIFS('24-25 events'!$H:$H,$C30,'24-25 events'!$N:$N,H$5)</f>
        <v>5</v>
      </c>
      <c r="K30" s="206">
        <f t="shared" si="10"/>
        <v>2024</v>
      </c>
      <c r="L30" s="206"/>
      <c r="M30" s="207">
        <f t="array" ref="M30">INDEX('Adj. P&amp;L'!$3:$3,MATCH($C30,'Adj. P&amp;L'!$9:$9,0))</f>
        <v>0</v>
      </c>
      <c r="P30" s="208">
        <f t="shared" si="11"/>
        <v>2.197802197802198E-2</v>
      </c>
      <c r="Q30" s="3">
        <f t="shared" si="16"/>
        <v>12</v>
      </c>
      <c r="R30" s="208"/>
      <c r="S30" s="3">
        <f t="shared" si="17"/>
        <v>12</v>
      </c>
      <c r="T30" s="63">
        <f t="shared" si="12"/>
        <v>0.04</v>
      </c>
      <c r="V30" s="216">
        <f t="shared" si="18"/>
        <v>12</v>
      </c>
      <c r="W30" s="216">
        <f t="shared" si="19"/>
        <v>331</v>
      </c>
      <c r="X30" s="216">
        <f t="shared" si="20"/>
        <v>360</v>
      </c>
      <c r="Y30" s="216">
        <f>COUNTIFS('24-25 events'!$J:$J,"&gt;="&amp;$W30,'24-25 events'!$J:$J,"&lt;="&amp;$X30,'24-25 events'!$N:$N,"Barn")+COUNTIFS('24-25 events'!$J:$J,"&gt;="&amp;$W30,'24-25 events'!$J:$J,"&lt;="&amp;$X30,'24-25 events'!$N:$N,"Chapel")</f>
        <v>39</v>
      </c>
      <c r="Z30" s="217">
        <f t="shared" si="13"/>
        <v>8.744394618834081E-2</v>
      </c>
      <c r="AB30" s="3">
        <f t="shared" si="21"/>
        <v>12</v>
      </c>
      <c r="AC30" s="3">
        <f t="shared" si="22"/>
        <v>331</v>
      </c>
      <c r="AD30" s="3">
        <f t="shared" si="23"/>
        <v>360</v>
      </c>
      <c r="AE30" s="3">
        <f>COUNTIFS('24-25 events'!$J:$J,"&gt;="&amp;$W30,'24-25 events'!$J:$J,"&lt;="&amp;$X30,'24-25 events'!$N:$N,"Elopement")</f>
        <v>5</v>
      </c>
      <c r="AF30" s="63">
        <f t="shared" si="14"/>
        <v>6.097560975609756E-2</v>
      </c>
    </row>
    <row r="31" spans="3:32" ht="15.75" customHeight="1">
      <c r="C31" s="67">
        <f t="shared" si="15"/>
        <v>45688</v>
      </c>
      <c r="D31" s="84">
        <f>COUNTIFS('24-25 events'!$H:$H,$C31,'24-25 events'!$N:$N,D$5)</f>
        <v>4</v>
      </c>
      <c r="E31" s="84">
        <f>COUNTIFS('24-25 events'!$H:$H,$C31,'24-25 events'!$N:$N,E$5)</f>
        <v>6</v>
      </c>
      <c r="F31" s="25">
        <f t="shared" si="9"/>
        <v>10</v>
      </c>
      <c r="H31" s="84">
        <f>COUNTIFS('24-25 events'!$H:$H,$C31,'24-25 events'!$N:$N,H$5)</f>
        <v>9</v>
      </c>
      <c r="K31" s="206">
        <f t="shared" si="10"/>
        <v>2025</v>
      </c>
      <c r="L31" s="206"/>
      <c r="M31" s="207">
        <f t="array" ref="M31">INDEX('Adj. P&amp;L'!$3:$3,MATCH($C31,'Adj. P&amp;L'!$9:$9,0))</f>
        <v>0</v>
      </c>
      <c r="P31" s="208">
        <f t="shared" si="11"/>
        <v>8.6956521739130432E-2</v>
      </c>
      <c r="Q31" s="3">
        <f t="shared" ref="Q31:Q42" si="24">Q19</f>
        <v>1</v>
      </c>
      <c r="R31" s="208"/>
      <c r="V31" s="216">
        <f t="shared" si="18"/>
        <v>13</v>
      </c>
      <c r="W31" s="216">
        <f t="shared" si="19"/>
        <v>361</v>
      </c>
      <c r="X31" s="216">
        <f t="shared" si="20"/>
        <v>390</v>
      </c>
      <c r="Y31" s="216">
        <f>COUNTIFS('24-25 events'!$J:$J,"&gt;="&amp;$W31,'24-25 events'!$J:$J,"&lt;="&amp;$X31,'24-25 events'!$N:$N,"Barn")+COUNTIFS('24-25 events'!$J:$J,"&gt;="&amp;$W31,'24-25 events'!$J:$J,"&lt;="&amp;$X31,'24-25 events'!$N:$N,"Chapel")</f>
        <v>44</v>
      </c>
      <c r="Z31" s="217">
        <f t="shared" si="13"/>
        <v>9.8654708520179366E-2</v>
      </c>
      <c r="AB31" s="3">
        <f t="shared" si="21"/>
        <v>13</v>
      </c>
      <c r="AC31" s="3">
        <f t="shared" si="22"/>
        <v>361</v>
      </c>
      <c r="AD31" s="3">
        <f t="shared" si="23"/>
        <v>390</v>
      </c>
      <c r="AE31" s="3">
        <f>COUNTIFS('24-25 events'!$J:$J,"&gt;="&amp;$W31,'24-25 events'!$J:$J,"&lt;="&amp;$X31,'24-25 events'!$N:$N,"Elopement")</f>
        <v>3</v>
      </c>
      <c r="AF31" s="63">
        <f t="shared" si="14"/>
        <v>3.6585365853658534E-2</v>
      </c>
    </row>
    <row r="32" spans="3:32" ht="15.75" customHeight="1">
      <c r="C32" s="67">
        <f t="shared" si="15"/>
        <v>45716</v>
      </c>
      <c r="D32" s="84">
        <f>COUNTIFS('24-25 events'!$H:$H,$C32,'24-25 events'!$N:$N,D$5)</f>
        <v>1</v>
      </c>
      <c r="E32" s="84">
        <f>COUNTIFS('24-25 events'!$H:$H,$C32,'24-25 events'!$N:$N,E$5)</f>
        <v>6</v>
      </c>
      <c r="F32" s="25">
        <f t="shared" si="9"/>
        <v>7</v>
      </c>
      <c r="H32" s="84">
        <f>COUNTIFS('24-25 events'!$H:$H,$C32,'24-25 events'!$N:$N,H$5)</f>
        <v>5</v>
      </c>
      <c r="K32" s="206">
        <f t="shared" si="10"/>
        <v>2025</v>
      </c>
      <c r="L32" s="206"/>
      <c r="M32" s="207">
        <f t="array" ref="M32">INDEX('Adj. P&amp;L'!$3:$3,MATCH($C32,'Adj. P&amp;L'!$9:$9,0))</f>
        <v>0</v>
      </c>
      <c r="P32" s="208">
        <f t="shared" si="11"/>
        <v>6.0869565217391307E-2</v>
      </c>
      <c r="Q32" s="3">
        <f t="shared" si="24"/>
        <v>2</v>
      </c>
      <c r="R32" s="208"/>
      <c r="V32" s="216">
        <f t="shared" si="18"/>
        <v>14</v>
      </c>
      <c r="W32" s="216">
        <f t="shared" si="19"/>
        <v>391</v>
      </c>
      <c r="X32" s="216">
        <f t="shared" si="20"/>
        <v>420</v>
      </c>
      <c r="Y32" s="216">
        <f>COUNTIFS('24-25 events'!$J:$J,"&gt;="&amp;$W32,'24-25 events'!$J:$J,"&lt;="&amp;$X32,'24-25 events'!$N:$N,"Barn")+COUNTIFS('24-25 events'!$J:$J,"&gt;="&amp;$W32,'24-25 events'!$J:$J,"&lt;="&amp;$X32,'24-25 events'!$N:$N,"Chapel")</f>
        <v>44</v>
      </c>
      <c r="Z32" s="217">
        <f t="shared" si="13"/>
        <v>9.8654708520179366E-2</v>
      </c>
      <c r="AB32" s="3">
        <f t="shared" si="21"/>
        <v>14</v>
      </c>
      <c r="AC32" s="3">
        <f t="shared" si="22"/>
        <v>391</v>
      </c>
      <c r="AD32" s="3">
        <f t="shared" si="23"/>
        <v>420</v>
      </c>
      <c r="AE32" s="3">
        <f>COUNTIFS('24-25 events'!$J:$J,"&gt;="&amp;$W32,'24-25 events'!$J:$J,"&lt;="&amp;$X32,'24-25 events'!$N:$N,"Elopement")</f>
        <v>1</v>
      </c>
      <c r="AF32" s="63">
        <f t="shared" si="14"/>
        <v>1.2195121951219513E-2</v>
      </c>
    </row>
    <row r="33" spans="3:32" ht="15.75" customHeight="1">
      <c r="C33" s="67">
        <f t="shared" si="15"/>
        <v>45747</v>
      </c>
      <c r="D33" s="84">
        <f>COUNTIFS('24-25 events'!$H:$H,$C33,'24-25 events'!$N:$N,D$5)</f>
        <v>4</v>
      </c>
      <c r="E33" s="84">
        <f>COUNTIFS('24-25 events'!$H:$H,$C33,'24-25 events'!$N:$N,E$5)</f>
        <v>4</v>
      </c>
      <c r="F33" s="25">
        <f t="shared" si="9"/>
        <v>8</v>
      </c>
      <c r="H33" s="84">
        <f>COUNTIFS('24-25 events'!$H:$H,$C33,'24-25 events'!$N:$N,H$5)</f>
        <v>2</v>
      </c>
      <c r="K33" s="206">
        <f t="shared" si="10"/>
        <v>2025</v>
      </c>
      <c r="L33" s="206"/>
      <c r="M33" s="207">
        <f t="array" ref="M33">INDEX('Adj. P&amp;L'!$3:$3,MATCH($C33,'Adj. P&amp;L'!$9:$9,0))</f>
        <v>0</v>
      </c>
      <c r="P33" s="208">
        <f t="shared" si="11"/>
        <v>6.9565217391304349E-2</v>
      </c>
      <c r="Q33" s="3">
        <f t="shared" si="24"/>
        <v>3</v>
      </c>
      <c r="R33" s="208"/>
      <c r="V33" s="216">
        <f t="shared" si="18"/>
        <v>15</v>
      </c>
      <c r="W33" s="216">
        <f t="shared" si="19"/>
        <v>421</v>
      </c>
      <c r="X33" s="216">
        <f t="shared" si="20"/>
        <v>450</v>
      </c>
      <c r="Y33" s="216">
        <f>COUNTIFS('24-25 events'!$J:$J,"&gt;="&amp;$W33,'24-25 events'!$J:$J,"&lt;="&amp;$X33,'24-25 events'!$N:$N,"Barn")+COUNTIFS('24-25 events'!$J:$J,"&gt;="&amp;$W33,'24-25 events'!$J:$J,"&lt;="&amp;$X33,'24-25 events'!$N:$N,"Chapel")</f>
        <v>37</v>
      </c>
      <c r="Z33" s="217">
        <f t="shared" si="13"/>
        <v>8.2959641255605385E-2</v>
      </c>
      <c r="AB33" s="3">
        <f t="shared" si="21"/>
        <v>15</v>
      </c>
      <c r="AC33" s="3">
        <f t="shared" si="22"/>
        <v>421</v>
      </c>
      <c r="AD33" s="3">
        <f t="shared" si="23"/>
        <v>450</v>
      </c>
      <c r="AE33" s="3">
        <f>COUNTIFS('24-25 events'!$J:$J,"&gt;="&amp;$W33,'24-25 events'!$J:$J,"&lt;="&amp;$X33,'24-25 events'!$N:$N,"Elopement")</f>
        <v>0</v>
      </c>
      <c r="AF33" s="63">
        <f t="shared" si="14"/>
        <v>0</v>
      </c>
    </row>
    <row r="34" spans="3:32" ht="15.75" customHeight="1">
      <c r="C34" s="67">
        <f t="shared" si="15"/>
        <v>45777</v>
      </c>
      <c r="D34" s="84">
        <f>COUNTIFS('24-25 events'!$H:$H,$C34,'24-25 events'!$N:$N,D$5)</f>
        <v>5</v>
      </c>
      <c r="E34" s="84">
        <f>COUNTIFS('24-25 events'!$H:$H,$C34,'24-25 events'!$N:$N,E$5)</f>
        <v>3</v>
      </c>
      <c r="F34" s="25">
        <f t="shared" si="9"/>
        <v>8</v>
      </c>
      <c r="H34" s="84">
        <f>COUNTIFS('24-25 events'!$H:$H,$C34,'24-25 events'!$N:$N,H$5)</f>
        <v>2</v>
      </c>
      <c r="K34" s="206">
        <f t="shared" si="10"/>
        <v>2025</v>
      </c>
      <c r="L34" s="206"/>
      <c r="M34" s="207">
        <f t="array" ref="M34">INDEX('Adj. P&amp;L'!$3:$3,MATCH($C34,'Adj. P&amp;L'!$9:$9,0))</f>
        <v>0</v>
      </c>
      <c r="P34" s="208">
        <f t="shared" si="11"/>
        <v>6.9565217391304349E-2</v>
      </c>
      <c r="Q34" s="3">
        <f t="shared" si="24"/>
        <v>4</v>
      </c>
      <c r="R34" s="208"/>
      <c r="V34" s="216">
        <f t="shared" si="18"/>
        <v>16</v>
      </c>
      <c r="W34" s="216">
        <f t="shared" si="19"/>
        <v>451</v>
      </c>
      <c r="X34" s="216">
        <f t="shared" si="20"/>
        <v>480</v>
      </c>
      <c r="Y34" s="216">
        <f>COUNTIFS('24-25 events'!$J:$J,"&gt;="&amp;$W34,'24-25 events'!$J:$J,"&lt;="&amp;$X34,'24-25 events'!$N:$N,"Barn")+COUNTIFS('24-25 events'!$J:$J,"&gt;="&amp;$W34,'24-25 events'!$J:$J,"&lt;="&amp;$X34,'24-25 events'!$N:$N,"Chapel")</f>
        <v>36</v>
      </c>
      <c r="Z34" s="217">
        <f t="shared" si="13"/>
        <v>8.0717488789237665E-2</v>
      </c>
      <c r="AB34" s="3">
        <f t="shared" si="21"/>
        <v>16</v>
      </c>
      <c r="AC34" s="3">
        <f t="shared" si="22"/>
        <v>451</v>
      </c>
      <c r="AD34" s="3">
        <f t="shared" si="23"/>
        <v>480</v>
      </c>
      <c r="AE34" s="3">
        <f>COUNTIFS('24-25 events'!$J:$J,"&gt;="&amp;$W34,'24-25 events'!$J:$J,"&lt;="&amp;$X34,'24-25 events'!$N:$N,"Elopement")</f>
        <v>3</v>
      </c>
      <c r="AF34" s="63">
        <f t="shared" si="14"/>
        <v>3.6585365853658534E-2</v>
      </c>
    </row>
    <row r="35" spans="3:32" ht="15.75" customHeight="1">
      <c r="C35" s="67">
        <f t="shared" si="15"/>
        <v>45808</v>
      </c>
      <c r="D35" s="84">
        <f>COUNTIFS('24-25 events'!$H:$H,$C35,'24-25 events'!$N:$N,D$5)</f>
        <v>1</v>
      </c>
      <c r="E35" s="84">
        <f>COUNTIFS('24-25 events'!$H:$H,$C35,'24-25 events'!$N:$N,E$5)</f>
        <v>3</v>
      </c>
      <c r="F35" s="25">
        <f t="shared" si="9"/>
        <v>4</v>
      </c>
      <c r="H35" s="84">
        <f>COUNTIFS('24-25 events'!$H:$H,$C35,'24-25 events'!$N:$N,H$5)</f>
        <v>0</v>
      </c>
      <c r="K35" s="206">
        <f t="shared" si="10"/>
        <v>2025</v>
      </c>
      <c r="L35" s="206" t="s">
        <v>256</v>
      </c>
      <c r="M35" s="207" t="str">
        <f t="array" ref="M35">INDEX('Adj. P&amp;L'!$3:$3,MATCH($C35,'Adj. P&amp;L'!$9:$9,0))</f>
        <v>LTM</v>
      </c>
      <c r="P35" s="208">
        <f t="shared" si="11"/>
        <v>3.4782608695652174E-2</v>
      </c>
      <c r="Q35" s="3">
        <f t="shared" si="24"/>
        <v>5</v>
      </c>
      <c r="R35" s="208"/>
      <c r="V35" s="3">
        <f t="shared" si="18"/>
        <v>17</v>
      </c>
      <c r="W35" s="3">
        <f t="shared" si="19"/>
        <v>481</v>
      </c>
      <c r="X35" s="3">
        <f t="shared" si="20"/>
        <v>510</v>
      </c>
      <c r="Y35" s="3">
        <f>COUNTIFS('24-25 events'!$J:$J,"&gt;="&amp;$W35,'24-25 events'!$J:$J,"&lt;="&amp;$X35,'24-25 events'!$N:$N,"Barn")+COUNTIFS('24-25 events'!$J:$J,"&gt;="&amp;$W35,'24-25 events'!$J:$J,"&lt;="&amp;$X35,'24-25 events'!$N:$N,"Chapel")</f>
        <v>25</v>
      </c>
      <c r="Z35" s="63">
        <f t="shared" si="13"/>
        <v>5.6053811659192827E-2</v>
      </c>
      <c r="AB35" s="3">
        <f t="shared" si="21"/>
        <v>17</v>
      </c>
      <c r="AC35" s="3">
        <f t="shared" si="22"/>
        <v>481</v>
      </c>
      <c r="AD35" s="3">
        <f t="shared" si="23"/>
        <v>510</v>
      </c>
      <c r="AE35" s="3">
        <f>COUNTIFS('24-25 events'!$J:$J,"&gt;="&amp;$W35,'24-25 events'!$J:$J,"&lt;="&amp;$X35,'24-25 events'!$N:$N,"Elopement")</f>
        <v>1</v>
      </c>
      <c r="AF35" s="63">
        <f t="shared" si="14"/>
        <v>1.2195121951219513E-2</v>
      </c>
    </row>
    <row r="36" spans="3:32" ht="15.75" customHeight="1">
      <c r="C36" s="67">
        <f t="shared" si="15"/>
        <v>45838</v>
      </c>
      <c r="D36" s="84">
        <f>COUNTIFS('24-25 events'!$H:$H,$C36,'24-25 events'!$N:$N,D$5)</f>
        <v>1</v>
      </c>
      <c r="E36" s="84">
        <f>COUNTIFS('24-25 events'!$H:$H,$C36,'24-25 events'!$N:$N,E$5)</f>
        <v>8</v>
      </c>
      <c r="F36" s="25">
        <f t="shared" si="9"/>
        <v>9</v>
      </c>
      <c r="H36" s="84">
        <f>COUNTIFS('24-25 events'!$H:$H,$C36,'24-25 events'!$N:$N,H$5)</f>
        <v>4</v>
      </c>
      <c r="K36" s="206">
        <f t="shared" si="10"/>
        <v>2025</v>
      </c>
      <c r="L36" s="206" t="s">
        <v>256</v>
      </c>
      <c r="M36" s="207" t="str">
        <f t="array" ref="M36">INDEX('Adj. P&amp;L'!$3:$3,MATCH($C36,'Adj. P&amp;L'!$9:$9,0))</f>
        <v>LTM</v>
      </c>
      <c r="P36" s="208">
        <f t="shared" si="11"/>
        <v>7.8260869565217397E-2</v>
      </c>
      <c r="Q36" s="3">
        <f t="shared" si="24"/>
        <v>6</v>
      </c>
      <c r="R36" s="208"/>
      <c r="V36" s="3">
        <f t="shared" si="18"/>
        <v>18</v>
      </c>
      <c r="W36" s="3">
        <f t="shared" si="19"/>
        <v>511</v>
      </c>
      <c r="X36" s="3">
        <f t="shared" si="20"/>
        <v>540</v>
      </c>
      <c r="Y36" s="3">
        <f>COUNTIFS('24-25 events'!$J:$J,"&gt;="&amp;$W36,'24-25 events'!$J:$J,"&lt;="&amp;$X36,'24-25 events'!$N:$N,"Barn")+COUNTIFS('24-25 events'!$J:$J,"&gt;="&amp;$W36,'24-25 events'!$J:$J,"&lt;="&amp;$X36,'24-25 events'!$N:$N,"Chapel")</f>
        <v>12</v>
      </c>
      <c r="Z36" s="63">
        <f t="shared" si="13"/>
        <v>2.6905829596412557E-2</v>
      </c>
      <c r="AB36" s="3">
        <f t="shared" si="21"/>
        <v>18</v>
      </c>
      <c r="AC36" s="3">
        <f t="shared" si="22"/>
        <v>511</v>
      </c>
      <c r="AD36" s="3">
        <f t="shared" si="23"/>
        <v>540</v>
      </c>
      <c r="AE36" s="3">
        <f>COUNTIFS('24-25 events'!$J:$J,"&gt;="&amp;$W36,'24-25 events'!$J:$J,"&lt;="&amp;$X36,'24-25 events'!$N:$N,"Elopement")</f>
        <v>1</v>
      </c>
      <c r="AF36" s="63">
        <f t="shared" si="14"/>
        <v>1.2195121951219513E-2</v>
      </c>
    </row>
    <row r="37" spans="3:32" ht="15.75" customHeight="1">
      <c r="C37" s="67">
        <f t="shared" si="15"/>
        <v>45869</v>
      </c>
      <c r="D37" s="84">
        <f>COUNTIFS('24-25 events'!$H:$H,$C37,'24-25 events'!$N:$N,D$5)</f>
        <v>7</v>
      </c>
      <c r="E37" s="84">
        <f>COUNTIFS('24-25 events'!$H:$H,$C37,'24-25 events'!$N:$N,E$5)</f>
        <v>11</v>
      </c>
      <c r="F37" s="25">
        <f t="shared" si="9"/>
        <v>18</v>
      </c>
      <c r="H37" s="84">
        <f>COUNTIFS('24-25 events'!$H:$H,$C37,'24-25 events'!$N:$N,H$5)</f>
        <v>4</v>
      </c>
      <c r="K37" s="206">
        <f t="shared" si="10"/>
        <v>2025</v>
      </c>
      <c r="L37" s="206" t="s">
        <v>256</v>
      </c>
      <c r="M37" s="207" t="str">
        <f t="array" ref="M37">INDEX('Adj. P&amp;L'!$3:$3,MATCH($C37,'Adj. P&amp;L'!$9:$9,0))</f>
        <v>LTM</v>
      </c>
      <c r="P37" s="208">
        <f t="shared" si="11"/>
        <v>0.15652173913043479</v>
      </c>
      <c r="Q37" s="3">
        <f t="shared" si="24"/>
        <v>7</v>
      </c>
      <c r="R37" s="208"/>
      <c r="V37" s="3">
        <f t="shared" si="18"/>
        <v>19</v>
      </c>
      <c r="W37" s="3">
        <f t="shared" si="19"/>
        <v>541</v>
      </c>
      <c r="X37" s="3">
        <f t="shared" si="20"/>
        <v>570</v>
      </c>
      <c r="Y37" s="3">
        <f>COUNTIFS('24-25 events'!$J:$J,"&gt;="&amp;$W37,'24-25 events'!$J:$J,"&lt;="&amp;$X37,'24-25 events'!$N:$N,"Barn")+COUNTIFS('24-25 events'!$J:$J,"&gt;="&amp;$W37,'24-25 events'!$J:$J,"&lt;="&amp;$X37,'24-25 events'!$N:$N,"Chapel")</f>
        <v>24</v>
      </c>
      <c r="Z37" s="63">
        <f t="shared" si="13"/>
        <v>5.3811659192825115E-2</v>
      </c>
      <c r="AB37" s="3">
        <f t="shared" si="21"/>
        <v>19</v>
      </c>
      <c r="AC37" s="3">
        <f t="shared" si="22"/>
        <v>541</v>
      </c>
      <c r="AD37" s="3">
        <f t="shared" si="23"/>
        <v>570</v>
      </c>
      <c r="AE37" s="3">
        <f>COUNTIFS('24-25 events'!$J:$J,"&gt;="&amp;$W37,'24-25 events'!$J:$J,"&lt;="&amp;$X37,'24-25 events'!$N:$N,"Elopement")</f>
        <v>0</v>
      </c>
      <c r="AF37" s="63">
        <f t="shared" si="14"/>
        <v>0</v>
      </c>
    </row>
    <row r="38" spans="3:32" ht="15.75" customHeight="1">
      <c r="C38" s="67">
        <f t="shared" si="15"/>
        <v>45900</v>
      </c>
      <c r="D38" s="84">
        <f>COUNTIFS('24-25 events'!$H:$H,$C38,'24-25 events'!$N:$N,D$5)</f>
        <v>4</v>
      </c>
      <c r="E38" s="84">
        <f>COUNTIFS('24-25 events'!$H:$H,$C38,'24-25 events'!$N:$N,E$5)</f>
        <v>13</v>
      </c>
      <c r="F38" s="25">
        <f t="shared" si="9"/>
        <v>17</v>
      </c>
      <c r="H38" s="84">
        <f>COUNTIFS('24-25 events'!$H:$H,$C38,'24-25 events'!$N:$N,H$5)</f>
        <v>1</v>
      </c>
      <c r="K38" s="206">
        <f t="shared" si="10"/>
        <v>2025</v>
      </c>
      <c r="L38" s="206" t="s">
        <v>256</v>
      </c>
      <c r="M38" s="207" t="str">
        <f t="array" ref="M38">INDEX('Adj. P&amp;L'!$3:$3,MATCH($C38,'Adj. P&amp;L'!$9:$9,0))</f>
        <v>LTM</v>
      </c>
      <c r="P38" s="208">
        <f t="shared" si="11"/>
        <v>0.14782608695652175</v>
      </c>
      <c r="Q38" s="3">
        <f t="shared" si="24"/>
        <v>8</v>
      </c>
      <c r="R38" s="208"/>
      <c r="V38" s="3">
        <f t="shared" si="18"/>
        <v>20</v>
      </c>
      <c r="W38" s="3">
        <f t="shared" si="19"/>
        <v>571</v>
      </c>
      <c r="X38" s="3">
        <f t="shared" si="20"/>
        <v>600</v>
      </c>
      <c r="Y38" s="3">
        <f>COUNTIFS('24-25 events'!$J:$J,"&gt;="&amp;$W38,'24-25 events'!$J:$J,"&lt;="&amp;$X38,'24-25 events'!$N:$N,"Barn")+COUNTIFS('24-25 events'!$J:$J,"&gt;="&amp;$W38,'24-25 events'!$J:$J,"&lt;="&amp;$X38,'24-25 events'!$N:$N,"Chapel")</f>
        <v>11</v>
      </c>
      <c r="Z38" s="63">
        <f t="shared" si="13"/>
        <v>2.4663677130044841E-2</v>
      </c>
      <c r="AB38" s="3">
        <f t="shared" si="21"/>
        <v>20</v>
      </c>
      <c r="AC38" s="3">
        <f t="shared" si="22"/>
        <v>571</v>
      </c>
      <c r="AD38" s="3">
        <f t="shared" si="23"/>
        <v>600</v>
      </c>
      <c r="AE38" s="3">
        <f>COUNTIFS('24-25 events'!$J:$J,"&gt;="&amp;$W38,'24-25 events'!$J:$J,"&lt;="&amp;$X38,'24-25 events'!$N:$N,"Elopement")</f>
        <v>0</v>
      </c>
      <c r="AF38" s="63">
        <f t="shared" si="14"/>
        <v>0</v>
      </c>
    </row>
    <row r="39" spans="3:32" ht="15.75" customHeight="1">
      <c r="C39" s="67">
        <f t="shared" si="15"/>
        <v>45930</v>
      </c>
      <c r="D39" s="84">
        <f>COUNTIFS('24-25 events'!$H:$H,$C39,'24-25 events'!$N:$N,D$5)</f>
        <v>4</v>
      </c>
      <c r="E39" s="84">
        <f>COUNTIFS('24-25 events'!$H:$H,$C39,'24-25 events'!$N:$N,E$5)</f>
        <v>6</v>
      </c>
      <c r="F39" s="25">
        <f t="shared" si="9"/>
        <v>10</v>
      </c>
      <c r="H39" s="84">
        <f>COUNTIFS('24-25 events'!$H:$H,$C39,'24-25 events'!$N:$N,H$5)</f>
        <v>1</v>
      </c>
      <c r="K39" s="206">
        <f t="shared" si="10"/>
        <v>2025</v>
      </c>
      <c r="L39" s="206" t="s">
        <v>256</v>
      </c>
      <c r="M39" s="207" t="str">
        <f t="array" ref="M39">INDEX('Adj. P&amp;L'!$3:$3,MATCH($C39,'Adj. P&amp;L'!$9:$9,0))</f>
        <v>LTM</v>
      </c>
      <c r="P39" s="208">
        <f t="shared" si="11"/>
        <v>8.6956521739130432E-2</v>
      </c>
      <c r="Q39" s="3">
        <f t="shared" si="24"/>
        <v>9</v>
      </c>
      <c r="R39" s="208"/>
      <c r="V39" s="3">
        <f t="shared" si="18"/>
        <v>21</v>
      </c>
      <c r="W39" s="3">
        <f t="shared" si="19"/>
        <v>601</v>
      </c>
      <c r="X39" s="3">
        <f t="shared" si="20"/>
        <v>630</v>
      </c>
      <c r="Y39" s="3">
        <f>COUNTIFS('24-25 events'!$J:$J,"&gt;="&amp;$W39,'24-25 events'!$J:$J,"&lt;="&amp;$X39,'24-25 events'!$N:$N,"Barn")+COUNTIFS('24-25 events'!$J:$J,"&gt;="&amp;$W39,'24-25 events'!$J:$J,"&lt;="&amp;$X39,'24-25 events'!$N:$N,"Chapel")</f>
        <v>11</v>
      </c>
      <c r="Z39" s="63">
        <f t="shared" si="13"/>
        <v>2.4663677130044841E-2</v>
      </c>
      <c r="AB39" s="3">
        <f t="shared" si="21"/>
        <v>21</v>
      </c>
      <c r="AC39" s="3">
        <f t="shared" si="22"/>
        <v>601</v>
      </c>
      <c r="AD39" s="3">
        <f t="shared" si="23"/>
        <v>630</v>
      </c>
      <c r="AE39" s="3">
        <f>COUNTIFS('24-25 events'!$J:$J,"&gt;="&amp;$W39,'24-25 events'!$J:$J,"&lt;="&amp;$X39,'24-25 events'!$N:$N,"Elopement")</f>
        <v>0</v>
      </c>
      <c r="AF39" s="63">
        <f t="shared" si="14"/>
        <v>0</v>
      </c>
    </row>
    <row r="40" spans="3:32" ht="15.75" customHeight="1">
      <c r="C40" s="67">
        <f t="shared" si="15"/>
        <v>45961</v>
      </c>
      <c r="D40" s="84">
        <f>COUNTIFS('24-25 events'!$H:$H,$C40,'24-25 events'!$N:$N,D$5)</f>
        <v>2</v>
      </c>
      <c r="E40" s="84">
        <f>COUNTIFS('24-25 events'!$H:$H,$C40,'24-25 events'!$N:$N,E$5)</f>
        <v>3</v>
      </c>
      <c r="F40" s="25">
        <f t="shared" si="9"/>
        <v>5</v>
      </c>
      <c r="H40" s="84">
        <f>COUNTIFS('24-25 events'!$H:$H,$C40,'24-25 events'!$N:$N,H$5)</f>
        <v>1</v>
      </c>
      <c r="K40" s="206">
        <f t="shared" si="10"/>
        <v>2025</v>
      </c>
      <c r="L40" s="206" t="s">
        <v>256</v>
      </c>
      <c r="M40" s="207" t="str">
        <f t="array" ref="M40">INDEX('Adj. P&amp;L'!$3:$3,MATCH($C40,'Adj. P&amp;L'!$9:$9,0))</f>
        <v>LTM</v>
      </c>
      <c r="P40" s="208">
        <f t="shared" si="11"/>
        <v>4.3478260869565216E-2</v>
      </c>
      <c r="Q40" s="3">
        <f t="shared" si="24"/>
        <v>10</v>
      </c>
      <c r="R40" s="208"/>
      <c r="V40" s="3">
        <f t="shared" si="18"/>
        <v>22</v>
      </c>
      <c r="W40" s="3">
        <f t="shared" si="19"/>
        <v>631</v>
      </c>
      <c r="X40" s="3">
        <f t="shared" si="20"/>
        <v>660</v>
      </c>
      <c r="Y40" s="3">
        <f>COUNTIFS('24-25 events'!$J:$J,"&gt;="&amp;$W40,'24-25 events'!$J:$J,"&lt;="&amp;$X40,'24-25 events'!$N:$N,"Barn")+COUNTIFS('24-25 events'!$J:$J,"&gt;="&amp;$W40,'24-25 events'!$J:$J,"&lt;="&amp;$X40,'24-25 events'!$N:$N,"Chapel")</f>
        <v>14</v>
      </c>
      <c r="Z40" s="63">
        <f t="shared" si="13"/>
        <v>3.1390134529147982E-2</v>
      </c>
      <c r="AB40" s="3">
        <f t="shared" si="21"/>
        <v>22</v>
      </c>
      <c r="AC40" s="3">
        <f t="shared" si="22"/>
        <v>631</v>
      </c>
      <c r="AD40" s="3">
        <f t="shared" si="23"/>
        <v>660</v>
      </c>
      <c r="AE40" s="3">
        <f>COUNTIFS('24-25 events'!$J:$J,"&gt;="&amp;$W40,'24-25 events'!$J:$J,"&lt;="&amp;$X40,'24-25 events'!$N:$N,"Elopement")</f>
        <v>0</v>
      </c>
      <c r="AF40" s="63">
        <f t="shared" si="14"/>
        <v>0</v>
      </c>
    </row>
    <row r="41" spans="3:32" ht="15.75" customHeight="1">
      <c r="C41" s="67">
        <f t="shared" si="15"/>
        <v>45991</v>
      </c>
      <c r="D41" s="84">
        <f>COUNTIFS('24-25 events'!$H:$H,$C41,'24-25 events'!$N:$N,D$5)</f>
        <v>5</v>
      </c>
      <c r="E41" s="84">
        <f>COUNTIFS('24-25 events'!$H:$H,$C41,'24-25 events'!$N:$N,E$5)</f>
        <v>7</v>
      </c>
      <c r="F41" s="25">
        <f t="shared" si="9"/>
        <v>12</v>
      </c>
      <c r="H41" s="84">
        <f>COUNTIFS('24-25 events'!$H:$H,$C41,'24-25 events'!$N:$N,H$5)</f>
        <v>4</v>
      </c>
      <c r="K41" s="206">
        <f t="shared" si="10"/>
        <v>2025</v>
      </c>
      <c r="L41" s="206" t="s">
        <v>256</v>
      </c>
      <c r="M41" s="207" t="str">
        <f t="array" ref="M41">INDEX('Adj. P&amp;L'!$3:$3,MATCH($C41,'Adj. P&amp;L'!$9:$9,0))</f>
        <v>LTM</v>
      </c>
      <c r="P41" s="208">
        <f t="shared" si="11"/>
        <v>0.10434782608695652</v>
      </c>
      <c r="Q41" s="3">
        <f t="shared" si="24"/>
        <v>11</v>
      </c>
      <c r="R41" s="208"/>
      <c r="V41" s="3">
        <f t="shared" si="18"/>
        <v>23</v>
      </c>
      <c r="W41" s="3">
        <f t="shared" si="19"/>
        <v>661</v>
      </c>
      <c r="X41" s="3">
        <f t="shared" si="20"/>
        <v>690</v>
      </c>
      <c r="Y41" s="3">
        <f>COUNTIFS('24-25 events'!$J:$J,"&gt;="&amp;$W41,'24-25 events'!$J:$J,"&lt;="&amp;$X41,'24-25 events'!$N:$N,"Barn")+COUNTIFS('24-25 events'!$J:$J,"&gt;="&amp;$W41,'24-25 events'!$J:$J,"&lt;="&amp;$X41,'24-25 events'!$N:$N,"Chapel")</f>
        <v>4</v>
      </c>
      <c r="Z41" s="63">
        <f t="shared" si="13"/>
        <v>8.9686098654708519E-3</v>
      </c>
      <c r="AB41" s="3">
        <f t="shared" si="21"/>
        <v>23</v>
      </c>
      <c r="AC41" s="3">
        <f t="shared" si="22"/>
        <v>661</v>
      </c>
      <c r="AD41" s="3">
        <f t="shared" si="23"/>
        <v>690</v>
      </c>
      <c r="AE41" s="3">
        <f>COUNTIFS('24-25 events'!$J:$J,"&gt;="&amp;$W41,'24-25 events'!$J:$J,"&lt;="&amp;$X41,'24-25 events'!$N:$N,"Elopement")</f>
        <v>0</v>
      </c>
      <c r="AF41" s="63">
        <f t="shared" si="14"/>
        <v>0</v>
      </c>
    </row>
    <row r="42" spans="3:32" ht="15.75" customHeight="1">
      <c r="C42" s="67">
        <f t="shared" si="15"/>
        <v>46022</v>
      </c>
      <c r="D42" s="84">
        <f>COUNTIFS('24-25 events'!$H:$H,$C42,'24-25 events'!$N:$N,D$5)</f>
        <v>2</v>
      </c>
      <c r="E42" s="84">
        <f>COUNTIFS('24-25 events'!$H:$H,$C42,'24-25 events'!$N:$N,E$5)</f>
        <v>5</v>
      </c>
      <c r="F42" s="25">
        <f t="shared" si="9"/>
        <v>7</v>
      </c>
      <c r="H42" s="84">
        <f>COUNTIFS('24-25 events'!$H:$H,$C42,'24-25 events'!$N:$N,H$5)</f>
        <v>4</v>
      </c>
      <c r="K42" s="206">
        <f t="shared" si="10"/>
        <v>2025</v>
      </c>
      <c r="L42" s="206" t="s">
        <v>256</v>
      </c>
      <c r="M42" s="207" t="str">
        <f t="array" ref="M42">INDEX('Adj. P&amp;L'!$3:$3,MATCH($C42,'Adj. P&amp;L'!$9:$9,0))</f>
        <v>LTM</v>
      </c>
      <c r="P42" s="208">
        <f t="shared" si="11"/>
        <v>6.0869565217391307E-2</v>
      </c>
      <c r="Q42" s="3">
        <f t="shared" si="24"/>
        <v>12</v>
      </c>
      <c r="R42" s="208"/>
      <c r="V42" s="3">
        <f t="shared" si="18"/>
        <v>24</v>
      </c>
      <c r="W42" s="3">
        <f t="shared" si="19"/>
        <v>691</v>
      </c>
      <c r="X42" s="3">
        <f t="shared" si="20"/>
        <v>720</v>
      </c>
      <c r="Y42" s="3">
        <f>COUNTIFS('24-25 events'!$J:$J,"&gt;="&amp;$W42,'24-25 events'!$J:$J,"&lt;="&amp;$X42,'24-25 events'!$N:$N,"Barn")+COUNTIFS('24-25 events'!$J:$J,"&gt;="&amp;$W42,'24-25 events'!$J:$J,"&lt;="&amp;$X42,'24-25 events'!$N:$N,"Chapel")</f>
        <v>6</v>
      </c>
      <c r="Z42" s="63">
        <f t="shared" si="13"/>
        <v>1.3452914798206279E-2</v>
      </c>
      <c r="AB42" s="3">
        <f t="shared" si="21"/>
        <v>24</v>
      </c>
      <c r="AC42" s="3">
        <f t="shared" si="22"/>
        <v>691</v>
      </c>
      <c r="AD42" s="3">
        <f t="shared" si="23"/>
        <v>720</v>
      </c>
      <c r="AE42" s="3">
        <f>COUNTIFS('24-25 events'!$J:$J,"&gt;="&amp;$W42,'24-25 events'!$J:$J,"&lt;="&amp;$X42,'24-25 events'!$N:$N,"Elopement")</f>
        <v>0</v>
      </c>
      <c r="AF42" s="63">
        <f t="shared" si="14"/>
        <v>0</v>
      </c>
    </row>
    <row r="43" spans="3:32" ht="15.75" customHeight="1">
      <c r="C43" s="67">
        <f t="shared" si="15"/>
        <v>46053</v>
      </c>
      <c r="D43" s="84">
        <f>COUNTIFS('24-25 events'!$H:$H,$C43,'24-25 events'!$N:$N,D$5)</f>
        <v>3</v>
      </c>
      <c r="E43" s="84">
        <f>COUNTIFS('24-25 events'!$H:$H,$C43,'24-25 events'!$N:$N,E$5)</f>
        <v>7</v>
      </c>
      <c r="F43" s="25">
        <f t="shared" si="9"/>
        <v>10</v>
      </c>
      <c r="H43" s="84">
        <f>COUNTIFS('24-25 events'!$H:$H,$C43,'24-25 events'!$N:$N,H$5)</f>
        <v>4</v>
      </c>
      <c r="K43" s="206">
        <f t="shared" si="10"/>
        <v>2026</v>
      </c>
      <c r="L43" s="206" t="s">
        <v>256</v>
      </c>
      <c r="M43" s="207" t="str">
        <f t="array" ref="M43">INDEX('Adj. P&amp;L'!$3:$3,MATCH($C43,'Adj. P&amp;L'!$9:$9,0))</f>
        <v>LTM</v>
      </c>
      <c r="P43" s="208"/>
      <c r="R43" s="208"/>
      <c r="V43" s="3">
        <f t="shared" si="18"/>
        <v>25</v>
      </c>
      <c r="W43" s="3">
        <f t="shared" si="19"/>
        <v>721</v>
      </c>
      <c r="X43" s="3">
        <f t="shared" si="20"/>
        <v>750</v>
      </c>
      <c r="Y43" s="3">
        <f>COUNTIFS('24-25 events'!$J:$J,"&gt;="&amp;$W43,'24-25 events'!$J:$J,"&lt;="&amp;$X43,'24-25 events'!$N:$N,"Barn")+COUNTIFS('24-25 events'!$J:$J,"&gt;="&amp;$W43,'24-25 events'!$J:$J,"&lt;="&amp;$X43,'24-25 events'!$N:$N,"Chapel")</f>
        <v>3</v>
      </c>
      <c r="Z43" s="63">
        <f t="shared" si="13"/>
        <v>6.7264573991031393E-3</v>
      </c>
      <c r="AB43" s="3">
        <f t="shared" si="21"/>
        <v>25</v>
      </c>
      <c r="AC43" s="3">
        <f t="shared" si="22"/>
        <v>721</v>
      </c>
      <c r="AD43" s="3">
        <f t="shared" si="23"/>
        <v>750</v>
      </c>
      <c r="AE43" s="3">
        <f>COUNTIFS('24-25 events'!$J:$J,"&gt;="&amp;$W43,'24-25 events'!$J:$J,"&lt;="&amp;$X43,'24-25 events'!$N:$N,"Elopement")</f>
        <v>0</v>
      </c>
      <c r="AF43" s="63">
        <f t="shared" si="14"/>
        <v>0</v>
      </c>
    </row>
    <row r="44" spans="3:32" ht="15.75" customHeight="1">
      <c r="C44" s="67">
        <f t="shared" si="15"/>
        <v>46081</v>
      </c>
      <c r="D44" s="84">
        <f>COUNTIFS('24-25 events'!$H:$H,$C44,'24-25 events'!$N:$N,D$5)</f>
        <v>4</v>
      </c>
      <c r="E44" s="84">
        <f>COUNTIFS('24-25 events'!$H:$H,$C44,'24-25 events'!$N:$N,E$5)</f>
        <v>7</v>
      </c>
      <c r="F44" s="25">
        <f t="shared" si="9"/>
        <v>11</v>
      </c>
      <c r="H44" s="84">
        <f>COUNTIFS('24-25 events'!$H:$H,$C44,'24-25 events'!$N:$N,H$5)</f>
        <v>0</v>
      </c>
      <c r="K44" s="206">
        <f t="shared" si="10"/>
        <v>2026</v>
      </c>
      <c r="L44" s="206" t="s">
        <v>256</v>
      </c>
      <c r="M44" s="207" t="str">
        <f t="array" ref="M44">INDEX('Adj. P&amp;L'!$3:$3,MATCH($C44,'Adj. P&amp;L'!$9:$9,0))</f>
        <v>LTM</v>
      </c>
      <c r="P44" s="208"/>
      <c r="R44" s="208"/>
      <c r="V44" s="3">
        <f t="shared" si="18"/>
        <v>26</v>
      </c>
      <c r="W44" s="3">
        <f t="shared" si="19"/>
        <v>751</v>
      </c>
      <c r="X44" s="3">
        <f t="shared" si="20"/>
        <v>780</v>
      </c>
      <c r="Y44" s="3">
        <f>COUNTIFS('24-25 events'!$J:$J,"&gt;="&amp;$W44,'24-25 events'!$J:$J,"&lt;="&amp;$X44,'24-25 events'!$N:$N,"Barn")+COUNTIFS('24-25 events'!$J:$J,"&gt;="&amp;$W44,'24-25 events'!$J:$J,"&lt;="&amp;$X44,'24-25 events'!$N:$N,"Chapel")</f>
        <v>3</v>
      </c>
      <c r="Z44" s="63">
        <f t="shared" si="13"/>
        <v>6.7264573991031393E-3</v>
      </c>
      <c r="AB44" s="3">
        <f t="shared" si="21"/>
        <v>26</v>
      </c>
      <c r="AC44" s="3">
        <f t="shared" si="22"/>
        <v>751</v>
      </c>
      <c r="AD44" s="3">
        <f t="shared" si="23"/>
        <v>780</v>
      </c>
      <c r="AE44" s="3">
        <f>COUNTIFS('24-25 events'!$J:$J,"&gt;="&amp;$W44,'24-25 events'!$J:$J,"&lt;="&amp;$X44,'24-25 events'!$N:$N,"Elopement")</f>
        <v>0</v>
      </c>
      <c r="AF44" s="63">
        <f t="shared" si="14"/>
        <v>0</v>
      </c>
    </row>
    <row r="45" spans="3:32" ht="15.75" customHeight="1">
      <c r="C45" s="67"/>
      <c r="D45" s="84"/>
      <c r="E45" s="84"/>
      <c r="F45" s="25"/>
      <c r="H45" s="84"/>
      <c r="K45" s="206"/>
      <c r="L45" s="206"/>
      <c r="M45" s="209"/>
      <c r="P45" s="208"/>
      <c r="R45" s="208"/>
      <c r="Z45" s="63"/>
      <c r="AF45" s="63"/>
    </row>
    <row r="46" spans="3:32" ht="15.75" customHeight="1">
      <c r="C46" s="67">
        <f>EOMONTH(C44,1)</f>
        <v>46112</v>
      </c>
      <c r="D46" s="84">
        <f>COUNTIFS('Future Events'!$F:$F,$C46,'Future Events'!$G:$G,D$5)</f>
        <v>4</v>
      </c>
      <c r="E46" s="84">
        <f>COUNTIFS('Future Events'!$F:$F,$C46,'Future Events'!$G:$G,E$5)</f>
        <v>6</v>
      </c>
      <c r="F46" s="25">
        <f t="shared" ref="F46:F47" si="25">D46+E46</f>
        <v>10</v>
      </c>
      <c r="H46" s="84">
        <f>COUNTIFS('Future Events'!$F:$F,$C46,'Future Events'!$G:$G,H$5)</f>
        <v>4</v>
      </c>
      <c r="K46" s="206">
        <f t="shared" ref="K46:K79" si="26">YEAR(C46)</f>
        <v>2026</v>
      </c>
      <c r="L46" s="206" t="s">
        <v>256</v>
      </c>
      <c r="M46" s="207" t="str">
        <f t="array" ref="M46">INDEX('Adj. P&amp;L'!$3:$3,MATCH($C46,'Adj. P&amp;L'!$9:$9,0))</f>
        <v>LTM</v>
      </c>
      <c r="P46" s="208"/>
      <c r="R46" s="208"/>
      <c r="V46" s="3">
        <f>V44+1</f>
        <v>27</v>
      </c>
      <c r="W46" s="3">
        <f>X44+1</f>
        <v>781</v>
      </c>
      <c r="X46" s="3">
        <f>X44+30</f>
        <v>810</v>
      </c>
      <c r="Y46" s="3">
        <f>COUNTIFS('24-25 events'!$J:$J,"&gt;="&amp;$W46,'24-25 events'!$J:$J,"&lt;="&amp;$X46,'24-25 events'!$N:$N,"Barn")+COUNTIFS('24-25 events'!$J:$J,"&gt;="&amp;$W46,'24-25 events'!$J:$J,"&lt;="&amp;$X46,'24-25 events'!$N:$N,"Chapel")</f>
        <v>3</v>
      </c>
      <c r="Z46" s="63">
        <f t="shared" ref="Z46:Z49" si="27">Y46/SUM($Y$19:$Y$55)</f>
        <v>6.7264573991031393E-3</v>
      </c>
      <c r="AB46" s="3">
        <f>AB44+1</f>
        <v>27</v>
      </c>
      <c r="AC46" s="3">
        <f>AD44+1</f>
        <v>781</v>
      </c>
      <c r="AD46" s="3">
        <f>AD44+30</f>
        <v>810</v>
      </c>
      <c r="AE46" s="3">
        <f>COUNTIFS('24-25 events'!$J:$J,"&gt;="&amp;$W46,'24-25 events'!$J:$J,"&lt;="&amp;$X46,'24-25 events'!$N:$N,"Elopement")</f>
        <v>0</v>
      </c>
      <c r="AF46" s="63">
        <f t="shared" ref="AF46:AF49" si="28">AE46/SUM($AE$19:$AE$55)</f>
        <v>0</v>
      </c>
    </row>
    <row r="47" spans="3:32" ht="15.75" customHeight="1">
      <c r="C47" s="67">
        <f t="shared" ref="C47:C79" si="29">EOMONTH(C46,1)</f>
        <v>46142</v>
      </c>
      <c r="D47" s="84">
        <f>COUNTIFS('Future Events'!$F:$F,$C47,'Future Events'!$G:$G,D$5)</f>
        <v>3</v>
      </c>
      <c r="E47" s="84">
        <f>COUNTIFS('Future Events'!$F:$F,$C47,'Future Events'!$G:$G,E$5)</f>
        <v>5</v>
      </c>
      <c r="F47" s="25">
        <f t="shared" si="25"/>
        <v>8</v>
      </c>
      <c r="H47" s="84">
        <f>COUNTIFS('Future Events'!$F:$F,$C47,'Future Events'!$G:$G,H$5)</f>
        <v>1</v>
      </c>
      <c r="K47" s="206">
        <f t="shared" si="26"/>
        <v>2026</v>
      </c>
      <c r="L47" s="210" t="s">
        <v>256</v>
      </c>
      <c r="M47" s="207" t="str">
        <f t="array" ref="M47">INDEX('Adj. P&amp;L'!$3:$3,MATCH($C47,'Adj. P&amp;L'!$9:$9,0))</f>
        <v>LTM</v>
      </c>
      <c r="P47" s="208"/>
      <c r="R47" s="208"/>
      <c r="V47" s="3">
        <f t="shared" ref="V47:V49" si="30">V46+1</f>
        <v>28</v>
      </c>
      <c r="W47" s="3">
        <f t="shared" ref="W47:W49" si="31">X46+1</f>
        <v>811</v>
      </c>
      <c r="X47" s="3">
        <f t="shared" ref="X47:X49" si="32">X46+30</f>
        <v>840</v>
      </c>
      <c r="Y47" s="3">
        <f>COUNTIFS('24-25 events'!$J:$J,"&gt;="&amp;$W47,'24-25 events'!$J:$J,"&lt;="&amp;$X47,'24-25 events'!$N:$N,"Barn")+COUNTIFS('24-25 events'!$J:$J,"&gt;="&amp;$W47,'24-25 events'!$J:$J,"&lt;="&amp;$X47,'24-25 events'!$N:$N,"Chapel")</f>
        <v>2</v>
      </c>
      <c r="Z47" s="63">
        <f t="shared" si="27"/>
        <v>4.4843049327354259E-3</v>
      </c>
      <c r="AB47" s="3">
        <f t="shared" ref="AB47:AB49" si="33">AB46+1</f>
        <v>28</v>
      </c>
      <c r="AC47" s="3">
        <f t="shared" ref="AC47:AC49" si="34">AD46+1</f>
        <v>811</v>
      </c>
      <c r="AD47" s="3">
        <f t="shared" ref="AD47:AD49" si="35">AD46+30</f>
        <v>840</v>
      </c>
      <c r="AE47" s="3">
        <f>COUNTIFS('24-25 events'!$J:$J,"&gt;="&amp;$W47,'24-25 events'!$J:$J,"&lt;="&amp;$X47,'24-25 events'!$N:$N,"Elopement")</f>
        <v>0</v>
      </c>
      <c r="AF47" s="63">
        <f t="shared" si="28"/>
        <v>0</v>
      </c>
    </row>
    <row r="48" spans="3:32" ht="15.75" customHeight="1">
      <c r="C48" s="67">
        <f t="shared" si="29"/>
        <v>46173</v>
      </c>
      <c r="D48" s="84"/>
      <c r="E48" s="84"/>
      <c r="F48" s="25"/>
      <c r="H48" s="84">
        <f>COUNTIFS('24-25 events'!$H:$H,$C48,'24-25 events'!$N:$N,H$5)</f>
        <v>0</v>
      </c>
      <c r="K48" s="206">
        <f t="shared" si="26"/>
        <v>2026</v>
      </c>
      <c r="L48" s="206"/>
      <c r="M48" s="209">
        <f t="array" ref="M48">INDEX('Adj. P&amp;L'!$3:$3,MATCH($C48,'Adj. P&amp;L'!$9:$9,0))</f>
        <v>0</v>
      </c>
      <c r="P48" s="208"/>
      <c r="R48" s="208"/>
      <c r="V48" s="3">
        <f t="shared" si="30"/>
        <v>29</v>
      </c>
      <c r="W48" s="3">
        <f t="shared" si="31"/>
        <v>841</v>
      </c>
      <c r="X48" s="3">
        <f t="shared" si="32"/>
        <v>870</v>
      </c>
      <c r="Y48" s="3">
        <f>COUNTIFS('24-25 events'!$J:$J,"&gt;="&amp;$W48,'24-25 events'!$J:$J,"&lt;="&amp;$X48,'24-25 events'!$N:$N,"Barn")+COUNTIFS('24-25 events'!$J:$J,"&gt;="&amp;$W48,'24-25 events'!$J:$J,"&lt;="&amp;$X48,'24-25 events'!$N:$N,"Chapel")</f>
        <v>1</v>
      </c>
      <c r="Z48" s="63">
        <f t="shared" si="27"/>
        <v>2.242152466367713E-3</v>
      </c>
      <c r="AB48" s="3">
        <f t="shared" si="33"/>
        <v>29</v>
      </c>
      <c r="AC48" s="3">
        <f t="shared" si="34"/>
        <v>841</v>
      </c>
      <c r="AD48" s="3">
        <f t="shared" si="35"/>
        <v>870</v>
      </c>
      <c r="AE48" s="3">
        <f>COUNTIFS('24-25 events'!$J:$J,"&gt;="&amp;$W48,'24-25 events'!$J:$J,"&lt;="&amp;$X48,'24-25 events'!$N:$N,"Elopement")</f>
        <v>0</v>
      </c>
      <c r="AF48" s="63">
        <f t="shared" si="28"/>
        <v>0</v>
      </c>
    </row>
    <row r="49" spans="3:32" ht="15.75" customHeight="1">
      <c r="C49" s="67">
        <f t="shared" si="29"/>
        <v>46203</v>
      </c>
      <c r="D49" s="84"/>
      <c r="E49" s="84"/>
      <c r="F49" s="25"/>
      <c r="H49" s="84">
        <f>COUNTIFS('24-25 events'!$H:$H,$C49,'24-25 events'!$N:$N,H$5)</f>
        <v>0</v>
      </c>
      <c r="K49" s="206">
        <f t="shared" si="26"/>
        <v>2026</v>
      </c>
      <c r="L49" s="206" t="s">
        <v>257</v>
      </c>
      <c r="M49" s="211">
        <f t="array" ref="M49">INDEX('Adj. P&amp;L'!$3:$3,MATCH($C49,'Adj. P&amp;L'!$9:$9,0))</f>
        <v>1</v>
      </c>
      <c r="P49" s="208"/>
      <c r="R49" s="208"/>
      <c r="V49" s="3">
        <f t="shared" si="30"/>
        <v>30</v>
      </c>
      <c r="W49" s="3">
        <f t="shared" si="31"/>
        <v>871</v>
      </c>
      <c r="X49" s="3">
        <f t="shared" si="32"/>
        <v>900</v>
      </c>
      <c r="Y49" s="3">
        <f>COUNTIFS('24-25 events'!$J:$J,"&gt;="&amp;$W49,'24-25 events'!$J:$J,"&lt;="&amp;$X49,'24-25 events'!$N:$N,"Barn")+COUNTIFS('24-25 events'!$J:$J,"&gt;="&amp;$W49,'24-25 events'!$J:$J,"&lt;="&amp;$X49,'24-25 events'!$N:$N,"Chapel")</f>
        <v>1</v>
      </c>
      <c r="Z49" s="63">
        <f t="shared" si="27"/>
        <v>2.242152466367713E-3</v>
      </c>
      <c r="AB49" s="3">
        <f t="shared" si="33"/>
        <v>30</v>
      </c>
      <c r="AC49" s="3">
        <f t="shared" si="34"/>
        <v>871</v>
      </c>
      <c r="AD49" s="3">
        <f t="shared" si="35"/>
        <v>900</v>
      </c>
      <c r="AE49" s="3">
        <f>COUNTIFS('24-25 events'!$J:$J,"&gt;="&amp;$W49,'24-25 events'!$J:$J,"&lt;="&amp;$X49,'24-25 events'!$N:$N,"Elopement")</f>
        <v>0</v>
      </c>
      <c r="AF49" s="63">
        <f t="shared" si="28"/>
        <v>0</v>
      </c>
    </row>
    <row r="50" spans="3:32" ht="15.75" customHeight="1">
      <c r="C50" s="67">
        <f t="shared" si="29"/>
        <v>46234</v>
      </c>
      <c r="D50" s="84"/>
      <c r="E50" s="84"/>
      <c r="F50" s="25"/>
      <c r="H50" s="84">
        <f>COUNTIFS('24-25 events'!$H:$H,$C50,'24-25 events'!$N:$N,H$5)</f>
        <v>0</v>
      </c>
      <c r="K50" s="206">
        <f t="shared" si="26"/>
        <v>2026</v>
      </c>
      <c r="L50" s="206" t="s">
        <v>257</v>
      </c>
      <c r="M50" s="211">
        <f t="array" ref="M50">INDEX('Adj. P&amp;L'!$3:$3,MATCH($C50,'Adj. P&amp;L'!$9:$9,0))</f>
        <v>1</v>
      </c>
      <c r="P50" s="208"/>
      <c r="R50" s="208"/>
      <c r="Z50" s="63"/>
      <c r="AF50" s="63"/>
    </row>
    <row r="51" spans="3:32" ht="15.75" customHeight="1">
      <c r="C51" s="67">
        <f t="shared" si="29"/>
        <v>46265</v>
      </c>
      <c r="D51" s="84"/>
      <c r="E51" s="84"/>
      <c r="F51" s="25"/>
      <c r="H51" s="84">
        <f>COUNTIFS('24-25 events'!$H:$H,$C51,'24-25 events'!$N:$N,H$5)</f>
        <v>0</v>
      </c>
      <c r="K51" s="206">
        <f t="shared" si="26"/>
        <v>2026</v>
      </c>
      <c r="L51" s="206" t="s">
        <v>257</v>
      </c>
      <c r="M51" s="211">
        <f t="array" ref="M51">INDEX('Adj. P&amp;L'!$3:$3,MATCH($C51,'Adj. P&amp;L'!$9:$9,0))</f>
        <v>1</v>
      </c>
      <c r="P51" s="208"/>
      <c r="R51" s="208"/>
      <c r="Z51" s="63"/>
      <c r="AF51" s="63"/>
    </row>
    <row r="52" spans="3:32" ht="15.75" customHeight="1">
      <c r="C52" s="67">
        <f t="shared" si="29"/>
        <v>46295</v>
      </c>
      <c r="D52" s="84"/>
      <c r="E52" s="84"/>
      <c r="F52" s="25"/>
      <c r="H52" s="84">
        <f>COUNTIFS('24-25 events'!$H:$H,$C52,'24-25 events'!$N:$N,H$5)</f>
        <v>0</v>
      </c>
      <c r="K52" s="206">
        <f t="shared" si="26"/>
        <v>2026</v>
      </c>
      <c r="L52" s="206" t="s">
        <v>257</v>
      </c>
      <c r="M52" s="211">
        <f t="array" ref="M52">INDEX('Adj. P&amp;L'!$3:$3,MATCH($C52,'Adj. P&amp;L'!$9:$9,0))</f>
        <v>1</v>
      </c>
      <c r="P52" s="208"/>
      <c r="R52" s="208"/>
      <c r="Z52" s="63"/>
      <c r="AF52" s="63"/>
    </row>
    <row r="53" spans="3:32" ht="15.75" customHeight="1">
      <c r="C53" s="67">
        <f t="shared" si="29"/>
        <v>46326</v>
      </c>
      <c r="D53" s="84"/>
      <c r="E53" s="84"/>
      <c r="F53" s="25"/>
      <c r="H53" s="84">
        <f>COUNTIFS('24-25 events'!$H:$H,$C53,'24-25 events'!$N:$N,H$5)</f>
        <v>0</v>
      </c>
      <c r="K53" s="206">
        <f t="shared" si="26"/>
        <v>2026</v>
      </c>
      <c r="L53" s="206" t="s">
        <v>257</v>
      </c>
      <c r="M53" s="211">
        <f t="array" ref="M53">INDEX('Adj. P&amp;L'!$3:$3,MATCH($C53,'Adj. P&amp;L'!$9:$9,0))</f>
        <v>1</v>
      </c>
      <c r="P53" s="208"/>
      <c r="R53" s="208"/>
      <c r="Z53" s="63"/>
      <c r="AF53" s="63"/>
    </row>
    <row r="54" spans="3:32" ht="15.75" customHeight="1">
      <c r="C54" s="67">
        <f t="shared" si="29"/>
        <v>46356</v>
      </c>
      <c r="D54" s="84"/>
      <c r="E54" s="84"/>
      <c r="F54" s="25"/>
      <c r="H54" s="84">
        <f>COUNTIFS('24-25 events'!$H:$H,$C54,'24-25 events'!$N:$N,H$5)</f>
        <v>0</v>
      </c>
      <c r="K54" s="206">
        <f t="shared" si="26"/>
        <v>2026</v>
      </c>
      <c r="L54" s="206" t="s">
        <v>257</v>
      </c>
      <c r="M54" s="211">
        <f t="array" ref="M54">INDEX('Adj. P&amp;L'!$3:$3,MATCH($C54,'Adj. P&amp;L'!$9:$9,0))</f>
        <v>1</v>
      </c>
      <c r="P54" s="208"/>
      <c r="R54" s="208"/>
      <c r="Z54" s="63"/>
      <c r="AF54" s="63"/>
    </row>
    <row r="55" spans="3:32" ht="15.75" customHeight="1">
      <c r="C55" s="67">
        <f t="shared" si="29"/>
        <v>46387</v>
      </c>
      <c r="D55" s="84"/>
      <c r="E55" s="84"/>
      <c r="F55" s="25"/>
      <c r="H55" s="84">
        <f>COUNTIFS('24-25 events'!$H:$H,$C55,'24-25 events'!$N:$N,H$5)</f>
        <v>0</v>
      </c>
      <c r="K55" s="206">
        <f t="shared" si="26"/>
        <v>2026</v>
      </c>
      <c r="L55" s="206" t="s">
        <v>257</v>
      </c>
      <c r="M55" s="211">
        <f t="array" ref="M55">INDEX('Adj. P&amp;L'!$3:$3,MATCH($C55,'Adj. P&amp;L'!$9:$9,0))</f>
        <v>1</v>
      </c>
      <c r="P55" s="208"/>
      <c r="R55" s="208"/>
      <c r="Z55" s="63"/>
      <c r="AF55" s="63"/>
    </row>
    <row r="56" spans="3:32" ht="15.75" customHeight="1">
      <c r="C56" s="67">
        <f t="shared" si="29"/>
        <v>46418</v>
      </c>
      <c r="D56" s="84"/>
      <c r="E56" s="84"/>
      <c r="F56" s="25"/>
      <c r="H56" s="84">
        <f>COUNTIFS('24-25 events'!$H:$H,$C56,'24-25 events'!$N:$N,H$5)</f>
        <v>0</v>
      </c>
      <c r="K56" s="206">
        <f t="shared" si="26"/>
        <v>2027</v>
      </c>
      <c r="L56" s="206" t="s">
        <v>257</v>
      </c>
      <c r="M56" s="211">
        <f t="array" ref="M56">INDEX('Adj. P&amp;L'!$3:$3,MATCH($C56,'Adj. P&amp;L'!$9:$9,0))</f>
        <v>1</v>
      </c>
      <c r="P56" s="208"/>
      <c r="R56" s="208"/>
    </row>
    <row r="57" spans="3:32" ht="15.75" customHeight="1">
      <c r="C57" s="67">
        <f t="shared" si="29"/>
        <v>46446</v>
      </c>
      <c r="D57" s="84"/>
      <c r="E57" s="84"/>
      <c r="F57" s="25"/>
      <c r="H57" s="84">
        <f>COUNTIFS('24-25 events'!$H:$H,$C57,'24-25 events'!$N:$N,H$5)</f>
        <v>0</v>
      </c>
      <c r="K57" s="206">
        <f t="shared" si="26"/>
        <v>2027</v>
      </c>
      <c r="L57" s="206" t="s">
        <v>257</v>
      </c>
      <c r="M57" s="211">
        <f t="array" ref="M57">INDEX('Adj. P&amp;L'!$3:$3,MATCH($C57,'Adj. P&amp;L'!$9:$9,0))</f>
        <v>1</v>
      </c>
      <c r="P57" s="208"/>
      <c r="R57" s="208"/>
    </row>
    <row r="58" spans="3:32" ht="15.75" customHeight="1">
      <c r="C58" s="67">
        <f t="shared" si="29"/>
        <v>46477</v>
      </c>
      <c r="D58" s="84"/>
      <c r="E58" s="84"/>
      <c r="F58" s="25"/>
      <c r="H58" s="84">
        <f>COUNTIFS('24-25 events'!$H:$H,$C58,'24-25 events'!$N:$N,H$5)</f>
        <v>0</v>
      </c>
      <c r="K58" s="206">
        <f t="shared" si="26"/>
        <v>2027</v>
      </c>
      <c r="L58" s="206" t="s">
        <v>257</v>
      </c>
      <c r="M58" s="211">
        <f t="array" ref="M58">INDEX('Adj. P&amp;L'!$3:$3,MATCH($C58,'Adj. P&amp;L'!$9:$9,0))</f>
        <v>1</v>
      </c>
      <c r="P58" s="208"/>
      <c r="R58" s="208"/>
    </row>
    <row r="59" spans="3:32" ht="15.75" customHeight="1">
      <c r="C59" s="67">
        <f t="shared" si="29"/>
        <v>46507</v>
      </c>
      <c r="D59" s="84"/>
      <c r="E59" s="84"/>
      <c r="F59" s="25"/>
      <c r="H59" s="84">
        <f>COUNTIFS('24-25 events'!$H:$H,$C59,'24-25 events'!$N:$N,H$5)</f>
        <v>0</v>
      </c>
      <c r="K59" s="206">
        <f t="shared" si="26"/>
        <v>2027</v>
      </c>
      <c r="L59" s="206" t="s">
        <v>257</v>
      </c>
      <c r="M59" s="211">
        <f t="array" ref="M59">INDEX('Adj. P&amp;L'!$3:$3,MATCH($C59,'Adj. P&amp;L'!$9:$9,0))</f>
        <v>1</v>
      </c>
      <c r="P59" s="208"/>
      <c r="R59" s="208"/>
    </row>
    <row r="60" spans="3:32" ht="15.75" customHeight="1">
      <c r="C60" s="67">
        <f t="shared" si="29"/>
        <v>46538</v>
      </c>
      <c r="D60" s="84"/>
      <c r="E60" s="84"/>
      <c r="F60" s="25"/>
      <c r="H60" s="84">
        <f>COUNTIFS('24-25 events'!$H:$H,$C60,'24-25 events'!$N:$N,H$5)</f>
        <v>0</v>
      </c>
      <c r="K60" s="206">
        <f t="shared" si="26"/>
        <v>2027</v>
      </c>
      <c r="L60" s="210" t="s">
        <v>257</v>
      </c>
      <c r="M60" s="211">
        <f t="array" ref="M60">INDEX('Adj. P&amp;L'!$3:$3,MATCH($C60,'Adj. P&amp;L'!$9:$9,0))</f>
        <v>1</v>
      </c>
      <c r="P60" s="208"/>
      <c r="R60" s="208"/>
    </row>
    <row r="61" spans="3:32" ht="15.75" customHeight="1">
      <c r="C61" s="67">
        <f t="shared" si="29"/>
        <v>46568</v>
      </c>
      <c r="D61" s="84"/>
      <c r="E61" s="84"/>
      <c r="F61" s="25"/>
      <c r="H61" s="84">
        <f>COUNTIFS('24-25 events'!$H:$H,$C61,'24-25 events'!$N:$N,H$5)</f>
        <v>0</v>
      </c>
      <c r="K61" s="206">
        <f t="shared" si="26"/>
        <v>2027</v>
      </c>
      <c r="L61" s="206" t="s">
        <v>258</v>
      </c>
      <c r="M61" s="211">
        <f t="array" ref="M61">INDEX('Adj. P&amp;L'!$3:$3,MATCH($C61,'Adj. P&amp;L'!$9:$9,0))</f>
        <v>2</v>
      </c>
      <c r="P61" s="208"/>
      <c r="R61" s="208"/>
    </row>
    <row r="62" spans="3:32" ht="15.75" customHeight="1">
      <c r="C62" s="67">
        <f t="shared" si="29"/>
        <v>46599</v>
      </c>
      <c r="D62" s="84"/>
      <c r="E62" s="84"/>
      <c r="F62" s="25"/>
      <c r="H62" s="84">
        <f>COUNTIFS('24-25 events'!$H:$H,$C62,'24-25 events'!$N:$N,H$5)</f>
        <v>0</v>
      </c>
      <c r="K62" s="206">
        <f t="shared" si="26"/>
        <v>2027</v>
      </c>
      <c r="L62" s="206" t="s">
        <v>258</v>
      </c>
      <c r="M62" s="211">
        <f t="array" ref="M62">INDEX('Adj. P&amp;L'!$3:$3,MATCH($C62,'Adj. P&amp;L'!$9:$9,0))</f>
        <v>2</v>
      </c>
      <c r="P62" s="208"/>
      <c r="R62" s="208"/>
    </row>
    <row r="63" spans="3:32" ht="15.75" customHeight="1">
      <c r="C63" s="67">
        <f t="shared" si="29"/>
        <v>46630</v>
      </c>
      <c r="D63" s="84"/>
      <c r="E63" s="84"/>
      <c r="F63" s="25"/>
      <c r="H63" s="84">
        <f>COUNTIFS('24-25 events'!$H:$H,$C63,'24-25 events'!$N:$N,H$5)</f>
        <v>0</v>
      </c>
      <c r="K63" s="206">
        <f t="shared" si="26"/>
        <v>2027</v>
      </c>
      <c r="L63" s="206" t="s">
        <v>258</v>
      </c>
      <c r="M63" s="211">
        <f t="array" ref="M63">INDEX('Adj. P&amp;L'!$3:$3,MATCH($C63,'Adj. P&amp;L'!$9:$9,0))</f>
        <v>2</v>
      </c>
      <c r="P63" s="208"/>
      <c r="R63" s="208"/>
    </row>
    <row r="64" spans="3:32" ht="15.75" customHeight="1">
      <c r="C64" s="67">
        <f t="shared" si="29"/>
        <v>46660</v>
      </c>
      <c r="D64" s="84"/>
      <c r="E64" s="84"/>
      <c r="F64" s="25"/>
      <c r="H64" s="84">
        <f>COUNTIFS('24-25 events'!$H:$H,$C64,'24-25 events'!$N:$N,H$5)</f>
        <v>0</v>
      </c>
      <c r="K64" s="206">
        <f t="shared" si="26"/>
        <v>2027</v>
      </c>
      <c r="L64" s="206" t="s">
        <v>258</v>
      </c>
      <c r="M64" s="211">
        <f t="array" ref="M64">INDEX('Adj. P&amp;L'!$3:$3,MATCH($C64,'Adj. P&amp;L'!$9:$9,0))</f>
        <v>2</v>
      </c>
      <c r="P64" s="208"/>
      <c r="R64" s="208"/>
    </row>
    <row r="65" spans="3:18" ht="15.75" customHeight="1">
      <c r="C65" s="67">
        <f t="shared" si="29"/>
        <v>46691</v>
      </c>
      <c r="D65" s="84"/>
      <c r="E65" s="84"/>
      <c r="F65" s="25"/>
      <c r="H65" s="84">
        <f>COUNTIFS('24-25 events'!$H:$H,$C65,'24-25 events'!$N:$N,H$5)</f>
        <v>0</v>
      </c>
      <c r="K65" s="206">
        <f t="shared" si="26"/>
        <v>2027</v>
      </c>
      <c r="L65" s="206" t="s">
        <v>258</v>
      </c>
      <c r="M65" s="211">
        <f t="array" ref="M65">INDEX('Adj. P&amp;L'!$3:$3,MATCH($C65,'Adj. P&amp;L'!$9:$9,0))</f>
        <v>2</v>
      </c>
      <c r="P65" s="208"/>
      <c r="R65" s="208"/>
    </row>
    <row r="66" spans="3:18" ht="15.75" customHeight="1">
      <c r="C66" s="67">
        <f t="shared" si="29"/>
        <v>46721</v>
      </c>
      <c r="D66" s="84"/>
      <c r="E66" s="84"/>
      <c r="F66" s="25"/>
      <c r="H66" s="84">
        <f>COUNTIFS('24-25 events'!$H:$H,$C66,'24-25 events'!$N:$N,H$5)</f>
        <v>0</v>
      </c>
      <c r="K66" s="206">
        <f t="shared" si="26"/>
        <v>2027</v>
      </c>
      <c r="L66" s="206" t="s">
        <v>258</v>
      </c>
      <c r="M66" s="211">
        <f t="array" ref="M66">INDEX('Adj. P&amp;L'!$3:$3,MATCH($C66,'Adj. P&amp;L'!$9:$9,0))</f>
        <v>2</v>
      </c>
      <c r="P66" s="208"/>
      <c r="R66" s="208"/>
    </row>
    <row r="67" spans="3:18" ht="15.75" customHeight="1">
      <c r="C67" s="67">
        <f t="shared" si="29"/>
        <v>46752</v>
      </c>
      <c r="D67" s="84"/>
      <c r="E67" s="84"/>
      <c r="F67" s="25"/>
      <c r="H67" s="84">
        <f>COUNTIFS('24-25 events'!$H:$H,$C67,'24-25 events'!$N:$N,H$5)</f>
        <v>0</v>
      </c>
      <c r="K67" s="206">
        <f t="shared" si="26"/>
        <v>2027</v>
      </c>
      <c r="L67" s="206" t="s">
        <v>258</v>
      </c>
      <c r="M67" s="211">
        <f t="array" ref="M67">INDEX('Adj. P&amp;L'!$3:$3,MATCH($C67,'Adj. P&amp;L'!$9:$9,0))</f>
        <v>2</v>
      </c>
      <c r="P67" s="208"/>
      <c r="R67" s="208"/>
    </row>
    <row r="68" spans="3:18" ht="15.75" customHeight="1">
      <c r="C68" s="67">
        <f t="shared" si="29"/>
        <v>46783</v>
      </c>
      <c r="D68" s="84"/>
      <c r="E68" s="84"/>
      <c r="F68" s="25"/>
      <c r="H68" s="84">
        <f>COUNTIFS('24-25 events'!$H:$H,$C68,'24-25 events'!$N:$N,H$5)</f>
        <v>0</v>
      </c>
      <c r="K68" s="206">
        <f t="shared" si="26"/>
        <v>2028</v>
      </c>
      <c r="L68" s="206" t="s">
        <v>258</v>
      </c>
      <c r="M68" s="211">
        <f t="array" ref="M68">INDEX('Adj. P&amp;L'!$3:$3,MATCH($C68,'Adj. P&amp;L'!$9:$9,0))</f>
        <v>2</v>
      </c>
      <c r="P68" s="208"/>
      <c r="R68" s="208"/>
    </row>
    <row r="69" spans="3:18" ht="15.75" customHeight="1">
      <c r="C69" s="67">
        <f t="shared" si="29"/>
        <v>46812</v>
      </c>
      <c r="D69" s="84"/>
      <c r="E69" s="84"/>
      <c r="F69" s="25"/>
      <c r="H69" s="84">
        <f>COUNTIFS('24-25 events'!$H:$H,$C69,'24-25 events'!$N:$N,H$5)</f>
        <v>0</v>
      </c>
      <c r="K69" s="206">
        <f t="shared" si="26"/>
        <v>2028</v>
      </c>
      <c r="L69" s="206" t="s">
        <v>258</v>
      </c>
      <c r="M69" s="211">
        <f t="array" ref="M69">INDEX('Adj. P&amp;L'!$3:$3,MATCH($C69,'Adj. P&amp;L'!$9:$9,0))</f>
        <v>2</v>
      </c>
      <c r="P69" s="208"/>
      <c r="R69" s="208"/>
    </row>
    <row r="70" spans="3:18" ht="15.75" customHeight="1">
      <c r="C70" s="67">
        <f t="shared" si="29"/>
        <v>46843</v>
      </c>
      <c r="D70" s="84"/>
      <c r="E70" s="84"/>
      <c r="F70" s="25"/>
      <c r="H70" s="84">
        <f>COUNTIFS('24-25 events'!$H:$H,$C70,'24-25 events'!$N:$N,H$5)</f>
        <v>0</v>
      </c>
      <c r="K70" s="206">
        <f t="shared" si="26"/>
        <v>2028</v>
      </c>
      <c r="L70" s="206" t="s">
        <v>258</v>
      </c>
      <c r="M70" s="211">
        <f t="array" ref="M70">INDEX('Adj. P&amp;L'!$3:$3,MATCH($C70,'Adj. P&amp;L'!$9:$9,0))</f>
        <v>2</v>
      </c>
      <c r="P70" s="208"/>
      <c r="R70" s="208"/>
    </row>
    <row r="71" spans="3:18" ht="15.75" customHeight="1">
      <c r="C71" s="67">
        <f t="shared" si="29"/>
        <v>46873</v>
      </c>
      <c r="D71" s="84"/>
      <c r="E71" s="84"/>
      <c r="F71" s="25"/>
      <c r="H71" s="84">
        <f>COUNTIFS('24-25 events'!$H:$H,$C71,'24-25 events'!$N:$N,H$5)</f>
        <v>0</v>
      </c>
      <c r="K71" s="206">
        <f t="shared" si="26"/>
        <v>2028</v>
      </c>
      <c r="L71" s="206" t="s">
        <v>258</v>
      </c>
      <c r="M71" s="211">
        <f t="array" ref="M71">INDEX('Adj. P&amp;L'!$3:$3,MATCH($C71,'Adj. P&amp;L'!$9:$9,0))</f>
        <v>2</v>
      </c>
      <c r="P71" s="208"/>
      <c r="R71" s="208"/>
    </row>
    <row r="72" spans="3:18" ht="15.75" customHeight="1">
      <c r="C72" s="67">
        <f t="shared" si="29"/>
        <v>46904</v>
      </c>
      <c r="D72" s="84"/>
      <c r="E72" s="84"/>
      <c r="F72" s="25"/>
      <c r="H72" s="84">
        <f>COUNTIFS('24-25 events'!$H:$H,$C72,'24-25 events'!$N:$N,H$5)</f>
        <v>0</v>
      </c>
      <c r="K72" s="206">
        <f t="shared" si="26"/>
        <v>2028</v>
      </c>
      <c r="L72" s="210" t="s">
        <v>258</v>
      </c>
      <c r="M72" s="211">
        <f t="array" ref="M72">INDEX('Adj. P&amp;L'!$3:$3,MATCH($C72,'Adj. P&amp;L'!$9:$9,0))</f>
        <v>2</v>
      </c>
      <c r="P72" s="208"/>
      <c r="R72" s="208"/>
    </row>
    <row r="73" spans="3:18" ht="15.75" customHeight="1">
      <c r="C73" s="67">
        <f t="shared" si="29"/>
        <v>46934</v>
      </c>
      <c r="D73" s="84"/>
      <c r="E73" s="84"/>
      <c r="F73" s="25"/>
      <c r="H73" s="84">
        <f>COUNTIFS('24-25 events'!$H:$H,$C73,'24-25 events'!$N:$N,H$5)</f>
        <v>0</v>
      </c>
      <c r="K73" s="206">
        <f t="shared" si="26"/>
        <v>2028</v>
      </c>
      <c r="L73" s="206" t="s">
        <v>260</v>
      </c>
      <c r="M73" s="211">
        <f t="array" ref="M73">INDEX('Adj. P&amp;L'!$3:$3,MATCH($C73,'Adj. P&amp;L'!$9:$9,0))</f>
        <v>3</v>
      </c>
      <c r="P73" s="208"/>
      <c r="R73" s="208"/>
    </row>
    <row r="74" spans="3:18" ht="15.75" customHeight="1">
      <c r="C74" s="67">
        <f t="shared" si="29"/>
        <v>46965</v>
      </c>
      <c r="D74" s="84"/>
      <c r="E74" s="84"/>
      <c r="F74" s="25"/>
      <c r="H74" s="84">
        <f>COUNTIFS('24-25 events'!$H:$H,$C74,'24-25 events'!$N:$N,H$5)</f>
        <v>0</v>
      </c>
      <c r="K74" s="206">
        <f t="shared" si="26"/>
        <v>2028</v>
      </c>
      <c r="L74" s="206" t="s">
        <v>260</v>
      </c>
      <c r="M74" s="211">
        <f t="array" ref="M74">INDEX('Adj. P&amp;L'!$3:$3,MATCH($C74,'Adj. P&amp;L'!$9:$9,0))</f>
        <v>3</v>
      </c>
      <c r="P74" s="208"/>
      <c r="R74" s="208"/>
    </row>
    <row r="75" spans="3:18" ht="15.75" customHeight="1">
      <c r="C75" s="67">
        <f t="shared" si="29"/>
        <v>46996</v>
      </c>
      <c r="D75" s="84"/>
      <c r="E75" s="84"/>
      <c r="F75" s="25"/>
      <c r="H75" s="84">
        <f>COUNTIFS('24-25 events'!$H:$H,$C75,'24-25 events'!$N:$N,H$5)</f>
        <v>0</v>
      </c>
      <c r="K75" s="206">
        <f t="shared" si="26"/>
        <v>2028</v>
      </c>
      <c r="L75" s="206" t="s">
        <v>260</v>
      </c>
      <c r="M75" s="211">
        <f t="array" ref="M75">INDEX('Adj. P&amp;L'!$3:$3,MATCH($C75,'Adj. P&amp;L'!$9:$9,0))</f>
        <v>3</v>
      </c>
      <c r="P75" s="208"/>
      <c r="R75" s="208"/>
    </row>
    <row r="76" spans="3:18" ht="15.75" customHeight="1">
      <c r="C76" s="67">
        <f t="shared" si="29"/>
        <v>47026</v>
      </c>
      <c r="D76" s="84"/>
      <c r="E76" s="84"/>
      <c r="F76" s="25"/>
      <c r="H76" s="84">
        <f>COUNTIFS('24-25 events'!$H:$H,$C76,'24-25 events'!$N:$N,H$5)</f>
        <v>0</v>
      </c>
      <c r="K76" s="206">
        <f t="shared" si="26"/>
        <v>2028</v>
      </c>
      <c r="L76" s="206" t="s">
        <v>260</v>
      </c>
      <c r="M76" s="211">
        <f t="array" ref="M76">INDEX('Adj. P&amp;L'!$3:$3,MATCH($C76,'Adj. P&amp;L'!$9:$9,0))</f>
        <v>3</v>
      </c>
      <c r="P76" s="208"/>
      <c r="R76" s="208"/>
    </row>
    <row r="77" spans="3:18" ht="15.75" customHeight="1">
      <c r="C77" s="67">
        <f t="shared" si="29"/>
        <v>47057</v>
      </c>
      <c r="D77" s="84"/>
      <c r="E77" s="84"/>
      <c r="F77" s="25"/>
      <c r="H77" s="84">
        <f>COUNTIFS('24-25 events'!$H:$H,$C77,'24-25 events'!$N:$N,H$5)</f>
        <v>0</v>
      </c>
      <c r="K77" s="206">
        <f t="shared" si="26"/>
        <v>2028</v>
      </c>
      <c r="L77" s="206" t="s">
        <v>260</v>
      </c>
      <c r="M77" s="211">
        <f t="array" ref="M77">INDEX('Adj. P&amp;L'!$3:$3,MATCH($C77,'Adj. P&amp;L'!$9:$9,0))</f>
        <v>3</v>
      </c>
      <c r="P77" s="208"/>
      <c r="R77" s="208"/>
    </row>
    <row r="78" spans="3:18" ht="15.75" customHeight="1">
      <c r="C78" s="67">
        <f t="shared" si="29"/>
        <v>47087</v>
      </c>
      <c r="D78" s="84"/>
      <c r="E78" s="84"/>
      <c r="F78" s="25"/>
      <c r="H78" s="84">
        <f>COUNTIFS('24-25 events'!$H:$H,$C78,'24-25 events'!$N:$N,H$5)</f>
        <v>0</v>
      </c>
      <c r="K78" s="206">
        <f t="shared" si="26"/>
        <v>2028</v>
      </c>
      <c r="L78" s="206" t="s">
        <v>260</v>
      </c>
      <c r="M78" s="211">
        <f t="array" ref="M78">INDEX('Adj. P&amp;L'!$3:$3,MATCH($C78,'Adj. P&amp;L'!$9:$9,0))</f>
        <v>3</v>
      </c>
      <c r="P78" s="208"/>
      <c r="R78" s="208"/>
    </row>
    <row r="79" spans="3:18" ht="15.75" customHeight="1">
      <c r="C79" s="67">
        <f t="shared" si="29"/>
        <v>47118</v>
      </c>
      <c r="D79" s="84"/>
      <c r="E79" s="84"/>
      <c r="F79" s="25"/>
      <c r="H79" s="84">
        <f>COUNTIFS('24-25 events'!$H:$H,$C79,'24-25 events'!$N:$N,H$5)</f>
        <v>0</v>
      </c>
      <c r="K79" s="206">
        <f t="shared" si="26"/>
        <v>2028</v>
      </c>
      <c r="L79" s="206" t="s">
        <v>260</v>
      </c>
      <c r="M79" s="211">
        <f t="array" ref="M79">INDEX('Adj. P&amp;L'!$3:$3,MATCH($C79,'Adj. P&amp;L'!$9:$9,0))</f>
        <v>3</v>
      </c>
      <c r="P79" s="208"/>
      <c r="R79" s="208"/>
    </row>
    <row r="80" spans="3:18" ht="15.75" customHeight="1">
      <c r="C80" s="67"/>
      <c r="K80" s="42"/>
      <c r="L80" s="206" t="s">
        <v>260</v>
      </c>
      <c r="M80" s="212"/>
    </row>
    <row r="81" spans="3:13" ht="15.75" customHeight="1">
      <c r="C81" s="67"/>
      <c r="K81" s="42"/>
      <c r="L81" s="206" t="s">
        <v>260</v>
      </c>
      <c r="M81" s="212"/>
    </row>
    <row r="82" spans="3:13" ht="15.75" customHeight="1">
      <c r="C82" s="67"/>
      <c r="K82" s="42"/>
      <c r="L82" s="206" t="s">
        <v>260</v>
      </c>
      <c r="M82" s="212"/>
    </row>
    <row r="83" spans="3:13" ht="15.75" customHeight="1">
      <c r="C83" s="67"/>
      <c r="K83" s="42"/>
      <c r="L83" s="206" t="s">
        <v>260</v>
      </c>
      <c r="M83" s="212"/>
    </row>
    <row r="84" spans="3:13" ht="15.75" customHeight="1">
      <c r="K84" s="42"/>
      <c r="L84" s="210" t="s">
        <v>260</v>
      </c>
      <c r="M84" s="212"/>
    </row>
    <row r="85" spans="3:13" ht="15.75" customHeight="1">
      <c r="K85" s="42"/>
      <c r="L85" s="42"/>
      <c r="M85" s="42"/>
    </row>
    <row r="86" spans="3:13" ht="15.75" customHeight="1">
      <c r="K86" s="42"/>
      <c r="L86" s="42"/>
      <c r="M86" s="42"/>
    </row>
    <row r="87" spans="3:13" ht="15.75" customHeight="1">
      <c r="K87" s="42"/>
      <c r="L87" s="42"/>
      <c r="M87" s="42"/>
    </row>
    <row r="88" spans="3:13" ht="15.75" customHeight="1">
      <c r="K88" s="42"/>
      <c r="L88" s="42"/>
      <c r="M88" s="42"/>
    </row>
    <row r="89" spans="3:13" ht="15.75" customHeight="1">
      <c r="K89" s="42"/>
      <c r="L89" s="42"/>
      <c r="M89" s="42"/>
    </row>
    <row r="90" spans="3:13" ht="15.75" customHeight="1">
      <c r="K90" s="42"/>
      <c r="L90" s="42"/>
      <c r="M90" s="42"/>
    </row>
    <row r="91" spans="3:13" ht="15.75" customHeight="1">
      <c r="K91" s="42"/>
      <c r="L91" s="42"/>
      <c r="M91" s="42"/>
    </row>
    <row r="92" spans="3:13" ht="15.75" customHeight="1">
      <c r="K92" s="42"/>
      <c r="L92" s="42"/>
      <c r="M92" s="42"/>
    </row>
    <row r="93" spans="3:13" ht="15.75" customHeight="1">
      <c r="K93" s="42"/>
      <c r="L93" s="42"/>
      <c r="M93" s="42"/>
    </row>
    <row r="94" spans="3:13" ht="15.75" customHeight="1">
      <c r="K94" s="42"/>
      <c r="L94" s="42"/>
      <c r="M94" s="42"/>
    </row>
    <row r="95" spans="3:13" ht="15.75" customHeight="1">
      <c r="K95" s="42"/>
      <c r="L95" s="42"/>
      <c r="M95" s="42"/>
    </row>
    <row r="96" spans="3:13" ht="15.75" customHeight="1">
      <c r="K96" s="42"/>
      <c r="L96" s="42"/>
      <c r="M96" s="42"/>
    </row>
    <row r="97" spans="11:13" ht="15.75" customHeight="1">
      <c r="K97" s="42"/>
      <c r="L97" s="42"/>
      <c r="M97" s="42"/>
    </row>
    <row r="98" spans="11:13" ht="15.75" customHeight="1">
      <c r="K98" s="42"/>
      <c r="L98" s="42"/>
      <c r="M98" s="42"/>
    </row>
    <row r="99" spans="11:13" ht="15.75" customHeight="1">
      <c r="K99" s="42"/>
      <c r="L99" s="42"/>
      <c r="M99" s="42"/>
    </row>
    <row r="100" spans="11:13" ht="15.75" customHeight="1">
      <c r="K100" s="42"/>
      <c r="L100" s="42"/>
      <c r="M100" s="42"/>
    </row>
    <row r="101" spans="11:13" ht="15.75" customHeight="1">
      <c r="K101" s="42"/>
      <c r="L101" s="42"/>
      <c r="M101" s="42"/>
    </row>
    <row r="102" spans="11:13" ht="15.75" customHeight="1">
      <c r="K102" s="42"/>
      <c r="L102" s="42"/>
      <c r="M102" s="42"/>
    </row>
    <row r="103" spans="11:13" ht="15.75" customHeight="1">
      <c r="K103" s="42"/>
      <c r="L103" s="42"/>
      <c r="M103" s="42"/>
    </row>
    <row r="104" spans="11:13" ht="15.75" customHeight="1">
      <c r="K104" s="42"/>
      <c r="L104" s="42"/>
      <c r="M104" s="42"/>
    </row>
    <row r="105" spans="11:13" ht="15.75" customHeight="1">
      <c r="K105" s="42"/>
      <c r="L105" s="42"/>
      <c r="M105" s="42"/>
    </row>
    <row r="106" spans="11:13" ht="15.75" customHeight="1">
      <c r="K106" s="42"/>
      <c r="L106" s="42"/>
      <c r="M106" s="42"/>
    </row>
    <row r="107" spans="11:13" ht="15.75" customHeight="1">
      <c r="K107" s="42"/>
      <c r="L107" s="42"/>
      <c r="M107" s="42"/>
    </row>
    <row r="108" spans="11:13" ht="15.75" customHeight="1">
      <c r="K108" s="42"/>
      <c r="L108" s="42"/>
      <c r="M108" s="42"/>
    </row>
    <row r="109" spans="11:13" ht="15.75" customHeight="1">
      <c r="K109" s="42"/>
      <c r="L109" s="42"/>
      <c r="M109" s="42"/>
    </row>
    <row r="110" spans="11:13" ht="15.75" customHeight="1">
      <c r="K110" s="42"/>
      <c r="L110" s="42"/>
      <c r="M110" s="42"/>
    </row>
    <row r="111" spans="11:13" ht="15.75" customHeight="1">
      <c r="K111" s="42"/>
      <c r="L111" s="42"/>
      <c r="M111" s="42"/>
    </row>
    <row r="112" spans="11:13" ht="15.75" customHeight="1">
      <c r="K112" s="42"/>
      <c r="L112" s="42"/>
      <c r="M112" s="42"/>
    </row>
    <row r="113" spans="11:13" ht="15.75" customHeight="1">
      <c r="K113" s="42"/>
      <c r="L113" s="42"/>
      <c r="M113" s="42"/>
    </row>
    <row r="114" spans="11:13" ht="15.75" customHeight="1">
      <c r="K114" s="42"/>
      <c r="L114" s="42"/>
      <c r="M114" s="42"/>
    </row>
    <row r="115" spans="11:13" ht="15.75" customHeight="1">
      <c r="K115" s="42"/>
      <c r="L115" s="42"/>
      <c r="M115" s="42"/>
    </row>
    <row r="116" spans="11:13" ht="15.75" customHeight="1">
      <c r="K116" s="42"/>
      <c r="L116" s="42"/>
      <c r="M116" s="42"/>
    </row>
    <row r="117" spans="11:13" ht="15.75" customHeight="1">
      <c r="K117" s="42"/>
      <c r="L117" s="42"/>
      <c r="M117" s="42"/>
    </row>
    <row r="118" spans="11:13" ht="15.75" customHeight="1">
      <c r="K118" s="42"/>
      <c r="L118" s="42"/>
      <c r="M118" s="42"/>
    </row>
    <row r="119" spans="11:13" ht="15.75" customHeight="1">
      <c r="K119" s="42"/>
      <c r="L119" s="42"/>
      <c r="M119" s="42"/>
    </row>
    <row r="120" spans="11:13" ht="15.75" customHeight="1">
      <c r="K120" s="42"/>
      <c r="L120" s="42"/>
      <c r="M120" s="42"/>
    </row>
    <row r="121" spans="11:13" ht="15.75" customHeight="1">
      <c r="K121" s="42"/>
      <c r="L121" s="42"/>
      <c r="M121" s="42"/>
    </row>
    <row r="122" spans="11:13" ht="15.75" customHeight="1">
      <c r="K122" s="42"/>
      <c r="L122" s="42"/>
      <c r="M122" s="42"/>
    </row>
    <row r="123" spans="11:13" ht="15.75" customHeight="1">
      <c r="K123" s="42"/>
      <c r="L123" s="42"/>
      <c r="M123" s="42"/>
    </row>
    <row r="124" spans="11:13" ht="15.75" customHeight="1">
      <c r="K124" s="42"/>
      <c r="L124" s="42"/>
      <c r="M124" s="42"/>
    </row>
    <row r="125" spans="11:13" ht="15.75" customHeight="1">
      <c r="K125" s="42"/>
      <c r="L125" s="42"/>
      <c r="M125" s="42"/>
    </row>
    <row r="126" spans="11:13" ht="15.75" customHeight="1">
      <c r="K126" s="42"/>
      <c r="L126" s="42"/>
      <c r="M126" s="42"/>
    </row>
    <row r="127" spans="11:13" ht="15.75" customHeight="1">
      <c r="K127" s="42"/>
      <c r="L127" s="42"/>
      <c r="M127" s="42"/>
    </row>
    <row r="128" spans="11:13" ht="15.75" customHeight="1">
      <c r="K128" s="42"/>
      <c r="L128" s="42"/>
      <c r="M128" s="42"/>
    </row>
    <row r="129" spans="11:13" ht="15.75" customHeight="1">
      <c r="K129" s="42"/>
      <c r="L129" s="42"/>
      <c r="M129" s="42"/>
    </row>
    <row r="130" spans="11:13" ht="15.75" customHeight="1">
      <c r="K130" s="42"/>
      <c r="L130" s="42"/>
      <c r="M130" s="42"/>
    </row>
    <row r="131" spans="11:13" ht="15.75" customHeight="1">
      <c r="K131" s="42"/>
      <c r="L131" s="42"/>
      <c r="M131" s="42"/>
    </row>
    <row r="132" spans="11:13" ht="15.75" customHeight="1">
      <c r="K132" s="42"/>
      <c r="L132" s="42"/>
      <c r="M132" s="42"/>
    </row>
    <row r="133" spans="11:13" ht="15.75" customHeight="1">
      <c r="K133" s="42"/>
      <c r="L133" s="42"/>
      <c r="M133" s="42"/>
    </row>
    <row r="134" spans="11:13" ht="15.75" customHeight="1">
      <c r="K134" s="42"/>
      <c r="L134" s="42"/>
      <c r="M134" s="42"/>
    </row>
    <row r="135" spans="11:13" ht="15.75" customHeight="1">
      <c r="K135" s="42"/>
      <c r="L135" s="42"/>
      <c r="M135" s="42"/>
    </row>
    <row r="136" spans="11:13" ht="15.75" customHeight="1">
      <c r="K136" s="42"/>
      <c r="L136" s="42"/>
      <c r="M136" s="42"/>
    </row>
    <row r="137" spans="11:13" ht="15.75" customHeight="1">
      <c r="K137" s="42"/>
      <c r="L137" s="42"/>
      <c r="M137" s="42"/>
    </row>
    <row r="138" spans="11:13" ht="15.75" customHeight="1">
      <c r="K138" s="42"/>
      <c r="L138" s="42"/>
      <c r="M138" s="42"/>
    </row>
    <row r="139" spans="11:13" ht="15.75" customHeight="1">
      <c r="K139" s="42"/>
      <c r="L139" s="42"/>
      <c r="M139" s="42"/>
    </row>
    <row r="140" spans="11:13" ht="15.75" customHeight="1">
      <c r="K140" s="42"/>
      <c r="L140" s="42"/>
      <c r="M140" s="42"/>
    </row>
    <row r="141" spans="11:13" ht="15.75" customHeight="1">
      <c r="K141" s="42"/>
      <c r="L141" s="42"/>
      <c r="M141" s="42"/>
    </row>
    <row r="142" spans="11:13" ht="15.75" customHeight="1">
      <c r="K142" s="42"/>
      <c r="L142" s="42"/>
      <c r="M142" s="42"/>
    </row>
    <row r="143" spans="11:13" ht="15.75" customHeight="1">
      <c r="K143" s="42"/>
      <c r="L143" s="42"/>
      <c r="M143" s="42"/>
    </row>
    <row r="144" spans="11:13" ht="15.75" customHeight="1">
      <c r="K144" s="42"/>
      <c r="L144" s="42"/>
      <c r="M144" s="42"/>
    </row>
    <row r="145" spans="11:13" ht="15.75" customHeight="1">
      <c r="K145" s="42"/>
      <c r="L145" s="42"/>
      <c r="M145" s="42"/>
    </row>
    <row r="146" spans="11:13" ht="15.75" customHeight="1">
      <c r="K146" s="42"/>
      <c r="L146" s="42"/>
      <c r="M146" s="42"/>
    </row>
    <row r="147" spans="11:13" ht="15.75" customHeight="1">
      <c r="K147" s="42"/>
      <c r="L147" s="42"/>
      <c r="M147" s="42"/>
    </row>
    <row r="148" spans="11:13" ht="15.75" customHeight="1">
      <c r="K148" s="42"/>
      <c r="L148" s="42"/>
      <c r="M148" s="42"/>
    </row>
    <row r="149" spans="11:13" ht="15.75" customHeight="1">
      <c r="K149" s="42"/>
      <c r="L149" s="42"/>
      <c r="M149" s="42"/>
    </row>
    <row r="150" spans="11:13" ht="15.75" customHeight="1">
      <c r="K150" s="42"/>
      <c r="L150" s="42"/>
      <c r="M150" s="42"/>
    </row>
    <row r="151" spans="11:13" ht="15.75" customHeight="1">
      <c r="K151" s="42"/>
      <c r="L151" s="42"/>
      <c r="M151" s="42"/>
    </row>
    <row r="152" spans="11:13" ht="15.75" customHeight="1">
      <c r="K152" s="42"/>
      <c r="L152" s="42"/>
      <c r="M152" s="42"/>
    </row>
    <row r="153" spans="11:13" ht="15.75" customHeight="1">
      <c r="K153" s="42"/>
      <c r="L153" s="42"/>
      <c r="M153" s="42"/>
    </row>
    <row r="154" spans="11:13" ht="15.75" customHeight="1">
      <c r="K154" s="42"/>
      <c r="L154" s="42"/>
      <c r="M154" s="42"/>
    </row>
    <row r="155" spans="11:13" ht="15.75" customHeight="1">
      <c r="K155" s="42"/>
      <c r="L155" s="42"/>
      <c r="M155" s="42"/>
    </row>
    <row r="156" spans="11:13" ht="15.75" customHeight="1">
      <c r="K156" s="42"/>
      <c r="L156" s="42"/>
      <c r="M156" s="42"/>
    </row>
    <row r="157" spans="11:13" ht="15.75" customHeight="1">
      <c r="K157" s="42"/>
      <c r="L157" s="42"/>
      <c r="M157" s="42"/>
    </row>
    <row r="158" spans="11:13" ht="15.75" customHeight="1">
      <c r="K158" s="42"/>
      <c r="L158" s="42"/>
      <c r="M158" s="42"/>
    </row>
    <row r="159" spans="11:13" ht="15.75" customHeight="1">
      <c r="K159" s="42"/>
      <c r="L159" s="42"/>
      <c r="M159" s="42"/>
    </row>
    <row r="160" spans="11:13" ht="15.75" customHeight="1">
      <c r="K160" s="42"/>
      <c r="L160" s="42"/>
      <c r="M160" s="42"/>
    </row>
    <row r="161" spans="11:13" ht="15.75" customHeight="1">
      <c r="K161" s="42"/>
      <c r="L161" s="42"/>
      <c r="M161" s="42"/>
    </row>
    <row r="162" spans="11:13" ht="15.75" customHeight="1">
      <c r="K162" s="42"/>
      <c r="L162" s="42"/>
      <c r="M162" s="42"/>
    </row>
    <row r="163" spans="11:13" ht="15.75" customHeight="1">
      <c r="K163" s="42"/>
      <c r="L163" s="42"/>
      <c r="M163" s="42"/>
    </row>
    <row r="164" spans="11:13" ht="15.75" customHeight="1">
      <c r="K164" s="42"/>
      <c r="L164" s="42"/>
      <c r="M164" s="42"/>
    </row>
    <row r="165" spans="11:13" ht="15.75" customHeight="1">
      <c r="K165" s="42"/>
      <c r="L165" s="42"/>
      <c r="M165" s="42"/>
    </row>
    <row r="166" spans="11:13" ht="15.75" customHeight="1">
      <c r="K166" s="42"/>
      <c r="L166" s="42"/>
      <c r="M166" s="42"/>
    </row>
    <row r="167" spans="11:13" ht="15.75" customHeight="1">
      <c r="K167" s="42"/>
      <c r="L167" s="42"/>
      <c r="M167" s="42"/>
    </row>
    <row r="168" spans="11:13" ht="15.75" customHeight="1">
      <c r="K168" s="42"/>
      <c r="L168" s="42"/>
      <c r="M168" s="42"/>
    </row>
    <row r="169" spans="11:13" ht="15.75" customHeight="1">
      <c r="K169" s="42"/>
      <c r="L169" s="42"/>
      <c r="M169" s="42"/>
    </row>
    <row r="170" spans="11:13" ht="15.75" customHeight="1">
      <c r="K170" s="42"/>
      <c r="L170" s="42"/>
      <c r="M170" s="42"/>
    </row>
    <row r="171" spans="11:13" ht="15.75" customHeight="1">
      <c r="K171" s="42"/>
      <c r="L171" s="42"/>
      <c r="M171" s="42"/>
    </row>
    <row r="172" spans="11:13" ht="15.75" customHeight="1">
      <c r="K172" s="42"/>
      <c r="L172" s="42"/>
      <c r="M172" s="42"/>
    </row>
    <row r="173" spans="11:13" ht="15.75" customHeight="1">
      <c r="K173" s="42"/>
      <c r="L173" s="42"/>
      <c r="M173" s="42"/>
    </row>
    <row r="174" spans="11:13" ht="15.75" customHeight="1">
      <c r="K174" s="42"/>
      <c r="L174" s="42"/>
      <c r="M174" s="42"/>
    </row>
    <row r="175" spans="11:13" ht="15.75" customHeight="1">
      <c r="K175" s="42"/>
      <c r="L175" s="42"/>
      <c r="M175" s="42"/>
    </row>
    <row r="176" spans="11:13" ht="15.75" customHeight="1">
      <c r="K176" s="42"/>
      <c r="L176" s="42"/>
      <c r="M176" s="42"/>
    </row>
    <row r="177" spans="11:13" ht="15.75" customHeight="1">
      <c r="K177" s="42"/>
      <c r="L177" s="42"/>
      <c r="M177" s="42"/>
    </row>
    <row r="178" spans="11:13" ht="15.75" customHeight="1">
      <c r="K178" s="42"/>
      <c r="L178" s="42"/>
      <c r="M178" s="42"/>
    </row>
    <row r="179" spans="11:13" ht="15.75" customHeight="1">
      <c r="K179" s="42"/>
      <c r="L179" s="42"/>
      <c r="M179" s="42"/>
    </row>
    <row r="180" spans="11:13" ht="15.75" customHeight="1">
      <c r="K180" s="42"/>
      <c r="L180" s="42"/>
      <c r="M180" s="42"/>
    </row>
    <row r="181" spans="11:13" ht="15.75" customHeight="1">
      <c r="K181" s="42"/>
      <c r="L181" s="42"/>
      <c r="M181" s="42"/>
    </row>
    <row r="182" spans="11:13" ht="15.75" customHeight="1">
      <c r="K182" s="42"/>
      <c r="L182" s="42"/>
      <c r="M182" s="42"/>
    </row>
    <row r="183" spans="11:13" ht="15.75" customHeight="1">
      <c r="K183" s="42"/>
      <c r="L183" s="42"/>
      <c r="M183" s="42"/>
    </row>
    <row r="184" spans="11:13" ht="15.75" customHeight="1">
      <c r="K184" s="42"/>
      <c r="L184" s="42"/>
      <c r="M184" s="42"/>
    </row>
    <row r="185" spans="11:13" ht="15.75" customHeight="1">
      <c r="K185" s="42"/>
      <c r="L185" s="42"/>
      <c r="M185" s="42"/>
    </row>
    <row r="186" spans="11:13" ht="15.75" customHeight="1">
      <c r="K186" s="42"/>
      <c r="L186" s="42"/>
      <c r="M186" s="42"/>
    </row>
    <row r="187" spans="11:13" ht="15.75" customHeight="1">
      <c r="K187" s="42"/>
      <c r="L187" s="42"/>
      <c r="M187" s="42"/>
    </row>
    <row r="188" spans="11:13" ht="15.75" customHeight="1">
      <c r="K188" s="42"/>
      <c r="L188" s="42"/>
      <c r="M188" s="42"/>
    </row>
    <row r="189" spans="11:13" ht="15.75" customHeight="1">
      <c r="K189" s="42"/>
      <c r="L189" s="42"/>
      <c r="M189" s="42"/>
    </row>
    <row r="190" spans="11:13" ht="15.75" customHeight="1">
      <c r="K190" s="42"/>
      <c r="L190" s="42"/>
      <c r="M190" s="42"/>
    </row>
    <row r="191" spans="11:13" ht="15.75" customHeight="1">
      <c r="K191" s="42"/>
      <c r="L191" s="42"/>
      <c r="M191" s="42"/>
    </row>
    <row r="192" spans="11:13" ht="15.75" customHeight="1">
      <c r="K192" s="42"/>
      <c r="L192" s="42"/>
      <c r="M192" s="42"/>
    </row>
    <row r="193" spans="11:13" ht="15.75" customHeight="1">
      <c r="K193" s="42"/>
      <c r="L193" s="42"/>
      <c r="M193" s="42"/>
    </row>
    <row r="194" spans="11:13" ht="15.75" customHeight="1">
      <c r="K194" s="42"/>
      <c r="L194" s="42"/>
      <c r="M194" s="42"/>
    </row>
    <row r="195" spans="11:13" ht="15.75" customHeight="1">
      <c r="K195" s="42"/>
      <c r="L195" s="42"/>
      <c r="M195" s="42"/>
    </row>
    <row r="196" spans="11:13" ht="15.75" customHeight="1">
      <c r="K196" s="42"/>
      <c r="L196" s="42"/>
      <c r="M196" s="42"/>
    </row>
    <row r="197" spans="11:13" ht="15.75" customHeight="1">
      <c r="K197" s="42"/>
      <c r="L197" s="42"/>
      <c r="M197" s="42"/>
    </row>
    <row r="198" spans="11:13" ht="15.75" customHeight="1">
      <c r="K198" s="42"/>
      <c r="L198" s="42"/>
      <c r="M198" s="42"/>
    </row>
    <row r="199" spans="11:13" ht="15.75" customHeight="1">
      <c r="K199" s="42"/>
      <c r="L199" s="42"/>
      <c r="M199" s="42"/>
    </row>
    <row r="200" spans="11:13" ht="15.75" customHeight="1">
      <c r="K200" s="42"/>
      <c r="L200" s="42"/>
      <c r="M200" s="42"/>
    </row>
    <row r="201" spans="11:13" ht="15.75" customHeight="1">
      <c r="K201" s="42"/>
      <c r="L201" s="42"/>
      <c r="M201" s="42"/>
    </row>
    <row r="202" spans="11:13" ht="15.75" customHeight="1">
      <c r="K202" s="42"/>
      <c r="L202" s="42"/>
      <c r="M202" s="42"/>
    </row>
    <row r="203" spans="11:13" ht="15.75" customHeight="1">
      <c r="K203" s="42"/>
      <c r="L203" s="42"/>
      <c r="M203" s="42"/>
    </row>
    <row r="204" spans="11:13" ht="15.75" customHeight="1">
      <c r="K204" s="42"/>
      <c r="L204" s="42"/>
      <c r="M204" s="42"/>
    </row>
    <row r="205" spans="11:13" ht="15.75" customHeight="1">
      <c r="K205" s="42"/>
      <c r="L205" s="42"/>
      <c r="M205" s="42"/>
    </row>
    <row r="206" spans="11:13" ht="15.75" customHeight="1">
      <c r="K206" s="42"/>
      <c r="L206" s="42"/>
      <c r="M206" s="42"/>
    </row>
    <row r="207" spans="11:13" ht="15.75" customHeight="1">
      <c r="K207" s="42"/>
      <c r="L207" s="42"/>
      <c r="M207" s="42"/>
    </row>
    <row r="208" spans="11:13" ht="15.75" customHeight="1">
      <c r="K208" s="42"/>
      <c r="L208" s="42"/>
      <c r="M208" s="42"/>
    </row>
    <row r="209" spans="11:13" ht="15.75" customHeight="1">
      <c r="K209" s="42"/>
      <c r="L209" s="42"/>
      <c r="M209" s="42"/>
    </row>
    <row r="210" spans="11:13" ht="15.75" customHeight="1">
      <c r="K210" s="42"/>
      <c r="L210" s="42"/>
      <c r="M210" s="42"/>
    </row>
    <row r="211" spans="11:13" ht="15.75" customHeight="1">
      <c r="K211" s="42"/>
      <c r="L211" s="42"/>
      <c r="M211" s="42"/>
    </row>
    <row r="212" spans="11:13" ht="15.75" customHeight="1">
      <c r="K212" s="42"/>
      <c r="L212" s="42"/>
      <c r="M212" s="42"/>
    </row>
    <row r="213" spans="11:13" ht="15.75" customHeight="1">
      <c r="K213" s="42"/>
      <c r="L213" s="42"/>
      <c r="M213" s="42"/>
    </row>
    <row r="214" spans="11:13" ht="15.75" customHeight="1">
      <c r="K214" s="42"/>
      <c r="L214" s="42"/>
      <c r="M214" s="42"/>
    </row>
    <row r="215" spans="11:13" ht="15.75" customHeight="1">
      <c r="K215" s="42"/>
      <c r="L215" s="42"/>
      <c r="M215" s="42"/>
    </row>
    <row r="216" spans="11:13" ht="15.75" customHeight="1">
      <c r="K216" s="42"/>
      <c r="L216" s="42"/>
      <c r="M216" s="42"/>
    </row>
    <row r="217" spans="11:13" ht="15.75" customHeight="1">
      <c r="K217" s="42"/>
      <c r="L217" s="42"/>
      <c r="M217" s="42"/>
    </row>
    <row r="218" spans="11:13" ht="15.75" customHeight="1">
      <c r="K218" s="42"/>
      <c r="L218" s="42"/>
      <c r="M218" s="42"/>
    </row>
    <row r="219" spans="11:13" ht="15.75" customHeight="1">
      <c r="K219" s="42"/>
      <c r="L219" s="42"/>
      <c r="M219" s="42"/>
    </row>
    <row r="220" spans="11:13" ht="15.75" customHeight="1">
      <c r="K220" s="42"/>
      <c r="L220" s="42"/>
      <c r="M220" s="42"/>
    </row>
    <row r="221" spans="11:13" ht="15.75" customHeight="1">
      <c r="K221" s="42"/>
      <c r="L221" s="42"/>
      <c r="M221" s="42"/>
    </row>
    <row r="222" spans="11:13" ht="15.75" customHeight="1">
      <c r="K222" s="42"/>
      <c r="L222" s="42"/>
      <c r="M222" s="42"/>
    </row>
    <row r="223" spans="11:13" ht="15.75" customHeight="1">
      <c r="K223" s="42"/>
      <c r="L223" s="42"/>
      <c r="M223" s="42"/>
    </row>
    <row r="224" spans="11:13" ht="15.75" customHeight="1">
      <c r="K224" s="42"/>
      <c r="L224" s="42"/>
      <c r="M224" s="42"/>
    </row>
    <row r="225" spans="11:13" ht="15.75" customHeight="1">
      <c r="K225" s="42"/>
      <c r="L225" s="42"/>
      <c r="M225" s="42"/>
    </row>
    <row r="226" spans="11:13" ht="15.75" customHeight="1">
      <c r="K226" s="42"/>
      <c r="L226" s="42"/>
      <c r="M226" s="42"/>
    </row>
    <row r="227" spans="11:13" ht="15.75" customHeight="1">
      <c r="K227" s="42"/>
      <c r="L227" s="42"/>
      <c r="M227" s="42"/>
    </row>
    <row r="228" spans="11:13" ht="15.75" customHeight="1">
      <c r="K228" s="42"/>
      <c r="L228" s="42"/>
      <c r="M228" s="42"/>
    </row>
    <row r="229" spans="11:13" ht="15.75" customHeight="1">
      <c r="K229" s="42"/>
      <c r="L229" s="42"/>
      <c r="M229" s="42"/>
    </row>
    <row r="230" spans="11:13" ht="15.75" customHeight="1">
      <c r="K230" s="42"/>
      <c r="L230" s="42"/>
      <c r="M230" s="42"/>
    </row>
    <row r="231" spans="11:13" ht="15.75" customHeight="1">
      <c r="K231" s="42"/>
      <c r="L231" s="42"/>
      <c r="M231" s="42"/>
    </row>
    <row r="232" spans="11:13" ht="15.75" customHeight="1">
      <c r="K232" s="42"/>
      <c r="L232" s="42"/>
      <c r="M232" s="42"/>
    </row>
    <row r="233" spans="11:13" ht="15.75" customHeight="1">
      <c r="K233" s="42"/>
      <c r="L233" s="42"/>
      <c r="M233" s="42"/>
    </row>
    <row r="234" spans="11:13" ht="15.75" customHeight="1">
      <c r="K234" s="42"/>
      <c r="L234" s="42"/>
      <c r="M234" s="42"/>
    </row>
    <row r="235" spans="11:13" ht="15.75" customHeight="1">
      <c r="K235" s="42"/>
      <c r="L235" s="42"/>
      <c r="M235" s="42"/>
    </row>
    <row r="236" spans="11:13" ht="15.75" customHeight="1">
      <c r="K236" s="42"/>
      <c r="L236" s="42"/>
      <c r="M236" s="42"/>
    </row>
    <row r="237" spans="11:13" ht="15.75" customHeight="1">
      <c r="K237" s="42"/>
      <c r="L237" s="42"/>
      <c r="M237" s="42"/>
    </row>
    <row r="238" spans="11:13" ht="15.75" customHeight="1">
      <c r="K238" s="42"/>
      <c r="L238" s="42"/>
      <c r="M238" s="42"/>
    </row>
    <row r="239" spans="11:13" ht="15.75" customHeight="1">
      <c r="K239" s="42"/>
      <c r="L239" s="42"/>
      <c r="M239" s="42"/>
    </row>
    <row r="240" spans="11:13" ht="15.75" customHeight="1">
      <c r="K240" s="42"/>
      <c r="L240" s="42"/>
      <c r="M240" s="42"/>
    </row>
    <row r="241" spans="11:13" ht="15.75" customHeight="1">
      <c r="K241" s="42"/>
      <c r="L241" s="42"/>
      <c r="M241" s="42"/>
    </row>
    <row r="242" spans="11:13" ht="15.75" customHeight="1">
      <c r="K242" s="42"/>
      <c r="L242" s="42"/>
      <c r="M242" s="42"/>
    </row>
    <row r="243" spans="11:13" ht="15.75" customHeight="1">
      <c r="K243" s="42"/>
      <c r="L243" s="42"/>
      <c r="M243" s="42"/>
    </row>
    <row r="244" spans="11:13" ht="15.75" customHeight="1">
      <c r="K244" s="42"/>
      <c r="L244" s="42"/>
      <c r="M244" s="42"/>
    </row>
    <row r="245" spans="11:13" ht="15.75" customHeight="1">
      <c r="K245" s="42"/>
      <c r="L245" s="42"/>
      <c r="M245" s="42"/>
    </row>
    <row r="246" spans="11:13" ht="15.75" customHeight="1">
      <c r="K246" s="42"/>
      <c r="L246" s="42"/>
      <c r="M246" s="42"/>
    </row>
    <row r="247" spans="11:13" ht="15.75" customHeight="1">
      <c r="K247" s="42"/>
      <c r="L247" s="42"/>
      <c r="M247" s="42"/>
    </row>
    <row r="248" spans="11:13" ht="15.75" customHeight="1">
      <c r="K248" s="42"/>
      <c r="L248" s="42"/>
      <c r="M248" s="42"/>
    </row>
    <row r="249" spans="11:13" ht="15.75" customHeight="1">
      <c r="K249" s="42"/>
      <c r="L249" s="42"/>
      <c r="M249" s="42"/>
    </row>
    <row r="250" spans="11:13" ht="15.75" customHeight="1">
      <c r="K250" s="42"/>
      <c r="L250" s="42"/>
      <c r="M250" s="42"/>
    </row>
    <row r="251" spans="11:13" ht="15.75" customHeight="1">
      <c r="K251" s="42"/>
      <c r="L251" s="42"/>
      <c r="M251" s="42"/>
    </row>
    <row r="252" spans="11:13" ht="15.75" customHeight="1">
      <c r="K252" s="42"/>
      <c r="L252" s="42"/>
      <c r="M252" s="42"/>
    </row>
    <row r="253" spans="11:13" ht="15.75" customHeight="1">
      <c r="K253" s="42"/>
      <c r="L253" s="42"/>
      <c r="M253" s="42"/>
    </row>
    <row r="254" spans="11:13" ht="15.75" customHeight="1">
      <c r="K254" s="42"/>
      <c r="L254" s="42"/>
      <c r="M254" s="42"/>
    </row>
    <row r="255" spans="11:13" ht="15.75" customHeight="1">
      <c r="K255" s="42"/>
      <c r="L255" s="42"/>
      <c r="M255" s="42"/>
    </row>
    <row r="256" spans="11:13" ht="15.75" customHeight="1">
      <c r="K256" s="42"/>
      <c r="L256" s="42"/>
      <c r="M256" s="42"/>
    </row>
    <row r="257" spans="11:13" ht="15.75" customHeight="1">
      <c r="K257" s="42"/>
      <c r="L257" s="42"/>
      <c r="M257" s="42"/>
    </row>
    <row r="258" spans="11:13" ht="15.75" customHeight="1">
      <c r="K258" s="42"/>
      <c r="L258" s="42"/>
      <c r="M258" s="42"/>
    </row>
    <row r="259" spans="11:13" ht="15.75" customHeight="1">
      <c r="K259" s="42"/>
      <c r="L259" s="42"/>
      <c r="M259" s="42"/>
    </row>
    <row r="260" spans="11:13" ht="15.75" customHeight="1">
      <c r="K260" s="42"/>
      <c r="L260" s="42"/>
      <c r="M260" s="42"/>
    </row>
    <row r="261" spans="11:13" ht="15.75" customHeight="1">
      <c r="K261" s="42"/>
      <c r="L261" s="42"/>
      <c r="M261" s="42"/>
    </row>
    <row r="262" spans="11:13" ht="15.75" customHeight="1">
      <c r="K262" s="42"/>
      <c r="L262" s="42"/>
      <c r="M262" s="42"/>
    </row>
    <row r="263" spans="11:13" ht="15.75" customHeight="1">
      <c r="K263" s="42"/>
      <c r="L263" s="42"/>
      <c r="M263" s="42"/>
    </row>
    <row r="264" spans="11:13" ht="15.75" customHeight="1">
      <c r="K264" s="42"/>
      <c r="L264" s="42"/>
      <c r="M264" s="42"/>
    </row>
    <row r="265" spans="11:13" ht="15.75" customHeight="1">
      <c r="K265" s="42"/>
      <c r="L265" s="42"/>
      <c r="M265" s="42"/>
    </row>
    <row r="266" spans="11:13" ht="15.75" customHeight="1">
      <c r="K266" s="42"/>
      <c r="L266" s="42"/>
      <c r="M266" s="42"/>
    </row>
    <row r="267" spans="11:13" ht="15.75" customHeight="1">
      <c r="K267" s="42"/>
      <c r="L267" s="42"/>
      <c r="M267" s="42"/>
    </row>
    <row r="268" spans="11:13" ht="15.75" customHeight="1">
      <c r="K268" s="42"/>
      <c r="L268" s="42"/>
      <c r="M268" s="42"/>
    </row>
    <row r="269" spans="11:13" ht="15.75" customHeight="1">
      <c r="K269" s="42"/>
      <c r="L269" s="42"/>
      <c r="M269" s="42"/>
    </row>
    <row r="270" spans="11:13" ht="15.75" customHeight="1">
      <c r="K270" s="42"/>
      <c r="L270" s="42"/>
      <c r="M270" s="42"/>
    </row>
    <row r="271" spans="11:13" ht="15.75" customHeight="1">
      <c r="K271" s="42"/>
      <c r="L271" s="42"/>
      <c r="M271" s="42"/>
    </row>
    <row r="272" spans="11:13" ht="15.75" customHeight="1">
      <c r="K272" s="42"/>
      <c r="L272" s="42"/>
      <c r="M272" s="42"/>
    </row>
    <row r="273" spans="11:13" ht="15.75" customHeight="1">
      <c r="K273" s="42"/>
      <c r="L273" s="42"/>
      <c r="M273" s="42"/>
    </row>
    <row r="274" spans="11:13" ht="15.75" customHeight="1">
      <c r="K274" s="42"/>
      <c r="L274" s="42"/>
      <c r="M274" s="42"/>
    </row>
    <row r="275" spans="11:13" ht="15.75" customHeight="1">
      <c r="K275" s="42"/>
      <c r="L275" s="42"/>
      <c r="M275" s="42"/>
    </row>
    <row r="276" spans="11:13" ht="15.75" customHeight="1">
      <c r="K276" s="42"/>
      <c r="L276" s="42"/>
      <c r="M276" s="42"/>
    </row>
    <row r="277" spans="11:13" ht="15.75" customHeight="1">
      <c r="K277" s="42"/>
      <c r="L277" s="42"/>
      <c r="M277" s="42"/>
    </row>
    <row r="278" spans="11:13" ht="15.75" customHeight="1">
      <c r="K278" s="42"/>
      <c r="L278" s="42"/>
      <c r="M278" s="42"/>
    </row>
    <row r="279" spans="11:13" ht="15.75" customHeight="1">
      <c r="K279" s="42"/>
      <c r="L279" s="42"/>
      <c r="M279" s="42"/>
    </row>
    <row r="280" spans="11:13" ht="15.75" customHeight="1">
      <c r="K280" s="42"/>
      <c r="L280" s="42"/>
      <c r="M280" s="42"/>
    </row>
    <row r="281" spans="11:13" ht="15.75" customHeight="1">
      <c r="K281" s="42"/>
      <c r="L281" s="42"/>
      <c r="M281" s="42"/>
    </row>
    <row r="282" spans="11:13" ht="15.75" customHeight="1">
      <c r="K282" s="42"/>
      <c r="L282" s="42"/>
      <c r="M282" s="42"/>
    </row>
    <row r="283" spans="11:13" ht="15.75" customHeight="1">
      <c r="K283" s="42"/>
      <c r="L283" s="42"/>
      <c r="M283" s="42"/>
    </row>
    <row r="284" spans="11:13" ht="15.75" customHeight="1">
      <c r="K284" s="42"/>
      <c r="L284" s="42"/>
      <c r="M284" s="42"/>
    </row>
    <row r="285" spans="11:13" ht="15.75" customHeight="1">
      <c r="K285" s="42"/>
      <c r="L285" s="42"/>
      <c r="M285" s="42"/>
    </row>
    <row r="286" spans="11:13" ht="15.75" customHeight="1">
      <c r="K286" s="42"/>
      <c r="L286" s="42"/>
      <c r="M286" s="42"/>
    </row>
    <row r="287" spans="11:13" ht="15.75" customHeight="1">
      <c r="K287" s="42"/>
      <c r="L287" s="42"/>
      <c r="M287" s="42"/>
    </row>
    <row r="288" spans="11:13" ht="15.75" customHeight="1">
      <c r="K288" s="42"/>
      <c r="L288" s="42"/>
      <c r="M288" s="42"/>
    </row>
    <row r="289" spans="11:13" ht="15.75" customHeight="1">
      <c r="K289" s="42"/>
      <c r="L289" s="42"/>
      <c r="M289" s="42"/>
    </row>
    <row r="290" spans="11:13" ht="15.75" customHeight="1">
      <c r="K290" s="42"/>
      <c r="L290" s="42"/>
      <c r="M290" s="42"/>
    </row>
    <row r="291" spans="11:13" ht="15.75" customHeight="1">
      <c r="K291" s="42"/>
      <c r="L291" s="42"/>
      <c r="M291" s="42"/>
    </row>
    <row r="292" spans="11:13" ht="15.75" customHeight="1">
      <c r="K292" s="42"/>
      <c r="L292" s="42"/>
      <c r="M292" s="42"/>
    </row>
    <row r="293" spans="11:13" ht="15.75" customHeight="1">
      <c r="K293" s="42"/>
      <c r="L293" s="42"/>
      <c r="M293" s="42"/>
    </row>
    <row r="294" spans="11:13" ht="15.75" customHeight="1">
      <c r="K294" s="42"/>
      <c r="L294" s="42"/>
      <c r="M294" s="42"/>
    </row>
    <row r="295" spans="11:13" ht="15.75" customHeight="1">
      <c r="K295" s="42"/>
      <c r="L295" s="42"/>
      <c r="M295" s="42"/>
    </row>
    <row r="296" spans="11:13" ht="15.75" customHeight="1">
      <c r="K296" s="42"/>
      <c r="L296" s="42"/>
      <c r="M296" s="42"/>
    </row>
    <row r="297" spans="11:13" ht="15.75" customHeight="1">
      <c r="K297" s="42"/>
      <c r="L297" s="42"/>
      <c r="M297" s="42"/>
    </row>
    <row r="298" spans="11:13" ht="15.75" customHeight="1">
      <c r="K298" s="42"/>
      <c r="L298" s="42"/>
      <c r="M298" s="42"/>
    </row>
    <row r="299" spans="11:13" ht="15.75" customHeight="1">
      <c r="K299" s="42"/>
      <c r="L299" s="42"/>
      <c r="M299" s="42"/>
    </row>
    <row r="300" spans="11:13" ht="15.75" customHeight="1">
      <c r="K300" s="42"/>
      <c r="L300" s="42"/>
      <c r="M300" s="42"/>
    </row>
    <row r="301" spans="11:13" ht="15.75" customHeight="1">
      <c r="K301" s="42"/>
      <c r="L301" s="42"/>
      <c r="M301" s="42"/>
    </row>
    <row r="302" spans="11:13" ht="15.75" customHeight="1">
      <c r="K302" s="42"/>
      <c r="L302" s="42"/>
      <c r="M302" s="42"/>
    </row>
    <row r="303" spans="11:13" ht="15.75" customHeight="1">
      <c r="K303" s="42"/>
      <c r="L303" s="42"/>
      <c r="M303" s="42"/>
    </row>
    <row r="304" spans="11:13" ht="15.75" customHeight="1">
      <c r="K304" s="42"/>
      <c r="L304" s="42"/>
      <c r="M304" s="42"/>
    </row>
    <row r="305" spans="11:13" ht="15.75" customHeight="1">
      <c r="K305" s="42"/>
      <c r="L305" s="42"/>
      <c r="M305" s="42"/>
    </row>
    <row r="306" spans="11:13" ht="15.75" customHeight="1">
      <c r="K306" s="42"/>
      <c r="L306" s="42"/>
      <c r="M306" s="42"/>
    </row>
    <row r="307" spans="11:13" ht="15.75" customHeight="1">
      <c r="K307" s="42"/>
      <c r="L307" s="42"/>
      <c r="M307" s="42"/>
    </row>
    <row r="308" spans="11:13" ht="15.75" customHeight="1">
      <c r="K308" s="42"/>
      <c r="L308" s="42"/>
      <c r="M308" s="42"/>
    </row>
    <row r="309" spans="11:13" ht="15.75" customHeight="1">
      <c r="K309" s="42"/>
      <c r="L309" s="42"/>
      <c r="M309" s="42"/>
    </row>
    <row r="310" spans="11:13" ht="15.75" customHeight="1">
      <c r="K310" s="42"/>
      <c r="L310" s="42"/>
      <c r="M310" s="42"/>
    </row>
    <row r="311" spans="11:13" ht="15.75" customHeight="1">
      <c r="K311" s="42"/>
      <c r="L311" s="42"/>
      <c r="M311" s="42"/>
    </row>
    <row r="312" spans="11:13" ht="15.75" customHeight="1">
      <c r="K312" s="42"/>
      <c r="L312" s="42"/>
      <c r="M312" s="42"/>
    </row>
    <row r="313" spans="11:13" ht="15.75" customHeight="1">
      <c r="K313" s="42"/>
      <c r="L313" s="42"/>
      <c r="M313" s="42"/>
    </row>
    <row r="314" spans="11:13" ht="15.75" customHeight="1">
      <c r="K314" s="42"/>
      <c r="L314" s="42"/>
      <c r="M314" s="42"/>
    </row>
    <row r="315" spans="11:13" ht="15.75" customHeight="1">
      <c r="K315" s="42"/>
      <c r="L315" s="42"/>
      <c r="M315" s="42"/>
    </row>
    <row r="316" spans="11:13" ht="15.75" customHeight="1">
      <c r="K316" s="42"/>
      <c r="L316" s="42"/>
      <c r="M316" s="42"/>
    </row>
    <row r="317" spans="11:13" ht="15.75" customHeight="1">
      <c r="K317" s="42"/>
      <c r="L317" s="42"/>
      <c r="M317" s="42"/>
    </row>
    <row r="318" spans="11:13" ht="15.75" customHeight="1">
      <c r="K318" s="42"/>
      <c r="L318" s="42"/>
      <c r="M318" s="42"/>
    </row>
    <row r="319" spans="11:13" ht="15.75" customHeight="1">
      <c r="K319" s="42"/>
      <c r="L319" s="42"/>
      <c r="M319" s="42"/>
    </row>
    <row r="320" spans="11:13" ht="15.75" customHeight="1">
      <c r="K320" s="42"/>
      <c r="L320" s="42"/>
      <c r="M320" s="42"/>
    </row>
    <row r="321" spans="11:13" ht="15.75" customHeight="1">
      <c r="K321" s="42"/>
      <c r="L321" s="42"/>
      <c r="M321" s="42"/>
    </row>
    <row r="322" spans="11:13" ht="15.75" customHeight="1">
      <c r="K322" s="42"/>
      <c r="L322" s="42"/>
      <c r="M322" s="42"/>
    </row>
    <row r="323" spans="11:13" ht="15.75" customHeight="1">
      <c r="K323" s="42"/>
      <c r="L323" s="42"/>
      <c r="M323" s="42"/>
    </row>
    <row r="324" spans="11:13" ht="15.75" customHeight="1">
      <c r="K324" s="42"/>
      <c r="L324" s="42"/>
      <c r="M324" s="42"/>
    </row>
    <row r="325" spans="11:13" ht="15.75" customHeight="1">
      <c r="K325" s="42"/>
      <c r="L325" s="42"/>
      <c r="M325" s="42"/>
    </row>
    <row r="326" spans="11:13" ht="15.75" customHeight="1">
      <c r="K326" s="42"/>
      <c r="L326" s="42"/>
      <c r="M326" s="42"/>
    </row>
    <row r="327" spans="11:13" ht="15.75" customHeight="1">
      <c r="K327" s="42"/>
      <c r="L327" s="42"/>
      <c r="M327" s="42"/>
    </row>
    <row r="328" spans="11:13" ht="15.75" customHeight="1">
      <c r="K328" s="42"/>
      <c r="L328" s="42"/>
      <c r="M328" s="42"/>
    </row>
    <row r="329" spans="11:13" ht="15.75" customHeight="1">
      <c r="K329" s="42"/>
      <c r="L329" s="42"/>
      <c r="M329" s="42"/>
    </row>
    <row r="330" spans="11:13" ht="15.75" customHeight="1">
      <c r="K330" s="42"/>
      <c r="L330" s="42"/>
      <c r="M330" s="42"/>
    </row>
    <row r="331" spans="11:13" ht="15.75" customHeight="1">
      <c r="K331" s="42"/>
      <c r="L331" s="42"/>
      <c r="M331" s="42"/>
    </row>
    <row r="332" spans="11:13" ht="15.75" customHeight="1">
      <c r="K332" s="42"/>
      <c r="L332" s="42"/>
      <c r="M332" s="42"/>
    </row>
    <row r="333" spans="11:13" ht="15.75" customHeight="1">
      <c r="K333" s="42"/>
      <c r="L333" s="42"/>
      <c r="M333" s="42"/>
    </row>
    <row r="334" spans="11:13" ht="15.75" customHeight="1">
      <c r="K334" s="42"/>
      <c r="L334" s="42"/>
      <c r="M334" s="42"/>
    </row>
    <row r="335" spans="11:13" ht="15.75" customHeight="1">
      <c r="K335" s="42"/>
      <c r="L335" s="42"/>
      <c r="M335" s="42"/>
    </row>
    <row r="336" spans="11:13" ht="15.75" customHeight="1">
      <c r="K336" s="42"/>
      <c r="L336" s="42"/>
      <c r="M336" s="42"/>
    </row>
    <row r="337" spans="11:13" ht="15.75" customHeight="1">
      <c r="K337" s="42"/>
      <c r="L337" s="42"/>
      <c r="M337" s="42"/>
    </row>
    <row r="338" spans="11:13" ht="15.75" customHeight="1">
      <c r="K338" s="42"/>
      <c r="L338" s="42"/>
      <c r="M338" s="42"/>
    </row>
    <row r="339" spans="11:13" ht="15.75" customHeight="1">
      <c r="K339" s="42"/>
      <c r="L339" s="42"/>
      <c r="M339" s="42"/>
    </row>
    <row r="340" spans="11:13" ht="15.75" customHeight="1">
      <c r="K340" s="42"/>
      <c r="L340" s="42"/>
      <c r="M340" s="42"/>
    </row>
    <row r="341" spans="11:13" ht="15.75" customHeight="1">
      <c r="K341" s="42"/>
      <c r="L341" s="42"/>
      <c r="M341" s="42"/>
    </row>
    <row r="342" spans="11:13" ht="15.75" customHeight="1">
      <c r="K342" s="42"/>
      <c r="L342" s="42"/>
      <c r="M342" s="42"/>
    </row>
    <row r="343" spans="11:13" ht="15.75" customHeight="1">
      <c r="K343" s="42"/>
      <c r="L343" s="42"/>
      <c r="M343" s="42"/>
    </row>
    <row r="344" spans="11:13" ht="15.75" customHeight="1">
      <c r="K344" s="42"/>
      <c r="L344" s="42"/>
      <c r="M344" s="42"/>
    </row>
    <row r="345" spans="11:13" ht="15.75" customHeight="1">
      <c r="K345" s="42"/>
      <c r="L345" s="42"/>
      <c r="M345" s="42"/>
    </row>
    <row r="346" spans="11:13" ht="15.75" customHeight="1">
      <c r="K346" s="42"/>
      <c r="L346" s="42"/>
      <c r="M346" s="42"/>
    </row>
    <row r="347" spans="11:13" ht="15.75" customHeight="1">
      <c r="K347" s="42"/>
      <c r="L347" s="42"/>
      <c r="M347" s="42"/>
    </row>
    <row r="348" spans="11:13" ht="15.75" customHeight="1">
      <c r="K348" s="42"/>
      <c r="L348" s="42"/>
      <c r="M348" s="42"/>
    </row>
    <row r="349" spans="11:13" ht="15.75" customHeight="1">
      <c r="K349" s="42"/>
      <c r="L349" s="42"/>
      <c r="M349" s="42"/>
    </row>
    <row r="350" spans="11:13" ht="15.75" customHeight="1">
      <c r="K350" s="42"/>
      <c r="L350" s="42"/>
      <c r="M350" s="42"/>
    </row>
    <row r="351" spans="11:13" ht="15.75" customHeight="1">
      <c r="K351" s="42"/>
      <c r="L351" s="42"/>
      <c r="M351" s="42"/>
    </row>
    <row r="352" spans="11:13" ht="15.75" customHeight="1">
      <c r="K352" s="42"/>
      <c r="L352" s="42"/>
      <c r="M352" s="42"/>
    </row>
    <row r="353" spans="11:13" ht="15.75" customHeight="1">
      <c r="K353" s="42"/>
      <c r="L353" s="42"/>
      <c r="M353" s="42"/>
    </row>
    <row r="354" spans="11:13" ht="15.75" customHeight="1">
      <c r="K354" s="42"/>
      <c r="L354" s="42"/>
      <c r="M354" s="42"/>
    </row>
    <row r="355" spans="11:13" ht="15.75" customHeight="1">
      <c r="K355" s="42"/>
      <c r="L355" s="42"/>
      <c r="M355" s="42"/>
    </row>
    <row r="356" spans="11:13" ht="15.75" customHeight="1">
      <c r="K356" s="42"/>
      <c r="L356" s="42"/>
      <c r="M356" s="42"/>
    </row>
    <row r="357" spans="11:13" ht="15.75" customHeight="1">
      <c r="K357" s="42"/>
      <c r="L357" s="42"/>
      <c r="M357" s="42"/>
    </row>
    <row r="358" spans="11:13" ht="15.75" customHeight="1">
      <c r="K358" s="42"/>
      <c r="L358" s="42"/>
      <c r="M358" s="42"/>
    </row>
    <row r="359" spans="11:13" ht="15.75" customHeight="1">
      <c r="K359" s="42"/>
      <c r="L359" s="42"/>
      <c r="M359" s="42"/>
    </row>
    <row r="360" spans="11:13" ht="15.75" customHeight="1">
      <c r="K360" s="42"/>
      <c r="L360" s="42"/>
      <c r="M360" s="42"/>
    </row>
    <row r="361" spans="11:13" ht="15.75" customHeight="1">
      <c r="K361" s="42"/>
      <c r="L361" s="42"/>
      <c r="M361" s="42"/>
    </row>
    <row r="362" spans="11:13" ht="15.75" customHeight="1">
      <c r="K362" s="42"/>
      <c r="L362" s="42"/>
      <c r="M362" s="42"/>
    </row>
    <row r="363" spans="11:13" ht="15.75" customHeight="1">
      <c r="K363" s="42"/>
      <c r="L363" s="42"/>
      <c r="M363" s="42"/>
    </row>
    <row r="364" spans="11:13" ht="15.75" customHeight="1">
      <c r="K364" s="42"/>
      <c r="L364" s="42"/>
      <c r="M364" s="42"/>
    </row>
    <row r="365" spans="11:13" ht="15.75" customHeight="1">
      <c r="K365" s="42"/>
      <c r="L365" s="42"/>
      <c r="M365" s="42"/>
    </row>
    <row r="366" spans="11:13" ht="15.75" customHeight="1">
      <c r="K366" s="42"/>
      <c r="L366" s="42"/>
      <c r="M366" s="42"/>
    </row>
    <row r="367" spans="11:13" ht="15.75" customHeight="1">
      <c r="K367" s="42"/>
      <c r="L367" s="42"/>
      <c r="M367" s="42"/>
    </row>
    <row r="368" spans="11:13" ht="15.75" customHeight="1">
      <c r="K368" s="42"/>
      <c r="L368" s="42"/>
      <c r="M368" s="42"/>
    </row>
    <row r="369" spans="11:13" ht="15.75" customHeight="1">
      <c r="K369" s="42"/>
      <c r="L369" s="42"/>
      <c r="M369" s="42"/>
    </row>
    <row r="370" spans="11:13" ht="15.75" customHeight="1">
      <c r="K370" s="42"/>
      <c r="L370" s="42"/>
      <c r="M370" s="42"/>
    </row>
    <row r="371" spans="11:13" ht="15.75" customHeight="1">
      <c r="K371" s="42"/>
      <c r="L371" s="42"/>
      <c r="M371" s="42"/>
    </row>
    <row r="372" spans="11:13" ht="15.75" customHeight="1">
      <c r="K372" s="42"/>
      <c r="L372" s="42"/>
      <c r="M372" s="42"/>
    </row>
    <row r="373" spans="11:13" ht="15.75" customHeight="1">
      <c r="K373" s="42"/>
      <c r="L373" s="42"/>
      <c r="M373" s="42"/>
    </row>
    <row r="374" spans="11:13" ht="15.75" customHeight="1">
      <c r="K374" s="42"/>
      <c r="L374" s="42"/>
      <c r="M374" s="42"/>
    </row>
    <row r="375" spans="11:13" ht="15.75" customHeight="1">
      <c r="K375" s="42"/>
      <c r="L375" s="42"/>
      <c r="M375" s="42"/>
    </row>
    <row r="376" spans="11:13" ht="15.75" customHeight="1">
      <c r="K376" s="42"/>
      <c r="L376" s="42"/>
      <c r="M376" s="42"/>
    </row>
    <row r="377" spans="11:13" ht="15.75" customHeight="1">
      <c r="K377" s="42"/>
      <c r="L377" s="42"/>
      <c r="M377" s="42"/>
    </row>
    <row r="378" spans="11:13" ht="15.75" customHeight="1">
      <c r="K378" s="42"/>
      <c r="L378" s="42"/>
      <c r="M378" s="42"/>
    </row>
    <row r="379" spans="11:13" ht="15.75" customHeight="1">
      <c r="K379" s="42"/>
      <c r="L379" s="42"/>
      <c r="M379" s="42"/>
    </row>
    <row r="380" spans="11:13" ht="15.75" customHeight="1">
      <c r="K380" s="42"/>
      <c r="L380" s="42"/>
      <c r="M380" s="42"/>
    </row>
    <row r="381" spans="11:13" ht="15.75" customHeight="1">
      <c r="K381" s="42"/>
      <c r="L381" s="42"/>
      <c r="M381" s="42"/>
    </row>
    <row r="382" spans="11:13" ht="15.75" customHeight="1">
      <c r="K382" s="42"/>
      <c r="L382" s="42"/>
      <c r="M382" s="42"/>
    </row>
    <row r="383" spans="11:13" ht="15.75" customHeight="1">
      <c r="K383" s="42"/>
      <c r="L383" s="42"/>
      <c r="M383" s="42"/>
    </row>
    <row r="384" spans="11:13" ht="15.75" customHeight="1">
      <c r="K384" s="42"/>
      <c r="L384" s="42"/>
      <c r="M384" s="42"/>
    </row>
    <row r="385" spans="11:13" ht="15.75" customHeight="1">
      <c r="K385" s="42"/>
      <c r="L385" s="42"/>
      <c r="M385" s="42"/>
    </row>
    <row r="386" spans="11:13" ht="15.75" customHeight="1">
      <c r="K386" s="42"/>
      <c r="L386" s="42"/>
      <c r="M386" s="42"/>
    </row>
    <row r="387" spans="11:13" ht="15.75" customHeight="1">
      <c r="K387" s="42"/>
      <c r="L387" s="42"/>
      <c r="M387" s="42"/>
    </row>
    <row r="388" spans="11:13" ht="15.75" customHeight="1">
      <c r="K388" s="42"/>
      <c r="L388" s="42"/>
      <c r="M388" s="42"/>
    </row>
    <row r="389" spans="11:13" ht="15.75" customHeight="1">
      <c r="K389" s="42"/>
      <c r="L389" s="42"/>
      <c r="M389" s="42"/>
    </row>
    <row r="390" spans="11:13" ht="15.75" customHeight="1">
      <c r="K390" s="42"/>
      <c r="L390" s="42"/>
      <c r="M390" s="42"/>
    </row>
    <row r="391" spans="11:13" ht="15.75" customHeight="1">
      <c r="K391" s="42"/>
      <c r="L391" s="42"/>
      <c r="M391" s="42"/>
    </row>
    <row r="392" spans="11:13" ht="15.75" customHeight="1">
      <c r="K392" s="42"/>
      <c r="L392" s="42"/>
      <c r="M392" s="42"/>
    </row>
    <row r="393" spans="11:13" ht="15.75" customHeight="1">
      <c r="K393" s="42"/>
      <c r="L393" s="42"/>
      <c r="M393" s="42"/>
    </row>
    <row r="394" spans="11:13" ht="15.75" customHeight="1">
      <c r="K394" s="42"/>
      <c r="L394" s="42"/>
      <c r="M394" s="42"/>
    </row>
    <row r="395" spans="11:13" ht="15.75" customHeight="1">
      <c r="K395" s="42"/>
      <c r="L395" s="42"/>
      <c r="M395" s="42"/>
    </row>
    <row r="396" spans="11:13" ht="15.75" customHeight="1">
      <c r="K396" s="42"/>
      <c r="L396" s="42"/>
      <c r="M396" s="42"/>
    </row>
    <row r="397" spans="11:13" ht="15.75" customHeight="1">
      <c r="K397" s="42"/>
      <c r="L397" s="42"/>
      <c r="M397" s="42"/>
    </row>
    <row r="398" spans="11:13" ht="15.75" customHeight="1">
      <c r="K398" s="42"/>
      <c r="L398" s="42"/>
      <c r="M398" s="42"/>
    </row>
    <row r="399" spans="11:13" ht="15.75" customHeight="1">
      <c r="K399" s="42"/>
      <c r="L399" s="42"/>
      <c r="M399" s="42"/>
    </row>
    <row r="400" spans="11:13" ht="15.75" customHeight="1">
      <c r="K400" s="42"/>
      <c r="L400" s="42"/>
      <c r="M400" s="42"/>
    </row>
    <row r="401" spans="11:13" ht="15.75" customHeight="1">
      <c r="K401" s="42"/>
      <c r="L401" s="42"/>
      <c r="M401" s="42"/>
    </row>
    <row r="402" spans="11:13" ht="15.75" customHeight="1">
      <c r="K402" s="42"/>
      <c r="L402" s="42"/>
      <c r="M402" s="42"/>
    </row>
    <row r="403" spans="11:13" ht="15.75" customHeight="1">
      <c r="K403" s="42"/>
      <c r="L403" s="42"/>
      <c r="M403" s="42"/>
    </row>
    <row r="404" spans="11:13" ht="15.75" customHeight="1">
      <c r="K404" s="42"/>
      <c r="L404" s="42"/>
      <c r="M404" s="42"/>
    </row>
    <row r="405" spans="11:13" ht="15.75" customHeight="1">
      <c r="K405" s="42"/>
      <c r="L405" s="42"/>
      <c r="M405" s="42"/>
    </row>
    <row r="406" spans="11:13" ht="15.75" customHeight="1">
      <c r="K406" s="42"/>
      <c r="L406" s="42"/>
      <c r="M406" s="42"/>
    </row>
    <row r="407" spans="11:13" ht="15.75" customHeight="1">
      <c r="K407" s="42"/>
      <c r="L407" s="42"/>
      <c r="M407" s="42"/>
    </row>
    <row r="408" spans="11:13" ht="15.75" customHeight="1">
      <c r="K408" s="42"/>
      <c r="L408" s="42"/>
      <c r="M408" s="42"/>
    </row>
    <row r="409" spans="11:13" ht="15.75" customHeight="1">
      <c r="K409" s="42"/>
      <c r="L409" s="42"/>
      <c r="M409" s="42"/>
    </row>
    <row r="410" spans="11:13" ht="15.75" customHeight="1">
      <c r="K410" s="42"/>
      <c r="L410" s="42"/>
      <c r="M410" s="42"/>
    </row>
    <row r="411" spans="11:13" ht="15.75" customHeight="1">
      <c r="K411" s="42"/>
      <c r="L411" s="42"/>
      <c r="M411" s="42"/>
    </row>
    <row r="412" spans="11:13" ht="15.75" customHeight="1">
      <c r="K412" s="42"/>
      <c r="L412" s="42"/>
      <c r="M412" s="42"/>
    </row>
    <row r="413" spans="11:13" ht="15.75" customHeight="1">
      <c r="K413" s="42"/>
      <c r="L413" s="42"/>
      <c r="M413" s="42"/>
    </row>
    <row r="414" spans="11:13" ht="15.75" customHeight="1">
      <c r="K414" s="42"/>
      <c r="L414" s="42"/>
      <c r="M414" s="42"/>
    </row>
    <row r="415" spans="11:13" ht="15.75" customHeight="1">
      <c r="K415" s="42"/>
      <c r="L415" s="42"/>
      <c r="M415" s="42"/>
    </row>
    <row r="416" spans="11:13" ht="15.75" customHeight="1">
      <c r="K416" s="42"/>
      <c r="L416" s="42"/>
      <c r="M416" s="42"/>
    </row>
    <row r="417" spans="11:13" ht="15.75" customHeight="1">
      <c r="K417" s="42"/>
      <c r="L417" s="42"/>
      <c r="M417" s="42"/>
    </row>
    <row r="418" spans="11:13" ht="15.75" customHeight="1">
      <c r="K418" s="42"/>
      <c r="L418" s="42"/>
      <c r="M418" s="42"/>
    </row>
    <row r="419" spans="11:13" ht="15.75" customHeight="1">
      <c r="K419" s="42"/>
      <c r="L419" s="42"/>
      <c r="M419" s="42"/>
    </row>
    <row r="420" spans="11:13" ht="15.75" customHeight="1">
      <c r="K420" s="42"/>
      <c r="L420" s="42"/>
      <c r="M420" s="42"/>
    </row>
    <row r="421" spans="11:13" ht="15.75" customHeight="1">
      <c r="K421" s="42"/>
      <c r="L421" s="42"/>
      <c r="M421" s="42"/>
    </row>
    <row r="422" spans="11:13" ht="15.75" customHeight="1">
      <c r="K422" s="42"/>
      <c r="L422" s="42"/>
      <c r="M422" s="42"/>
    </row>
    <row r="423" spans="11:13" ht="15.75" customHeight="1">
      <c r="K423" s="42"/>
      <c r="L423" s="42"/>
      <c r="M423" s="42"/>
    </row>
    <row r="424" spans="11:13" ht="15.75" customHeight="1">
      <c r="K424" s="42"/>
      <c r="L424" s="42"/>
      <c r="M424" s="42"/>
    </row>
    <row r="425" spans="11:13" ht="15.75" customHeight="1">
      <c r="K425" s="42"/>
      <c r="L425" s="42"/>
      <c r="M425" s="42"/>
    </row>
    <row r="426" spans="11:13" ht="15.75" customHeight="1">
      <c r="K426" s="42"/>
      <c r="L426" s="42"/>
      <c r="M426" s="42"/>
    </row>
    <row r="427" spans="11:13" ht="15.75" customHeight="1">
      <c r="K427" s="42"/>
      <c r="L427" s="42"/>
      <c r="M427" s="42"/>
    </row>
    <row r="428" spans="11:13" ht="15.75" customHeight="1">
      <c r="K428" s="42"/>
      <c r="L428" s="42"/>
      <c r="M428" s="42"/>
    </row>
    <row r="429" spans="11:13" ht="15.75" customHeight="1">
      <c r="K429" s="42"/>
      <c r="L429" s="42"/>
      <c r="M429" s="42"/>
    </row>
    <row r="430" spans="11:13" ht="15.75" customHeight="1">
      <c r="K430" s="42"/>
      <c r="L430" s="42"/>
      <c r="M430" s="42"/>
    </row>
    <row r="431" spans="11:13" ht="15.75" customHeight="1">
      <c r="K431" s="42"/>
      <c r="L431" s="42"/>
      <c r="M431" s="42"/>
    </row>
    <row r="432" spans="11:13" ht="15.75" customHeight="1">
      <c r="K432" s="42"/>
      <c r="L432" s="42"/>
      <c r="M432" s="42"/>
    </row>
    <row r="433" spans="11:13" ht="15.75" customHeight="1">
      <c r="K433" s="42"/>
      <c r="L433" s="42"/>
      <c r="M433" s="42"/>
    </row>
    <row r="434" spans="11:13" ht="15.75" customHeight="1">
      <c r="K434" s="42"/>
      <c r="L434" s="42"/>
      <c r="M434" s="42"/>
    </row>
    <row r="435" spans="11:13" ht="15.75" customHeight="1">
      <c r="K435" s="42"/>
      <c r="L435" s="42"/>
      <c r="M435" s="42"/>
    </row>
    <row r="436" spans="11:13" ht="15.75" customHeight="1">
      <c r="K436" s="42"/>
      <c r="L436" s="42"/>
      <c r="M436" s="42"/>
    </row>
    <row r="437" spans="11:13" ht="15.75" customHeight="1">
      <c r="K437" s="42"/>
      <c r="L437" s="42"/>
      <c r="M437" s="42"/>
    </row>
    <row r="438" spans="11:13" ht="15.75" customHeight="1">
      <c r="K438" s="42"/>
      <c r="L438" s="42"/>
      <c r="M438" s="42"/>
    </row>
    <row r="439" spans="11:13" ht="15.75" customHeight="1">
      <c r="K439" s="42"/>
      <c r="L439" s="42"/>
      <c r="M439" s="42"/>
    </row>
    <row r="440" spans="11:13" ht="15.75" customHeight="1">
      <c r="K440" s="42"/>
      <c r="L440" s="42"/>
      <c r="M440" s="42"/>
    </row>
    <row r="441" spans="11:13" ht="15.75" customHeight="1">
      <c r="K441" s="42"/>
      <c r="L441" s="42"/>
      <c r="M441" s="42"/>
    </row>
    <row r="442" spans="11:13" ht="15.75" customHeight="1">
      <c r="K442" s="42"/>
      <c r="L442" s="42"/>
      <c r="M442" s="42"/>
    </row>
    <row r="443" spans="11:13" ht="15.75" customHeight="1">
      <c r="K443" s="42"/>
      <c r="L443" s="42"/>
      <c r="M443" s="42"/>
    </row>
    <row r="444" spans="11:13" ht="15.75" customHeight="1">
      <c r="K444" s="42"/>
      <c r="L444" s="42"/>
      <c r="M444" s="42"/>
    </row>
    <row r="445" spans="11:13" ht="15.75" customHeight="1">
      <c r="K445" s="42"/>
      <c r="L445" s="42"/>
      <c r="M445" s="42"/>
    </row>
    <row r="446" spans="11:13" ht="15.75" customHeight="1">
      <c r="K446" s="42"/>
      <c r="L446" s="42"/>
      <c r="M446" s="42"/>
    </row>
    <row r="447" spans="11:13" ht="15.75" customHeight="1">
      <c r="K447" s="42"/>
      <c r="L447" s="42"/>
      <c r="M447" s="42"/>
    </row>
    <row r="448" spans="11:13" ht="15.75" customHeight="1">
      <c r="K448" s="42"/>
      <c r="L448" s="42"/>
      <c r="M448" s="42"/>
    </row>
    <row r="449" spans="11:13" ht="15.75" customHeight="1">
      <c r="K449" s="42"/>
      <c r="L449" s="42"/>
      <c r="M449" s="42"/>
    </row>
    <row r="450" spans="11:13" ht="15.75" customHeight="1">
      <c r="K450" s="42"/>
      <c r="L450" s="42"/>
      <c r="M450" s="42"/>
    </row>
    <row r="451" spans="11:13" ht="15.75" customHeight="1">
      <c r="K451" s="42"/>
      <c r="L451" s="42"/>
      <c r="M451" s="42"/>
    </row>
    <row r="452" spans="11:13" ht="15.75" customHeight="1">
      <c r="K452" s="42"/>
      <c r="L452" s="42"/>
      <c r="M452" s="42"/>
    </row>
    <row r="453" spans="11:13" ht="15.75" customHeight="1">
      <c r="K453" s="42"/>
      <c r="L453" s="42"/>
      <c r="M453" s="42"/>
    </row>
    <row r="454" spans="11:13" ht="15.75" customHeight="1">
      <c r="K454" s="42"/>
      <c r="L454" s="42"/>
      <c r="M454" s="42"/>
    </row>
    <row r="455" spans="11:13" ht="15.75" customHeight="1">
      <c r="K455" s="42"/>
      <c r="L455" s="42"/>
      <c r="M455" s="42"/>
    </row>
    <row r="456" spans="11:13" ht="15.75" customHeight="1">
      <c r="K456" s="42"/>
      <c r="L456" s="42"/>
      <c r="M456" s="42"/>
    </row>
    <row r="457" spans="11:13" ht="15.75" customHeight="1">
      <c r="K457" s="42"/>
      <c r="L457" s="42"/>
      <c r="M457" s="42"/>
    </row>
    <row r="458" spans="11:13" ht="15.75" customHeight="1">
      <c r="K458" s="42"/>
      <c r="L458" s="42"/>
      <c r="M458" s="42"/>
    </row>
    <row r="459" spans="11:13" ht="15.75" customHeight="1">
      <c r="K459" s="42"/>
      <c r="L459" s="42"/>
      <c r="M459" s="42"/>
    </row>
    <row r="460" spans="11:13" ht="15.75" customHeight="1">
      <c r="K460" s="42"/>
      <c r="L460" s="42"/>
      <c r="M460" s="42"/>
    </row>
    <row r="461" spans="11:13" ht="15.75" customHeight="1">
      <c r="K461" s="42"/>
      <c r="L461" s="42"/>
      <c r="M461" s="42"/>
    </row>
    <row r="462" spans="11:13" ht="15.75" customHeight="1">
      <c r="K462" s="42"/>
      <c r="L462" s="42"/>
      <c r="M462" s="42"/>
    </row>
    <row r="463" spans="11:13" ht="15.75" customHeight="1">
      <c r="K463" s="42"/>
      <c r="L463" s="42"/>
      <c r="M463" s="42"/>
    </row>
    <row r="464" spans="11:13" ht="15.75" customHeight="1">
      <c r="K464" s="42"/>
      <c r="L464" s="42"/>
      <c r="M464" s="42"/>
    </row>
    <row r="465" spans="11:13" ht="15.75" customHeight="1">
      <c r="K465" s="42"/>
      <c r="L465" s="42"/>
      <c r="M465" s="42"/>
    </row>
    <row r="466" spans="11:13" ht="15.75" customHeight="1">
      <c r="K466" s="42"/>
      <c r="L466" s="42"/>
      <c r="M466" s="42"/>
    </row>
    <row r="467" spans="11:13" ht="15.75" customHeight="1">
      <c r="K467" s="42"/>
      <c r="L467" s="42"/>
      <c r="M467" s="42"/>
    </row>
    <row r="468" spans="11:13" ht="15.75" customHeight="1">
      <c r="K468" s="42"/>
      <c r="L468" s="42"/>
      <c r="M468" s="42"/>
    </row>
    <row r="469" spans="11:13" ht="15.75" customHeight="1">
      <c r="K469" s="42"/>
      <c r="L469" s="42"/>
      <c r="M469" s="42"/>
    </row>
    <row r="470" spans="11:13" ht="15.75" customHeight="1">
      <c r="K470" s="42"/>
      <c r="L470" s="42"/>
      <c r="M470" s="42"/>
    </row>
    <row r="471" spans="11:13" ht="15.75" customHeight="1">
      <c r="K471" s="42"/>
      <c r="L471" s="42"/>
      <c r="M471" s="42"/>
    </row>
    <row r="472" spans="11:13" ht="15.75" customHeight="1">
      <c r="K472" s="42"/>
      <c r="L472" s="42"/>
      <c r="M472" s="42"/>
    </row>
    <row r="473" spans="11:13" ht="15.75" customHeight="1">
      <c r="K473" s="42"/>
      <c r="L473" s="42"/>
      <c r="M473" s="42"/>
    </row>
    <row r="474" spans="11:13" ht="15.75" customHeight="1">
      <c r="K474" s="42"/>
      <c r="L474" s="42"/>
      <c r="M474" s="42"/>
    </row>
    <row r="475" spans="11:13" ht="15.75" customHeight="1">
      <c r="K475" s="42"/>
      <c r="L475" s="42"/>
      <c r="M475" s="42"/>
    </row>
    <row r="476" spans="11:13" ht="15.75" customHeight="1">
      <c r="K476" s="42"/>
      <c r="L476" s="42"/>
      <c r="M476" s="42"/>
    </row>
    <row r="477" spans="11:13" ht="15.75" customHeight="1">
      <c r="K477" s="42"/>
      <c r="L477" s="42"/>
      <c r="M477" s="42"/>
    </row>
    <row r="478" spans="11:13" ht="15.75" customHeight="1">
      <c r="K478" s="42"/>
      <c r="L478" s="42"/>
      <c r="M478" s="42"/>
    </row>
    <row r="479" spans="11:13" ht="15.75" customHeight="1">
      <c r="K479" s="42"/>
      <c r="L479" s="42"/>
      <c r="M479" s="42"/>
    </row>
    <row r="480" spans="11:13" ht="15.75" customHeight="1">
      <c r="K480" s="42"/>
      <c r="L480" s="42"/>
      <c r="M480" s="42"/>
    </row>
    <row r="481" spans="11:13" ht="15.75" customHeight="1">
      <c r="K481" s="42"/>
      <c r="L481" s="42"/>
      <c r="M481" s="42"/>
    </row>
    <row r="482" spans="11:13" ht="15.75" customHeight="1">
      <c r="K482" s="42"/>
      <c r="L482" s="42"/>
      <c r="M482" s="42"/>
    </row>
    <row r="483" spans="11:13" ht="15.75" customHeight="1">
      <c r="K483" s="42"/>
      <c r="L483" s="42"/>
      <c r="M483" s="42"/>
    </row>
    <row r="484" spans="11:13" ht="15.75" customHeight="1">
      <c r="K484" s="42"/>
      <c r="L484" s="42"/>
      <c r="M484" s="42"/>
    </row>
    <row r="485" spans="11:13" ht="15.75" customHeight="1">
      <c r="K485" s="42"/>
      <c r="L485" s="42"/>
      <c r="M485" s="42"/>
    </row>
    <row r="486" spans="11:13" ht="15.75" customHeight="1">
      <c r="K486" s="42"/>
      <c r="L486" s="42"/>
      <c r="M486" s="42"/>
    </row>
    <row r="487" spans="11:13" ht="15.75" customHeight="1">
      <c r="K487" s="42"/>
      <c r="L487" s="42"/>
      <c r="M487" s="42"/>
    </row>
    <row r="488" spans="11:13" ht="15.75" customHeight="1">
      <c r="K488" s="42"/>
      <c r="L488" s="42"/>
      <c r="M488" s="42"/>
    </row>
    <row r="489" spans="11:13" ht="15.75" customHeight="1">
      <c r="K489" s="42"/>
      <c r="L489" s="42"/>
      <c r="M489" s="42"/>
    </row>
    <row r="490" spans="11:13" ht="15.75" customHeight="1">
      <c r="K490" s="42"/>
      <c r="L490" s="42"/>
      <c r="M490" s="42"/>
    </row>
    <row r="491" spans="11:13" ht="15.75" customHeight="1">
      <c r="K491" s="42"/>
      <c r="L491" s="42"/>
      <c r="M491" s="42"/>
    </row>
    <row r="492" spans="11:13" ht="15.75" customHeight="1">
      <c r="K492" s="42"/>
      <c r="L492" s="42"/>
      <c r="M492" s="42"/>
    </row>
    <row r="493" spans="11:13" ht="15.75" customHeight="1">
      <c r="K493" s="42"/>
      <c r="L493" s="42"/>
      <c r="M493" s="42"/>
    </row>
    <row r="494" spans="11:13" ht="15.75" customHeight="1">
      <c r="K494" s="42"/>
      <c r="L494" s="42"/>
      <c r="M494" s="42"/>
    </row>
    <row r="495" spans="11:13" ht="15.75" customHeight="1">
      <c r="K495" s="42"/>
      <c r="L495" s="42"/>
      <c r="M495" s="42"/>
    </row>
    <row r="496" spans="11:13" ht="15.75" customHeight="1">
      <c r="K496" s="42"/>
      <c r="L496" s="42"/>
      <c r="M496" s="42"/>
    </row>
    <row r="497" spans="11:13" ht="15.75" customHeight="1">
      <c r="K497" s="42"/>
      <c r="L497" s="42"/>
      <c r="M497" s="42"/>
    </row>
    <row r="498" spans="11:13" ht="15.75" customHeight="1">
      <c r="K498" s="42"/>
      <c r="L498" s="42"/>
      <c r="M498" s="42"/>
    </row>
    <row r="499" spans="11:13" ht="15.75" customHeight="1">
      <c r="K499" s="42"/>
      <c r="L499" s="42"/>
      <c r="M499" s="42"/>
    </row>
    <row r="500" spans="11:13" ht="15.75" customHeight="1">
      <c r="K500" s="42"/>
      <c r="L500" s="42"/>
      <c r="M500" s="42"/>
    </row>
    <row r="501" spans="11:13" ht="15.75" customHeight="1">
      <c r="K501" s="42"/>
      <c r="L501" s="42"/>
      <c r="M501" s="42"/>
    </row>
    <row r="502" spans="11:13" ht="15.75" customHeight="1">
      <c r="K502" s="42"/>
      <c r="L502" s="42"/>
      <c r="M502" s="42"/>
    </row>
    <row r="503" spans="11:13" ht="15.75" customHeight="1">
      <c r="K503" s="42"/>
      <c r="L503" s="42"/>
      <c r="M503" s="42"/>
    </row>
    <row r="504" spans="11:13" ht="15.75" customHeight="1">
      <c r="K504" s="42"/>
      <c r="L504" s="42"/>
      <c r="M504" s="42"/>
    </row>
    <row r="505" spans="11:13" ht="15.75" customHeight="1">
      <c r="K505" s="42"/>
      <c r="L505" s="42"/>
      <c r="M505" s="42"/>
    </row>
    <row r="506" spans="11:13" ht="15.75" customHeight="1">
      <c r="K506" s="42"/>
      <c r="L506" s="42"/>
      <c r="M506" s="42"/>
    </row>
    <row r="507" spans="11:13" ht="15.75" customHeight="1">
      <c r="K507" s="42"/>
      <c r="L507" s="42"/>
      <c r="M507" s="42"/>
    </row>
    <row r="508" spans="11:13" ht="15.75" customHeight="1">
      <c r="K508" s="42"/>
      <c r="L508" s="42"/>
      <c r="M508" s="42"/>
    </row>
    <row r="509" spans="11:13" ht="15.75" customHeight="1">
      <c r="K509" s="42"/>
      <c r="L509" s="42"/>
      <c r="M509" s="42"/>
    </row>
    <row r="510" spans="11:13" ht="15.75" customHeight="1">
      <c r="K510" s="42"/>
      <c r="L510" s="42"/>
      <c r="M510" s="42"/>
    </row>
    <row r="511" spans="11:13" ht="15.75" customHeight="1">
      <c r="K511" s="42"/>
      <c r="L511" s="42"/>
      <c r="M511" s="42"/>
    </row>
    <row r="512" spans="11:13" ht="15.75" customHeight="1">
      <c r="K512" s="42"/>
      <c r="L512" s="42"/>
      <c r="M512" s="42"/>
    </row>
    <row r="513" spans="11:13" ht="15.75" customHeight="1">
      <c r="K513" s="42"/>
      <c r="L513" s="42"/>
      <c r="M513" s="42"/>
    </row>
    <row r="514" spans="11:13" ht="15.75" customHeight="1">
      <c r="K514" s="42"/>
      <c r="L514" s="42"/>
      <c r="M514" s="42"/>
    </row>
    <row r="515" spans="11:13" ht="15.75" customHeight="1">
      <c r="K515" s="42"/>
      <c r="L515" s="42"/>
      <c r="M515" s="42"/>
    </row>
    <row r="516" spans="11:13" ht="15.75" customHeight="1">
      <c r="K516" s="42"/>
      <c r="L516" s="42"/>
      <c r="M516" s="42"/>
    </row>
    <row r="517" spans="11:13" ht="15.75" customHeight="1">
      <c r="K517" s="42"/>
      <c r="L517" s="42"/>
      <c r="M517" s="42"/>
    </row>
    <row r="518" spans="11:13" ht="15.75" customHeight="1">
      <c r="K518" s="42"/>
      <c r="L518" s="42"/>
      <c r="M518" s="42"/>
    </row>
    <row r="519" spans="11:13" ht="15.75" customHeight="1">
      <c r="K519" s="42"/>
      <c r="L519" s="42"/>
      <c r="M519" s="42"/>
    </row>
    <row r="520" spans="11:13" ht="15.75" customHeight="1">
      <c r="K520" s="42"/>
      <c r="L520" s="42"/>
      <c r="M520" s="42"/>
    </row>
    <row r="521" spans="11:13" ht="15.75" customHeight="1">
      <c r="K521" s="42"/>
      <c r="L521" s="42"/>
      <c r="M521" s="42"/>
    </row>
    <row r="522" spans="11:13" ht="15.75" customHeight="1">
      <c r="K522" s="42"/>
      <c r="L522" s="42"/>
      <c r="M522" s="42"/>
    </row>
    <row r="523" spans="11:13" ht="15.75" customHeight="1">
      <c r="K523" s="42"/>
      <c r="L523" s="42"/>
      <c r="M523" s="42"/>
    </row>
    <row r="524" spans="11:13" ht="15.75" customHeight="1">
      <c r="K524" s="42"/>
      <c r="L524" s="42"/>
      <c r="M524" s="42"/>
    </row>
    <row r="525" spans="11:13" ht="15.75" customHeight="1">
      <c r="K525" s="42"/>
      <c r="L525" s="42"/>
      <c r="M525" s="42"/>
    </row>
    <row r="526" spans="11:13" ht="15.75" customHeight="1">
      <c r="K526" s="42"/>
      <c r="L526" s="42"/>
      <c r="M526" s="42"/>
    </row>
    <row r="527" spans="11:13" ht="15.75" customHeight="1">
      <c r="K527" s="42"/>
      <c r="L527" s="42"/>
      <c r="M527" s="42"/>
    </row>
    <row r="528" spans="11:13" ht="15.75" customHeight="1">
      <c r="K528" s="42"/>
      <c r="L528" s="42"/>
      <c r="M528" s="42"/>
    </row>
    <row r="529" spans="11:13" ht="15.75" customHeight="1">
      <c r="K529" s="42"/>
      <c r="L529" s="42"/>
      <c r="M529" s="42"/>
    </row>
    <row r="530" spans="11:13" ht="15.75" customHeight="1">
      <c r="K530" s="42"/>
      <c r="L530" s="42"/>
      <c r="M530" s="42"/>
    </row>
    <row r="531" spans="11:13" ht="15.75" customHeight="1">
      <c r="K531" s="42"/>
      <c r="L531" s="42"/>
      <c r="M531" s="42"/>
    </row>
    <row r="532" spans="11:13" ht="15.75" customHeight="1">
      <c r="K532" s="42"/>
      <c r="L532" s="42"/>
      <c r="M532" s="42"/>
    </row>
    <row r="533" spans="11:13" ht="15.75" customHeight="1">
      <c r="K533" s="42"/>
      <c r="L533" s="42"/>
      <c r="M533" s="42"/>
    </row>
    <row r="534" spans="11:13" ht="15.75" customHeight="1">
      <c r="K534" s="42"/>
      <c r="L534" s="42"/>
      <c r="M534" s="42"/>
    </row>
    <row r="535" spans="11:13" ht="15.75" customHeight="1">
      <c r="K535" s="42"/>
      <c r="L535" s="42"/>
      <c r="M535" s="42"/>
    </row>
    <row r="536" spans="11:13" ht="15.75" customHeight="1">
      <c r="K536" s="42"/>
      <c r="L536" s="42"/>
      <c r="M536" s="42"/>
    </row>
    <row r="537" spans="11:13" ht="15.75" customHeight="1">
      <c r="K537" s="42"/>
      <c r="L537" s="42"/>
      <c r="M537" s="42"/>
    </row>
    <row r="538" spans="11:13" ht="15.75" customHeight="1">
      <c r="K538" s="42"/>
      <c r="L538" s="42"/>
      <c r="M538" s="42"/>
    </row>
    <row r="539" spans="11:13" ht="15.75" customHeight="1">
      <c r="K539" s="42"/>
      <c r="L539" s="42"/>
      <c r="M539" s="42"/>
    </row>
    <row r="540" spans="11:13" ht="15.75" customHeight="1">
      <c r="K540" s="42"/>
      <c r="L540" s="42"/>
      <c r="M540" s="42"/>
    </row>
    <row r="541" spans="11:13" ht="15.75" customHeight="1">
      <c r="K541" s="42"/>
      <c r="L541" s="42"/>
      <c r="M541" s="42"/>
    </row>
    <row r="542" spans="11:13" ht="15.75" customHeight="1">
      <c r="K542" s="42"/>
      <c r="L542" s="42"/>
      <c r="M542" s="42"/>
    </row>
    <row r="543" spans="11:13" ht="15.75" customHeight="1">
      <c r="K543" s="42"/>
      <c r="L543" s="42"/>
      <c r="M543" s="42"/>
    </row>
    <row r="544" spans="11:13" ht="15.75" customHeight="1">
      <c r="K544" s="42"/>
      <c r="L544" s="42"/>
      <c r="M544" s="42"/>
    </row>
    <row r="545" spans="11:13" ht="15.75" customHeight="1">
      <c r="K545" s="42"/>
      <c r="L545" s="42"/>
      <c r="M545" s="42"/>
    </row>
    <row r="546" spans="11:13" ht="15.75" customHeight="1">
      <c r="K546" s="42"/>
      <c r="L546" s="42"/>
      <c r="M546" s="42"/>
    </row>
    <row r="547" spans="11:13" ht="15.75" customHeight="1">
      <c r="K547" s="42"/>
      <c r="L547" s="42"/>
      <c r="M547" s="42"/>
    </row>
    <row r="548" spans="11:13" ht="15.75" customHeight="1">
      <c r="K548" s="42"/>
      <c r="L548" s="42"/>
      <c r="M548" s="42"/>
    </row>
    <row r="549" spans="11:13" ht="15.75" customHeight="1">
      <c r="K549" s="42"/>
      <c r="L549" s="42"/>
      <c r="M549" s="42"/>
    </row>
    <row r="550" spans="11:13" ht="15.75" customHeight="1">
      <c r="K550" s="42"/>
      <c r="L550" s="42"/>
      <c r="M550" s="42"/>
    </row>
    <row r="551" spans="11:13" ht="15.75" customHeight="1">
      <c r="K551" s="42"/>
      <c r="L551" s="42"/>
      <c r="M551" s="42"/>
    </row>
    <row r="552" spans="11:13" ht="15.75" customHeight="1">
      <c r="K552" s="42"/>
      <c r="L552" s="42"/>
      <c r="M552" s="42"/>
    </row>
    <row r="553" spans="11:13" ht="15.75" customHeight="1">
      <c r="K553" s="42"/>
      <c r="L553" s="42"/>
      <c r="M553" s="42"/>
    </row>
    <row r="554" spans="11:13" ht="15.75" customHeight="1">
      <c r="K554" s="42"/>
      <c r="L554" s="42"/>
      <c r="M554" s="42"/>
    </row>
    <row r="555" spans="11:13" ht="15.75" customHeight="1">
      <c r="K555" s="42"/>
      <c r="L555" s="42"/>
      <c r="M555" s="42"/>
    </row>
    <row r="556" spans="11:13" ht="15.75" customHeight="1">
      <c r="K556" s="42"/>
      <c r="L556" s="42"/>
      <c r="M556" s="42"/>
    </row>
    <row r="557" spans="11:13" ht="15.75" customHeight="1">
      <c r="K557" s="42"/>
      <c r="L557" s="42"/>
      <c r="M557" s="42"/>
    </row>
    <row r="558" spans="11:13" ht="15.75" customHeight="1">
      <c r="K558" s="42"/>
      <c r="L558" s="42"/>
      <c r="M558" s="42"/>
    </row>
    <row r="559" spans="11:13" ht="15.75" customHeight="1">
      <c r="K559" s="42"/>
      <c r="L559" s="42"/>
      <c r="M559" s="42"/>
    </row>
    <row r="560" spans="11:13" ht="15.75" customHeight="1">
      <c r="K560" s="42"/>
      <c r="L560" s="42"/>
      <c r="M560" s="42"/>
    </row>
    <row r="561" spans="11:13" ht="15.75" customHeight="1">
      <c r="K561" s="42"/>
      <c r="L561" s="42"/>
      <c r="M561" s="42"/>
    </row>
    <row r="562" spans="11:13" ht="15.75" customHeight="1">
      <c r="K562" s="42"/>
      <c r="L562" s="42"/>
      <c r="M562" s="42"/>
    </row>
    <row r="563" spans="11:13" ht="15.75" customHeight="1">
      <c r="K563" s="42"/>
      <c r="L563" s="42"/>
      <c r="M563" s="42"/>
    </row>
    <row r="564" spans="11:13" ht="15.75" customHeight="1">
      <c r="K564" s="42"/>
      <c r="L564" s="42"/>
      <c r="M564" s="42"/>
    </row>
    <row r="565" spans="11:13" ht="15.75" customHeight="1">
      <c r="K565" s="42"/>
      <c r="L565" s="42"/>
      <c r="M565" s="42"/>
    </row>
    <row r="566" spans="11:13" ht="15.75" customHeight="1">
      <c r="K566" s="42"/>
      <c r="L566" s="42"/>
      <c r="M566" s="42"/>
    </row>
    <row r="567" spans="11:13" ht="15.75" customHeight="1">
      <c r="K567" s="42"/>
      <c r="L567" s="42"/>
      <c r="M567" s="42"/>
    </row>
    <row r="568" spans="11:13" ht="15.75" customHeight="1">
      <c r="K568" s="42"/>
      <c r="L568" s="42"/>
      <c r="M568" s="42"/>
    </row>
    <row r="569" spans="11:13" ht="15.75" customHeight="1">
      <c r="K569" s="42"/>
      <c r="L569" s="42"/>
      <c r="M569" s="42"/>
    </row>
    <row r="570" spans="11:13" ht="15.75" customHeight="1">
      <c r="K570" s="42"/>
      <c r="L570" s="42"/>
      <c r="M570" s="42"/>
    </row>
    <row r="571" spans="11:13" ht="15.75" customHeight="1">
      <c r="K571" s="42"/>
      <c r="L571" s="42"/>
      <c r="M571" s="42"/>
    </row>
    <row r="572" spans="11:13" ht="15.75" customHeight="1">
      <c r="K572" s="42"/>
      <c r="L572" s="42"/>
      <c r="M572" s="42"/>
    </row>
    <row r="573" spans="11:13" ht="15.75" customHeight="1">
      <c r="K573" s="42"/>
      <c r="L573" s="42"/>
      <c r="M573" s="42"/>
    </row>
    <row r="574" spans="11:13" ht="15.75" customHeight="1">
      <c r="K574" s="42"/>
      <c r="L574" s="42"/>
      <c r="M574" s="42"/>
    </row>
    <row r="575" spans="11:13" ht="15.75" customHeight="1">
      <c r="K575" s="42"/>
      <c r="L575" s="42"/>
      <c r="M575" s="42"/>
    </row>
    <row r="576" spans="11:13" ht="15.75" customHeight="1">
      <c r="K576" s="42"/>
      <c r="L576" s="42"/>
      <c r="M576" s="42"/>
    </row>
    <row r="577" spans="11:13" ht="15.75" customHeight="1">
      <c r="K577" s="42"/>
      <c r="L577" s="42"/>
      <c r="M577" s="42"/>
    </row>
    <row r="578" spans="11:13" ht="15.75" customHeight="1">
      <c r="K578" s="42"/>
      <c r="L578" s="42"/>
      <c r="M578" s="42"/>
    </row>
    <row r="579" spans="11:13" ht="15.75" customHeight="1">
      <c r="K579" s="42"/>
      <c r="L579" s="42"/>
      <c r="M579" s="42"/>
    </row>
    <row r="580" spans="11:13" ht="15.75" customHeight="1">
      <c r="K580" s="42"/>
      <c r="L580" s="42"/>
      <c r="M580" s="42"/>
    </row>
    <row r="581" spans="11:13" ht="15.75" customHeight="1">
      <c r="K581" s="42"/>
      <c r="L581" s="42"/>
      <c r="M581" s="42"/>
    </row>
    <row r="582" spans="11:13" ht="15.75" customHeight="1">
      <c r="K582" s="42"/>
      <c r="L582" s="42"/>
      <c r="M582" s="42"/>
    </row>
    <row r="583" spans="11:13" ht="15.75" customHeight="1">
      <c r="K583" s="42"/>
      <c r="L583" s="42"/>
      <c r="M583" s="42"/>
    </row>
    <row r="584" spans="11:13" ht="15.75" customHeight="1">
      <c r="K584" s="42"/>
      <c r="L584" s="42"/>
      <c r="M584" s="42"/>
    </row>
    <row r="585" spans="11:13" ht="15.75" customHeight="1">
      <c r="K585" s="42"/>
      <c r="L585" s="42"/>
      <c r="M585" s="42"/>
    </row>
    <row r="586" spans="11:13" ht="15.75" customHeight="1">
      <c r="K586" s="42"/>
      <c r="L586" s="42"/>
      <c r="M586" s="42"/>
    </row>
    <row r="587" spans="11:13" ht="15.75" customHeight="1">
      <c r="K587" s="42"/>
      <c r="L587" s="42"/>
      <c r="M587" s="42"/>
    </row>
    <row r="588" spans="11:13" ht="15.75" customHeight="1">
      <c r="K588" s="42"/>
      <c r="L588" s="42"/>
      <c r="M588" s="42"/>
    </row>
    <row r="589" spans="11:13" ht="15.75" customHeight="1">
      <c r="K589" s="42"/>
      <c r="L589" s="42"/>
      <c r="M589" s="42"/>
    </row>
    <row r="590" spans="11:13" ht="15.75" customHeight="1">
      <c r="K590" s="42"/>
      <c r="L590" s="42"/>
      <c r="M590" s="42"/>
    </row>
    <row r="591" spans="11:13" ht="15.75" customHeight="1">
      <c r="K591" s="42"/>
      <c r="L591" s="42"/>
      <c r="M591" s="42"/>
    </row>
    <row r="592" spans="11:13" ht="15.75" customHeight="1">
      <c r="K592" s="42"/>
      <c r="L592" s="42"/>
      <c r="M592" s="42"/>
    </row>
    <row r="593" spans="11:13" ht="15.75" customHeight="1">
      <c r="K593" s="42"/>
      <c r="L593" s="42"/>
      <c r="M593" s="42"/>
    </row>
    <row r="594" spans="11:13" ht="15.75" customHeight="1">
      <c r="K594" s="42"/>
      <c r="L594" s="42"/>
      <c r="M594" s="42"/>
    </row>
    <row r="595" spans="11:13" ht="15.75" customHeight="1">
      <c r="K595" s="42"/>
      <c r="L595" s="42"/>
      <c r="M595" s="42"/>
    </row>
    <row r="596" spans="11:13" ht="15.75" customHeight="1">
      <c r="K596" s="42"/>
      <c r="L596" s="42"/>
      <c r="M596" s="42"/>
    </row>
    <row r="597" spans="11:13" ht="15.75" customHeight="1">
      <c r="K597" s="42"/>
      <c r="L597" s="42"/>
      <c r="M597" s="42"/>
    </row>
    <row r="598" spans="11:13" ht="15.75" customHeight="1">
      <c r="K598" s="42"/>
      <c r="L598" s="42"/>
      <c r="M598" s="42"/>
    </row>
    <row r="599" spans="11:13" ht="15.75" customHeight="1">
      <c r="K599" s="42"/>
      <c r="L599" s="42"/>
      <c r="M599" s="42"/>
    </row>
    <row r="600" spans="11:13" ht="15.75" customHeight="1">
      <c r="K600" s="42"/>
      <c r="L600" s="42"/>
      <c r="M600" s="42"/>
    </row>
    <row r="601" spans="11:13" ht="15.75" customHeight="1">
      <c r="K601" s="42"/>
      <c r="L601" s="42"/>
      <c r="M601" s="42"/>
    </row>
    <row r="602" spans="11:13" ht="15.75" customHeight="1">
      <c r="K602" s="42"/>
      <c r="L602" s="42"/>
      <c r="M602" s="42"/>
    </row>
    <row r="603" spans="11:13" ht="15.75" customHeight="1">
      <c r="K603" s="42"/>
      <c r="L603" s="42"/>
      <c r="M603" s="42"/>
    </row>
    <row r="604" spans="11:13" ht="15.75" customHeight="1">
      <c r="K604" s="42"/>
      <c r="L604" s="42"/>
      <c r="M604" s="42"/>
    </row>
    <row r="605" spans="11:13" ht="15.75" customHeight="1">
      <c r="K605" s="42"/>
      <c r="L605" s="42"/>
      <c r="M605" s="42"/>
    </row>
    <row r="606" spans="11:13" ht="15.75" customHeight="1">
      <c r="K606" s="42"/>
      <c r="L606" s="42"/>
      <c r="M606" s="42"/>
    </row>
    <row r="607" spans="11:13" ht="15.75" customHeight="1">
      <c r="K607" s="42"/>
      <c r="L607" s="42"/>
      <c r="M607" s="42"/>
    </row>
    <row r="608" spans="11:13" ht="15.75" customHeight="1">
      <c r="K608" s="42"/>
      <c r="L608" s="42"/>
      <c r="M608" s="42"/>
    </row>
    <row r="609" spans="11:13" ht="15.75" customHeight="1">
      <c r="K609" s="42"/>
      <c r="L609" s="42"/>
      <c r="M609" s="42"/>
    </row>
    <row r="610" spans="11:13" ht="15.75" customHeight="1">
      <c r="K610" s="42"/>
      <c r="L610" s="42"/>
      <c r="M610" s="42"/>
    </row>
    <row r="611" spans="11:13" ht="15.75" customHeight="1">
      <c r="K611" s="42"/>
      <c r="L611" s="42"/>
      <c r="M611" s="42"/>
    </row>
    <row r="612" spans="11:13" ht="15.75" customHeight="1">
      <c r="K612" s="42"/>
      <c r="L612" s="42"/>
      <c r="M612" s="42"/>
    </row>
    <row r="613" spans="11:13" ht="15.75" customHeight="1">
      <c r="K613" s="42"/>
      <c r="L613" s="42"/>
      <c r="M613" s="42"/>
    </row>
    <row r="614" spans="11:13" ht="15.75" customHeight="1">
      <c r="K614" s="42"/>
      <c r="L614" s="42"/>
      <c r="M614" s="42"/>
    </row>
    <row r="615" spans="11:13" ht="15.75" customHeight="1">
      <c r="K615" s="42"/>
      <c r="L615" s="42"/>
      <c r="M615" s="42"/>
    </row>
    <row r="616" spans="11:13" ht="15.75" customHeight="1">
      <c r="K616" s="42"/>
      <c r="L616" s="42"/>
      <c r="M616" s="42"/>
    </row>
    <row r="617" spans="11:13" ht="15.75" customHeight="1">
      <c r="K617" s="42"/>
      <c r="L617" s="42"/>
      <c r="M617" s="42"/>
    </row>
    <row r="618" spans="11:13" ht="15.75" customHeight="1">
      <c r="K618" s="42"/>
      <c r="L618" s="42"/>
      <c r="M618" s="42"/>
    </row>
    <row r="619" spans="11:13" ht="15.75" customHeight="1">
      <c r="K619" s="42"/>
      <c r="L619" s="42"/>
      <c r="M619" s="42"/>
    </row>
    <row r="620" spans="11:13" ht="15.75" customHeight="1">
      <c r="K620" s="42"/>
      <c r="L620" s="42"/>
      <c r="M620" s="42"/>
    </row>
    <row r="621" spans="11:13" ht="15.75" customHeight="1">
      <c r="K621" s="42"/>
      <c r="L621" s="42"/>
      <c r="M621" s="42"/>
    </row>
    <row r="622" spans="11:13" ht="15.75" customHeight="1">
      <c r="K622" s="42"/>
      <c r="L622" s="42"/>
      <c r="M622" s="42"/>
    </row>
    <row r="623" spans="11:13" ht="15.75" customHeight="1">
      <c r="K623" s="42"/>
      <c r="L623" s="42"/>
      <c r="M623" s="42"/>
    </row>
    <row r="624" spans="11:13" ht="15.75" customHeight="1">
      <c r="K624" s="42"/>
      <c r="L624" s="42"/>
      <c r="M624" s="42"/>
    </row>
    <row r="625" spans="11:13" ht="15.75" customHeight="1">
      <c r="K625" s="42"/>
      <c r="L625" s="42"/>
      <c r="M625" s="42"/>
    </row>
    <row r="626" spans="11:13" ht="15.75" customHeight="1">
      <c r="K626" s="42"/>
      <c r="L626" s="42"/>
      <c r="M626" s="42"/>
    </row>
    <row r="627" spans="11:13" ht="15.75" customHeight="1">
      <c r="K627" s="42"/>
      <c r="L627" s="42"/>
      <c r="M627" s="42"/>
    </row>
    <row r="628" spans="11:13" ht="15.75" customHeight="1">
      <c r="K628" s="42"/>
      <c r="L628" s="42"/>
      <c r="M628" s="42"/>
    </row>
    <row r="629" spans="11:13" ht="15.75" customHeight="1">
      <c r="K629" s="42"/>
      <c r="L629" s="42"/>
      <c r="M629" s="42"/>
    </row>
    <row r="630" spans="11:13" ht="15.75" customHeight="1">
      <c r="K630" s="42"/>
      <c r="L630" s="42"/>
      <c r="M630" s="42"/>
    </row>
    <row r="631" spans="11:13" ht="15.75" customHeight="1">
      <c r="K631" s="42"/>
      <c r="L631" s="42"/>
      <c r="M631" s="42"/>
    </row>
    <row r="632" spans="11:13" ht="15.75" customHeight="1">
      <c r="K632" s="42"/>
      <c r="L632" s="42"/>
      <c r="M632" s="42"/>
    </row>
    <row r="633" spans="11:13" ht="15.75" customHeight="1">
      <c r="K633" s="42"/>
      <c r="L633" s="42"/>
      <c r="M633" s="42"/>
    </row>
    <row r="634" spans="11:13" ht="15.75" customHeight="1">
      <c r="K634" s="42"/>
      <c r="L634" s="42"/>
      <c r="M634" s="42"/>
    </row>
    <row r="635" spans="11:13" ht="15.75" customHeight="1">
      <c r="K635" s="42"/>
      <c r="L635" s="42"/>
      <c r="M635" s="42"/>
    </row>
    <row r="636" spans="11:13" ht="15.75" customHeight="1">
      <c r="K636" s="42"/>
      <c r="L636" s="42"/>
      <c r="M636" s="42"/>
    </row>
    <row r="637" spans="11:13" ht="15.75" customHeight="1">
      <c r="K637" s="42"/>
      <c r="L637" s="42"/>
      <c r="M637" s="42"/>
    </row>
    <row r="638" spans="11:13" ht="15.75" customHeight="1">
      <c r="K638" s="42"/>
      <c r="L638" s="42"/>
      <c r="M638" s="42"/>
    </row>
    <row r="639" spans="11:13" ht="15.75" customHeight="1">
      <c r="K639" s="42"/>
      <c r="L639" s="42"/>
      <c r="M639" s="42"/>
    </row>
    <row r="640" spans="11:13" ht="15.75" customHeight="1">
      <c r="K640" s="42"/>
      <c r="L640" s="42"/>
      <c r="M640" s="42"/>
    </row>
    <row r="641" spans="11:13" ht="15.75" customHeight="1">
      <c r="K641" s="42"/>
      <c r="L641" s="42"/>
      <c r="M641" s="42"/>
    </row>
    <row r="642" spans="11:13" ht="15.75" customHeight="1">
      <c r="K642" s="42"/>
      <c r="L642" s="42"/>
      <c r="M642" s="42"/>
    </row>
    <row r="643" spans="11:13" ht="15.75" customHeight="1">
      <c r="K643" s="42"/>
      <c r="L643" s="42"/>
      <c r="M643" s="42"/>
    </row>
    <row r="644" spans="11:13" ht="15.75" customHeight="1">
      <c r="K644" s="42"/>
      <c r="L644" s="42"/>
      <c r="M644" s="42"/>
    </row>
    <row r="645" spans="11:13" ht="15.75" customHeight="1">
      <c r="K645" s="42"/>
      <c r="L645" s="42"/>
      <c r="M645" s="42"/>
    </row>
    <row r="646" spans="11:13" ht="15.75" customHeight="1">
      <c r="K646" s="42"/>
      <c r="L646" s="42"/>
      <c r="M646" s="42"/>
    </row>
    <row r="647" spans="11:13" ht="15.75" customHeight="1">
      <c r="K647" s="42"/>
      <c r="L647" s="42"/>
      <c r="M647" s="42"/>
    </row>
    <row r="648" spans="11:13" ht="15.75" customHeight="1">
      <c r="K648" s="42"/>
      <c r="L648" s="42"/>
      <c r="M648" s="42"/>
    </row>
    <row r="649" spans="11:13" ht="15.75" customHeight="1">
      <c r="K649" s="42"/>
      <c r="L649" s="42"/>
      <c r="M649" s="42"/>
    </row>
    <row r="650" spans="11:13" ht="15.75" customHeight="1">
      <c r="K650" s="42"/>
      <c r="L650" s="42"/>
      <c r="M650" s="42"/>
    </row>
    <row r="651" spans="11:13" ht="15.75" customHeight="1">
      <c r="K651" s="42"/>
      <c r="L651" s="42"/>
      <c r="M651" s="42"/>
    </row>
    <row r="652" spans="11:13" ht="15.75" customHeight="1">
      <c r="K652" s="42"/>
      <c r="L652" s="42"/>
      <c r="M652" s="42"/>
    </row>
    <row r="653" spans="11:13" ht="15.75" customHeight="1">
      <c r="K653" s="42"/>
      <c r="L653" s="42"/>
      <c r="M653" s="42"/>
    </row>
    <row r="654" spans="11:13" ht="15.75" customHeight="1">
      <c r="K654" s="42"/>
      <c r="L654" s="42"/>
      <c r="M654" s="42"/>
    </row>
    <row r="655" spans="11:13" ht="15.75" customHeight="1">
      <c r="K655" s="42"/>
      <c r="L655" s="42"/>
      <c r="M655" s="42"/>
    </row>
    <row r="656" spans="11:13" ht="15.75" customHeight="1">
      <c r="K656" s="42"/>
      <c r="L656" s="42"/>
      <c r="M656" s="42"/>
    </row>
    <row r="657" spans="11:13" ht="15.75" customHeight="1">
      <c r="K657" s="42"/>
      <c r="L657" s="42"/>
      <c r="M657" s="42"/>
    </row>
    <row r="658" spans="11:13" ht="15.75" customHeight="1">
      <c r="K658" s="42"/>
      <c r="L658" s="42"/>
      <c r="M658" s="42"/>
    </row>
    <row r="659" spans="11:13" ht="15.75" customHeight="1">
      <c r="K659" s="42"/>
      <c r="L659" s="42"/>
      <c r="M659" s="42"/>
    </row>
    <row r="660" spans="11:13" ht="15.75" customHeight="1">
      <c r="K660" s="42"/>
      <c r="L660" s="42"/>
      <c r="M660" s="42"/>
    </row>
    <row r="661" spans="11:13" ht="15.75" customHeight="1">
      <c r="K661" s="42"/>
      <c r="L661" s="42"/>
      <c r="M661" s="42"/>
    </row>
    <row r="662" spans="11:13" ht="15.75" customHeight="1">
      <c r="K662" s="42"/>
      <c r="L662" s="42"/>
      <c r="M662" s="42"/>
    </row>
    <row r="663" spans="11:13" ht="15.75" customHeight="1">
      <c r="K663" s="42"/>
      <c r="L663" s="42"/>
      <c r="M663" s="42"/>
    </row>
    <row r="664" spans="11:13" ht="15.75" customHeight="1">
      <c r="K664" s="42"/>
      <c r="L664" s="42"/>
      <c r="M664" s="42"/>
    </row>
    <row r="665" spans="11:13" ht="15.75" customHeight="1">
      <c r="K665" s="42"/>
      <c r="L665" s="42"/>
      <c r="M665" s="42"/>
    </row>
    <row r="666" spans="11:13" ht="15.75" customHeight="1">
      <c r="K666" s="42"/>
      <c r="L666" s="42"/>
      <c r="M666" s="42"/>
    </row>
    <row r="667" spans="11:13" ht="15.75" customHeight="1">
      <c r="K667" s="42"/>
      <c r="L667" s="42"/>
      <c r="M667" s="42"/>
    </row>
    <row r="668" spans="11:13" ht="15.75" customHeight="1">
      <c r="K668" s="42"/>
      <c r="L668" s="42"/>
      <c r="M668" s="42"/>
    </row>
    <row r="669" spans="11:13" ht="15.75" customHeight="1">
      <c r="K669" s="42"/>
      <c r="L669" s="42"/>
      <c r="M669" s="42"/>
    </row>
    <row r="670" spans="11:13" ht="15.75" customHeight="1">
      <c r="K670" s="42"/>
      <c r="L670" s="42"/>
      <c r="M670" s="42"/>
    </row>
    <row r="671" spans="11:13" ht="15.75" customHeight="1">
      <c r="K671" s="42"/>
      <c r="L671" s="42"/>
      <c r="M671" s="42"/>
    </row>
    <row r="672" spans="11:13" ht="15.75" customHeight="1">
      <c r="K672" s="42"/>
      <c r="L672" s="42"/>
      <c r="M672" s="42"/>
    </row>
    <row r="673" spans="11:13" ht="15.75" customHeight="1">
      <c r="K673" s="42"/>
      <c r="L673" s="42"/>
      <c r="M673" s="42"/>
    </row>
    <row r="674" spans="11:13" ht="15.75" customHeight="1">
      <c r="K674" s="42"/>
      <c r="L674" s="42"/>
      <c r="M674" s="42"/>
    </row>
    <row r="675" spans="11:13" ht="15.75" customHeight="1">
      <c r="K675" s="42"/>
      <c r="L675" s="42"/>
      <c r="M675" s="42"/>
    </row>
    <row r="676" spans="11:13" ht="15.75" customHeight="1">
      <c r="K676" s="42"/>
      <c r="L676" s="42"/>
      <c r="M676" s="42"/>
    </row>
    <row r="677" spans="11:13" ht="15.75" customHeight="1">
      <c r="K677" s="42"/>
      <c r="L677" s="42"/>
      <c r="M677" s="42"/>
    </row>
    <row r="678" spans="11:13" ht="15.75" customHeight="1">
      <c r="K678" s="42"/>
      <c r="L678" s="42"/>
      <c r="M678" s="42"/>
    </row>
    <row r="679" spans="11:13" ht="15.75" customHeight="1">
      <c r="K679" s="42"/>
      <c r="L679" s="42"/>
      <c r="M679" s="42"/>
    </row>
    <row r="680" spans="11:13" ht="15.75" customHeight="1">
      <c r="K680" s="42"/>
      <c r="L680" s="42"/>
      <c r="M680" s="42"/>
    </row>
    <row r="681" spans="11:13" ht="15.75" customHeight="1">
      <c r="K681" s="42"/>
      <c r="L681" s="42"/>
      <c r="M681" s="42"/>
    </row>
    <row r="682" spans="11:13" ht="15.75" customHeight="1">
      <c r="K682" s="42"/>
      <c r="L682" s="42"/>
      <c r="M682" s="42"/>
    </row>
    <row r="683" spans="11:13" ht="15.75" customHeight="1">
      <c r="K683" s="42"/>
      <c r="L683" s="42"/>
      <c r="M683" s="42"/>
    </row>
    <row r="684" spans="11:13" ht="15.75" customHeight="1">
      <c r="K684" s="42"/>
      <c r="L684" s="42"/>
      <c r="M684" s="42"/>
    </row>
    <row r="685" spans="11:13" ht="15.75" customHeight="1">
      <c r="K685" s="42"/>
      <c r="L685" s="42"/>
      <c r="M685" s="42"/>
    </row>
    <row r="686" spans="11:13" ht="15.75" customHeight="1">
      <c r="K686" s="42"/>
      <c r="L686" s="42"/>
      <c r="M686" s="42"/>
    </row>
    <row r="687" spans="11:13" ht="15.75" customHeight="1">
      <c r="K687" s="42"/>
      <c r="L687" s="42"/>
      <c r="M687" s="42"/>
    </row>
    <row r="688" spans="11:13" ht="15.75" customHeight="1">
      <c r="K688" s="42"/>
      <c r="L688" s="42"/>
      <c r="M688" s="42"/>
    </row>
    <row r="689" spans="11:13" ht="15.75" customHeight="1">
      <c r="K689" s="42"/>
      <c r="L689" s="42"/>
      <c r="M689" s="42"/>
    </row>
    <row r="690" spans="11:13" ht="15.75" customHeight="1">
      <c r="K690" s="42"/>
      <c r="L690" s="42"/>
      <c r="M690" s="42"/>
    </row>
    <row r="691" spans="11:13" ht="15.75" customHeight="1">
      <c r="K691" s="42"/>
      <c r="L691" s="42"/>
      <c r="M691" s="42"/>
    </row>
    <row r="692" spans="11:13" ht="15.75" customHeight="1">
      <c r="K692" s="42"/>
      <c r="L692" s="42"/>
      <c r="M692" s="42"/>
    </row>
    <row r="693" spans="11:13" ht="15.75" customHeight="1">
      <c r="K693" s="42"/>
      <c r="L693" s="42"/>
      <c r="M693" s="42"/>
    </row>
    <row r="694" spans="11:13" ht="15.75" customHeight="1">
      <c r="K694" s="42"/>
      <c r="L694" s="42"/>
      <c r="M694" s="42"/>
    </row>
    <row r="695" spans="11:13" ht="15.75" customHeight="1">
      <c r="K695" s="42"/>
      <c r="L695" s="42"/>
      <c r="M695" s="42"/>
    </row>
    <row r="696" spans="11:13" ht="15.75" customHeight="1">
      <c r="K696" s="42"/>
      <c r="L696" s="42"/>
      <c r="M696" s="42"/>
    </row>
    <row r="697" spans="11:13" ht="15.75" customHeight="1">
      <c r="K697" s="42"/>
      <c r="L697" s="42"/>
      <c r="M697" s="42"/>
    </row>
    <row r="698" spans="11:13" ht="15.75" customHeight="1">
      <c r="K698" s="42"/>
      <c r="L698" s="42"/>
      <c r="M698" s="42"/>
    </row>
    <row r="699" spans="11:13" ht="15.75" customHeight="1">
      <c r="K699" s="42"/>
      <c r="L699" s="42"/>
      <c r="M699" s="42"/>
    </row>
    <row r="700" spans="11:13" ht="15.75" customHeight="1">
      <c r="K700" s="42"/>
      <c r="L700" s="42"/>
      <c r="M700" s="42"/>
    </row>
    <row r="701" spans="11:13" ht="15.75" customHeight="1">
      <c r="K701" s="42"/>
      <c r="L701" s="42"/>
      <c r="M701" s="42"/>
    </row>
    <row r="702" spans="11:13" ht="15.75" customHeight="1">
      <c r="K702" s="42"/>
      <c r="L702" s="42"/>
      <c r="M702" s="42"/>
    </row>
    <row r="703" spans="11:13" ht="15.75" customHeight="1">
      <c r="K703" s="42"/>
      <c r="L703" s="42"/>
      <c r="M703" s="42"/>
    </row>
    <row r="704" spans="11:13" ht="15.75" customHeight="1">
      <c r="K704" s="42"/>
      <c r="L704" s="42"/>
      <c r="M704" s="42"/>
    </row>
    <row r="705" spans="11:13" ht="15.75" customHeight="1">
      <c r="K705" s="42"/>
      <c r="L705" s="42"/>
      <c r="M705" s="42"/>
    </row>
    <row r="706" spans="11:13" ht="15.75" customHeight="1">
      <c r="K706" s="42"/>
      <c r="L706" s="42"/>
      <c r="M706" s="42"/>
    </row>
    <row r="707" spans="11:13" ht="15.75" customHeight="1">
      <c r="K707" s="42"/>
      <c r="L707" s="42"/>
      <c r="M707" s="42"/>
    </row>
    <row r="708" spans="11:13" ht="15.75" customHeight="1">
      <c r="K708" s="42"/>
      <c r="L708" s="42"/>
      <c r="M708" s="42"/>
    </row>
    <row r="709" spans="11:13" ht="15.75" customHeight="1">
      <c r="K709" s="42"/>
      <c r="L709" s="42"/>
      <c r="M709" s="42"/>
    </row>
    <row r="710" spans="11:13" ht="15.75" customHeight="1">
      <c r="K710" s="42"/>
      <c r="L710" s="42"/>
      <c r="M710" s="42"/>
    </row>
    <row r="711" spans="11:13" ht="15.75" customHeight="1">
      <c r="K711" s="42"/>
      <c r="L711" s="42"/>
      <c r="M711" s="42"/>
    </row>
    <row r="712" spans="11:13" ht="15.75" customHeight="1">
      <c r="K712" s="42"/>
      <c r="L712" s="42"/>
      <c r="M712" s="42"/>
    </row>
    <row r="713" spans="11:13" ht="15.75" customHeight="1">
      <c r="K713" s="42"/>
      <c r="L713" s="42"/>
      <c r="M713" s="42"/>
    </row>
    <row r="714" spans="11:13" ht="15.75" customHeight="1">
      <c r="K714" s="42"/>
      <c r="L714" s="42"/>
      <c r="M714" s="42"/>
    </row>
    <row r="715" spans="11:13" ht="15.75" customHeight="1">
      <c r="K715" s="42"/>
      <c r="L715" s="42"/>
      <c r="M715" s="42"/>
    </row>
    <row r="716" spans="11:13" ht="15.75" customHeight="1">
      <c r="K716" s="42"/>
      <c r="L716" s="42"/>
      <c r="M716" s="42"/>
    </row>
    <row r="717" spans="11:13" ht="15.75" customHeight="1">
      <c r="K717" s="42"/>
      <c r="L717" s="42"/>
      <c r="M717" s="42"/>
    </row>
    <row r="718" spans="11:13" ht="15.75" customHeight="1">
      <c r="K718" s="42"/>
      <c r="L718" s="42"/>
      <c r="M718" s="42"/>
    </row>
    <row r="719" spans="11:13" ht="15.75" customHeight="1">
      <c r="K719" s="42"/>
      <c r="L719" s="42"/>
      <c r="M719" s="42"/>
    </row>
    <row r="720" spans="11:13" ht="15.75" customHeight="1">
      <c r="K720" s="42"/>
      <c r="L720" s="42"/>
      <c r="M720" s="42"/>
    </row>
    <row r="721" spans="11:13" ht="15.75" customHeight="1">
      <c r="K721" s="42"/>
      <c r="L721" s="42"/>
      <c r="M721" s="42"/>
    </row>
    <row r="722" spans="11:13" ht="15.75" customHeight="1">
      <c r="K722" s="42"/>
      <c r="L722" s="42"/>
      <c r="M722" s="42"/>
    </row>
    <row r="723" spans="11:13" ht="15.75" customHeight="1">
      <c r="K723" s="42"/>
      <c r="L723" s="42"/>
      <c r="M723" s="42"/>
    </row>
    <row r="724" spans="11:13" ht="15.75" customHeight="1">
      <c r="K724" s="42"/>
      <c r="L724" s="42"/>
      <c r="M724" s="42"/>
    </row>
    <row r="725" spans="11:13" ht="15.75" customHeight="1">
      <c r="K725" s="42"/>
      <c r="L725" s="42"/>
      <c r="M725" s="42"/>
    </row>
    <row r="726" spans="11:13" ht="15.75" customHeight="1">
      <c r="K726" s="42"/>
      <c r="L726" s="42"/>
      <c r="M726" s="42"/>
    </row>
    <row r="727" spans="11:13" ht="15.75" customHeight="1">
      <c r="K727" s="42"/>
      <c r="L727" s="42"/>
      <c r="M727" s="42"/>
    </row>
    <row r="728" spans="11:13" ht="15.75" customHeight="1">
      <c r="K728" s="42"/>
      <c r="L728" s="42"/>
      <c r="M728" s="42"/>
    </row>
    <row r="729" spans="11:13" ht="15.75" customHeight="1">
      <c r="K729" s="42"/>
      <c r="L729" s="42"/>
      <c r="M729" s="42"/>
    </row>
    <row r="730" spans="11:13" ht="15.75" customHeight="1">
      <c r="K730" s="42"/>
      <c r="L730" s="42"/>
      <c r="M730" s="42"/>
    </row>
    <row r="731" spans="11:13" ht="15.75" customHeight="1">
      <c r="K731" s="42"/>
      <c r="L731" s="42"/>
      <c r="M731" s="42"/>
    </row>
    <row r="732" spans="11:13" ht="15.75" customHeight="1">
      <c r="K732" s="42"/>
      <c r="L732" s="42"/>
      <c r="M732" s="42"/>
    </row>
    <row r="733" spans="11:13" ht="15.75" customHeight="1">
      <c r="K733" s="42"/>
      <c r="L733" s="42"/>
      <c r="M733" s="42"/>
    </row>
    <row r="734" spans="11:13" ht="15.75" customHeight="1">
      <c r="K734" s="42"/>
      <c r="L734" s="42"/>
      <c r="M734" s="42"/>
    </row>
    <row r="735" spans="11:13" ht="15.75" customHeight="1">
      <c r="K735" s="42"/>
      <c r="L735" s="42"/>
      <c r="M735" s="42"/>
    </row>
    <row r="736" spans="11:13" ht="15.75" customHeight="1">
      <c r="K736" s="42"/>
      <c r="L736" s="42"/>
      <c r="M736" s="42"/>
    </row>
    <row r="737" spans="11:13" ht="15.75" customHeight="1">
      <c r="K737" s="42"/>
      <c r="L737" s="42"/>
      <c r="M737" s="42"/>
    </row>
    <row r="738" spans="11:13" ht="15.75" customHeight="1">
      <c r="K738" s="42"/>
      <c r="L738" s="42"/>
      <c r="M738" s="42"/>
    </row>
    <row r="739" spans="11:13" ht="15.75" customHeight="1">
      <c r="K739" s="42"/>
      <c r="L739" s="42"/>
      <c r="M739" s="42"/>
    </row>
    <row r="740" spans="11:13" ht="15.75" customHeight="1">
      <c r="K740" s="42"/>
      <c r="L740" s="42"/>
      <c r="M740" s="42"/>
    </row>
    <row r="741" spans="11:13" ht="15.75" customHeight="1">
      <c r="K741" s="42"/>
      <c r="L741" s="42"/>
      <c r="M741" s="42"/>
    </row>
    <row r="742" spans="11:13" ht="15.75" customHeight="1">
      <c r="K742" s="42"/>
      <c r="L742" s="42"/>
      <c r="M742" s="42"/>
    </row>
    <row r="743" spans="11:13" ht="15.75" customHeight="1">
      <c r="K743" s="42"/>
      <c r="L743" s="42"/>
      <c r="M743" s="42"/>
    </row>
    <row r="744" spans="11:13" ht="15.75" customHeight="1">
      <c r="K744" s="42"/>
      <c r="L744" s="42"/>
      <c r="M744" s="42"/>
    </row>
    <row r="745" spans="11:13" ht="15.75" customHeight="1">
      <c r="K745" s="42"/>
      <c r="L745" s="42"/>
      <c r="M745" s="42"/>
    </row>
    <row r="746" spans="11:13" ht="15.75" customHeight="1">
      <c r="K746" s="42"/>
      <c r="L746" s="42"/>
      <c r="M746" s="42"/>
    </row>
    <row r="747" spans="11:13" ht="15.75" customHeight="1">
      <c r="K747" s="42"/>
      <c r="L747" s="42"/>
      <c r="M747" s="42"/>
    </row>
    <row r="748" spans="11:13" ht="15.75" customHeight="1">
      <c r="K748" s="42"/>
      <c r="L748" s="42"/>
      <c r="M748" s="42"/>
    </row>
    <row r="749" spans="11:13" ht="15.75" customHeight="1">
      <c r="K749" s="42"/>
      <c r="L749" s="42"/>
      <c r="M749" s="42"/>
    </row>
    <row r="750" spans="11:13" ht="15.75" customHeight="1">
      <c r="K750" s="42"/>
      <c r="L750" s="42"/>
      <c r="M750" s="42"/>
    </row>
    <row r="751" spans="11:13" ht="15.75" customHeight="1">
      <c r="K751" s="42"/>
      <c r="L751" s="42"/>
      <c r="M751" s="42"/>
    </row>
    <row r="752" spans="11:13" ht="15.75" customHeight="1">
      <c r="K752" s="42"/>
      <c r="L752" s="42"/>
      <c r="M752" s="42"/>
    </row>
    <row r="753" spans="11:13" ht="15.75" customHeight="1">
      <c r="K753" s="42"/>
      <c r="L753" s="42"/>
      <c r="M753" s="42"/>
    </row>
    <row r="754" spans="11:13" ht="15.75" customHeight="1">
      <c r="K754" s="42"/>
      <c r="L754" s="42"/>
      <c r="M754" s="42"/>
    </row>
    <row r="755" spans="11:13" ht="15.75" customHeight="1">
      <c r="K755" s="42"/>
      <c r="L755" s="42"/>
      <c r="M755" s="42"/>
    </row>
    <row r="756" spans="11:13" ht="15.75" customHeight="1">
      <c r="K756" s="42"/>
      <c r="L756" s="42"/>
      <c r="M756" s="42"/>
    </row>
    <row r="757" spans="11:13" ht="15.75" customHeight="1">
      <c r="K757" s="42"/>
      <c r="L757" s="42"/>
      <c r="M757" s="42"/>
    </row>
    <row r="758" spans="11:13" ht="15.75" customHeight="1">
      <c r="K758" s="42"/>
      <c r="L758" s="42"/>
      <c r="M758" s="42"/>
    </row>
    <row r="759" spans="11:13" ht="15.75" customHeight="1">
      <c r="K759" s="42"/>
      <c r="L759" s="42"/>
      <c r="M759" s="42"/>
    </row>
    <row r="760" spans="11:13" ht="15.75" customHeight="1">
      <c r="K760" s="42"/>
      <c r="L760" s="42"/>
      <c r="M760" s="42"/>
    </row>
    <row r="761" spans="11:13" ht="15.75" customHeight="1">
      <c r="K761" s="42"/>
      <c r="L761" s="42"/>
      <c r="M761" s="42"/>
    </row>
    <row r="762" spans="11:13" ht="15.75" customHeight="1">
      <c r="K762" s="42"/>
      <c r="L762" s="42"/>
      <c r="M762" s="42"/>
    </row>
    <row r="763" spans="11:13" ht="15.75" customHeight="1">
      <c r="K763" s="42"/>
      <c r="L763" s="42"/>
      <c r="M763" s="42"/>
    </row>
    <row r="764" spans="11:13" ht="15.75" customHeight="1">
      <c r="K764" s="42"/>
      <c r="L764" s="42"/>
      <c r="M764" s="42"/>
    </row>
    <row r="765" spans="11:13" ht="15.75" customHeight="1">
      <c r="K765" s="42"/>
      <c r="L765" s="42"/>
      <c r="M765" s="42"/>
    </row>
    <row r="766" spans="11:13" ht="15.75" customHeight="1">
      <c r="K766" s="42"/>
      <c r="L766" s="42"/>
      <c r="M766" s="42"/>
    </row>
    <row r="767" spans="11:13" ht="15.75" customHeight="1">
      <c r="K767" s="42"/>
      <c r="L767" s="42"/>
      <c r="M767" s="42"/>
    </row>
    <row r="768" spans="11:13" ht="15.75" customHeight="1">
      <c r="K768" s="42"/>
      <c r="L768" s="42"/>
      <c r="M768" s="42"/>
    </row>
    <row r="769" spans="11:13" ht="15.75" customHeight="1">
      <c r="K769" s="42"/>
      <c r="L769" s="42"/>
      <c r="M769" s="42"/>
    </row>
    <row r="770" spans="11:13" ht="15.75" customHeight="1">
      <c r="K770" s="42"/>
      <c r="L770" s="42"/>
      <c r="M770" s="42"/>
    </row>
    <row r="771" spans="11:13" ht="15.75" customHeight="1">
      <c r="K771" s="42"/>
      <c r="L771" s="42"/>
      <c r="M771" s="42"/>
    </row>
    <row r="772" spans="11:13" ht="15.75" customHeight="1">
      <c r="K772" s="42"/>
      <c r="L772" s="42"/>
      <c r="M772" s="42"/>
    </row>
    <row r="773" spans="11:13" ht="15.75" customHeight="1">
      <c r="K773" s="42"/>
      <c r="L773" s="42"/>
      <c r="M773" s="42"/>
    </row>
    <row r="774" spans="11:13" ht="15.75" customHeight="1">
      <c r="K774" s="42"/>
      <c r="L774" s="42"/>
      <c r="M774" s="42"/>
    </row>
    <row r="775" spans="11:13" ht="15.75" customHeight="1">
      <c r="K775" s="42"/>
      <c r="L775" s="42"/>
      <c r="M775" s="42"/>
    </row>
    <row r="776" spans="11:13" ht="15.75" customHeight="1">
      <c r="K776" s="42"/>
      <c r="L776" s="42"/>
      <c r="M776" s="42"/>
    </row>
    <row r="777" spans="11:13" ht="15.75" customHeight="1">
      <c r="K777" s="42"/>
      <c r="L777" s="42"/>
      <c r="M777" s="42"/>
    </row>
    <row r="778" spans="11:13" ht="15.75" customHeight="1">
      <c r="K778" s="42"/>
      <c r="L778" s="42"/>
      <c r="M778" s="42"/>
    </row>
    <row r="779" spans="11:13" ht="15.75" customHeight="1">
      <c r="K779" s="42"/>
      <c r="L779" s="42"/>
      <c r="M779" s="42"/>
    </row>
    <row r="780" spans="11:13" ht="15.75" customHeight="1">
      <c r="K780" s="42"/>
      <c r="L780" s="42"/>
      <c r="M780" s="42"/>
    </row>
    <row r="781" spans="11:13" ht="15.75" customHeight="1">
      <c r="K781" s="42"/>
      <c r="L781" s="42"/>
      <c r="M781" s="42"/>
    </row>
    <row r="782" spans="11:13" ht="15.75" customHeight="1">
      <c r="K782" s="42"/>
      <c r="L782" s="42"/>
      <c r="M782" s="42"/>
    </row>
    <row r="783" spans="11:13" ht="15.75" customHeight="1">
      <c r="K783" s="42"/>
      <c r="L783" s="42"/>
      <c r="M783" s="42"/>
    </row>
    <row r="784" spans="11:13" ht="15.75" customHeight="1">
      <c r="K784" s="42"/>
      <c r="L784" s="42"/>
      <c r="M784" s="42"/>
    </row>
    <row r="785" spans="11:13" ht="15.75" customHeight="1">
      <c r="K785" s="42"/>
      <c r="L785" s="42"/>
      <c r="M785" s="42"/>
    </row>
    <row r="786" spans="11:13" ht="15.75" customHeight="1">
      <c r="K786" s="42"/>
      <c r="L786" s="42"/>
      <c r="M786" s="42"/>
    </row>
    <row r="787" spans="11:13" ht="15.75" customHeight="1">
      <c r="K787" s="42"/>
      <c r="L787" s="42"/>
      <c r="M787" s="42"/>
    </row>
    <row r="788" spans="11:13" ht="15.75" customHeight="1">
      <c r="K788" s="42"/>
      <c r="L788" s="42"/>
      <c r="M788" s="42"/>
    </row>
    <row r="789" spans="11:13" ht="15.75" customHeight="1">
      <c r="K789" s="42"/>
      <c r="L789" s="42"/>
      <c r="M789" s="42"/>
    </row>
    <row r="790" spans="11:13" ht="15.75" customHeight="1">
      <c r="K790" s="42"/>
      <c r="L790" s="42"/>
      <c r="M790" s="42"/>
    </row>
    <row r="791" spans="11:13" ht="15.75" customHeight="1">
      <c r="K791" s="42"/>
      <c r="L791" s="42"/>
      <c r="M791" s="42"/>
    </row>
    <row r="792" spans="11:13" ht="15.75" customHeight="1">
      <c r="K792" s="42"/>
      <c r="L792" s="42"/>
      <c r="M792" s="42"/>
    </row>
    <row r="793" spans="11:13" ht="15.75" customHeight="1">
      <c r="K793" s="42"/>
      <c r="L793" s="42"/>
      <c r="M793" s="42"/>
    </row>
    <row r="794" spans="11:13" ht="15.75" customHeight="1">
      <c r="K794" s="42"/>
      <c r="L794" s="42"/>
      <c r="M794" s="42"/>
    </row>
    <row r="795" spans="11:13" ht="15.75" customHeight="1">
      <c r="K795" s="42"/>
      <c r="L795" s="42"/>
      <c r="M795" s="42"/>
    </row>
    <row r="796" spans="11:13" ht="15.75" customHeight="1">
      <c r="K796" s="42"/>
      <c r="L796" s="42"/>
      <c r="M796" s="42"/>
    </row>
    <row r="797" spans="11:13" ht="15.75" customHeight="1">
      <c r="K797" s="42"/>
      <c r="L797" s="42"/>
      <c r="M797" s="42"/>
    </row>
    <row r="798" spans="11:13" ht="15.75" customHeight="1">
      <c r="K798" s="42"/>
      <c r="L798" s="42"/>
      <c r="M798" s="42"/>
    </row>
    <row r="799" spans="11:13" ht="15.75" customHeight="1">
      <c r="K799" s="42"/>
      <c r="L799" s="42"/>
      <c r="M799" s="42"/>
    </row>
    <row r="800" spans="11:13" ht="15.75" customHeight="1">
      <c r="K800" s="42"/>
      <c r="L800" s="42"/>
      <c r="M800" s="42"/>
    </row>
    <row r="801" spans="11:13" ht="15.75" customHeight="1">
      <c r="K801" s="42"/>
      <c r="L801" s="42"/>
      <c r="M801" s="42"/>
    </row>
    <row r="802" spans="11:13" ht="15.75" customHeight="1">
      <c r="K802" s="42"/>
      <c r="L802" s="42"/>
      <c r="M802" s="42"/>
    </row>
    <row r="803" spans="11:13" ht="15.75" customHeight="1">
      <c r="K803" s="42"/>
      <c r="L803" s="42"/>
      <c r="M803" s="42"/>
    </row>
    <row r="804" spans="11:13" ht="15.75" customHeight="1">
      <c r="K804" s="42"/>
      <c r="L804" s="42"/>
      <c r="M804" s="42"/>
    </row>
    <row r="805" spans="11:13" ht="15.75" customHeight="1">
      <c r="K805" s="42"/>
      <c r="L805" s="42"/>
      <c r="M805" s="42"/>
    </row>
    <row r="806" spans="11:13" ht="15.75" customHeight="1">
      <c r="K806" s="42"/>
      <c r="L806" s="42"/>
      <c r="M806" s="42"/>
    </row>
    <row r="807" spans="11:13" ht="15.75" customHeight="1">
      <c r="K807" s="42"/>
      <c r="L807" s="42"/>
      <c r="M807" s="42"/>
    </row>
    <row r="808" spans="11:13" ht="15.75" customHeight="1">
      <c r="K808" s="42"/>
      <c r="L808" s="42"/>
      <c r="M808" s="42"/>
    </row>
    <row r="809" spans="11:13" ht="15.75" customHeight="1">
      <c r="K809" s="42"/>
      <c r="L809" s="42"/>
      <c r="M809" s="42"/>
    </row>
    <row r="810" spans="11:13" ht="15.75" customHeight="1">
      <c r="K810" s="42"/>
      <c r="L810" s="42"/>
      <c r="M810" s="42"/>
    </row>
    <row r="811" spans="11:13" ht="15.75" customHeight="1">
      <c r="K811" s="42"/>
      <c r="L811" s="42"/>
      <c r="M811" s="42"/>
    </row>
    <row r="812" spans="11:13" ht="15.75" customHeight="1">
      <c r="K812" s="42"/>
      <c r="L812" s="42"/>
      <c r="M812" s="42"/>
    </row>
    <row r="813" spans="11:13" ht="15.75" customHeight="1">
      <c r="K813" s="42"/>
      <c r="L813" s="42"/>
      <c r="M813" s="42"/>
    </row>
    <row r="814" spans="11:13" ht="15.75" customHeight="1">
      <c r="K814" s="42"/>
      <c r="L814" s="42"/>
      <c r="M814" s="42"/>
    </row>
    <row r="815" spans="11:13" ht="15.75" customHeight="1">
      <c r="K815" s="42"/>
      <c r="L815" s="42"/>
      <c r="M815" s="42"/>
    </row>
    <row r="816" spans="11:13" ht="15.75" customHeight="1">
      <c r="K816" s="42"/>
      <c r="L816" s="42"/>
      <c r="M816" s="42"/>
    </row>
    <row r="817" spans="11:13" ht="15.75" customHeight="1">
      <c r="K817" s="42"/>
      <c r="L817" s="42"/>
      <c r="M817" s="42"/>
    </row>
    <row r="818" spans="11:13" ht="15.75" customHeight="1">
      <c r="K818" s="42"/>
      <c r="L818" s="42"/>
      <c r="M818" s="42"/>
    </row>
    <row r="819" spans="11:13" ht="15.75" customHeight="1">
      <c r="K819" s="42"/>
      <c r="L819" s="42"/>
      <c r="M819" s="42"/>
    </row>
    <row r="820" spans="11:13" ht="15.75" customHeight="1">
      <c r="K820" s="42"/>
      <c r="L820" s="42"/>
      <c r="M820" s="42"/>
    </row>
    <row r="821" spans="11:13" ht="15.75" customHeight="1">
      <c r="K821" s="42"/>
      <c r="L821" s="42"/>
      <c r="M821" s="42"/>
    </row>
    <row r="822" spans="11:13" ht="15.75" customHeight="1">
      <c r="K822" s="42"/>
      <c r="L822" s="42"/>
      <c r="M822" s="42"/>
    </row>
    <row r="823" spans="11:13" ht="15.75" customHeight="1">
      <c r="K823" s="42"/>
      <c r="L823" s="42"/>
      <c r="M823" s="42"/>
    </row>
    <row r="824" spans="11:13" ht="15.75" customHeight="1">
      <c r="K824" s="42"/>
      <c r="L824" s="42"/>
      <c r="M824" s="42"/>
    </row>
    <row r="825" spans="11:13" ht="15.75" customHeight="1">
      <c r="K825" s="42"/>
      <c r="L825" s="42"/>
      <c r="M825" s="42"/>
    </row>
    <row r="826" spans="11:13" ht="15.75" customHeight="1">
      <c r="K826" s="42"/>
      <c r="L826" s="42"/>
      <c r="M826" s="42"/>
    </row>
    <row r="827" spans="11:13" ht="15.75" customHeight="1">
      <c r="K827" s="42"/>
      <c r="L827" s="42"/>
      <c r="M827" s="42"/>
    </row>
    <row r="828" spans="11:13" ht="15.75" customHeight="1">
      <c r="K828" s="42"/>
      <c r="L828" s="42"/>
      <c r="M828" s="42"/>
    </row>
    <row r="829" spans="11:13" ht="15.75" customHeight="1">
      <c r="K829" s="42"/>
      <c r="L829" s="42"/>
      <c r="M829" s="42"/>
    </row>
    <row r="830" spans="11:13" ht="15.75" customHeight="1">
      <c r="K830" s="42"/>
      <c r="L830" s="42"/>
      <c r="M830" s="42"/>
    </row>
    <row r="831" spans="11:13" ht="15.75" customHeight="1">
      <c r="K831" s="42"/>
      <c r="L831" s="42"/>
      <c r="M831" s="42"/>
    </row>
    <row r="832" spans="11:13" ht="15.75" customHeight="1">
      <c r="K832" s="42"/>
      <c r="L832" s="42"/>
      <c r="M832" s="42"/>
    </row>
    <row r="833" spans="11:13" ht="15.75" customHeight="1">
      <c r="K833" s="42"/>
      <c r="L833" s="42"/>
      <c r="M833" s="42"/>
    </row>
    <row r="834" spans="11:13" ht="15.75" customHeight="1">
      <c r="K834" s="42"/>
      <c r="L834" s="42"/>
      <c r="M834" s="42"/>
    </row>
    <row r="835" spans="11:13" ht="15.75" customHeight="1">
      <c r="K835" s="42"/>
      <c r="L835" s="42"/>
      <c r="M835" s="42"/>
    </row>
    <row r="836" spans="11:13" ht="15.75" customHeight="1">
      <c r="K836" s="42"/>
      <c r="L836" s="42"/>
      <c r="M836" s="42"/>
    </row>
    <row r="837" spans="11:13" ht="15.75" customHeight="1">
      <c r="K837" s="42"/>
      <c r="L837" s="42"/>
      <c r="M837" s="42"/>
    </row>
    <row r="838" spans="11:13" ht="15.75" customHeight="1">
      <c r="K838" s="42"/>
      <c r="L838" s="42"/>
      <c r="M838" s="42"/>
    </row>
    <row r="839" spans="11:13" ht="15.75" customHeight="1">
      <c r="K839" s="42"/>
      <c r="L839" s="42"/>
      <c r="M839" s="42"/>
    </row>
    <row r="840" spans="11:13" ht="15.75" customHeight="1">
      <c r="K840" s="42"/>
      <c r="L840" s="42"/>
      <c r="M840" s="42"/>
    </row>
    <row r="841" spans="11:13" ht="15.75" customHeight="1">
      <c r="K841" s="42"/>
      <c r="L841" s="42"/>
      <c r="M841" s="42"/>
    </row>
    <row r="842" spans="11:13" ht="15.75" customHeight="1">
      <c r="K842" s="42"/>
      <c r="L842" s="42"/>
      <c r="M842" s="42"/>
    </row>
    <row r="843" spans="11:13" ht="15.75" customHeight="1">
      <c r="K843" s="42"/>
      <c r="L843" s="42"/>
      <c r="M843" s="42"/>
    </row>
    <row r="844" spans="11:13" ht="15.75" customHeight="1">
      <c r="K844" s="42"/>
      <c r="L844" s="42"/>
      <c r="M844" s="42"/>
    </row>
    <row r="845" spans="11:13" ht="15.75" customHeight="1">
      <c r="K845" s="42"/>
      <c r="L845" s="42"/>
      <c r="M845" s="42"/>
    </row>
    <row r="846" spans="11:13" ht="15.75" customHeight="1">
      <c r="K846" s="42"/>
      <c r="L846" s="42"/>
      <c r="M846" s="42"/>
    </row>
    <row r="847" spans="11:13" ht="15.75" customHeight="1">
      <c r="K847" s="42"/>
      <c r="L847" s="42"/>
      <c r="M847" s="42"/>
    </row>
    <row r="848" spans="11:13" ht="15.75" customHeight="1">
      <c r="K848" s="42"/>
      <c r="L848" s="42"/>
      <c r="M848" s="42"/>
    </row>
    <row r="849" spans="11:13" ht="15.75" customHeight="1">
      <c r="K849" s="42"/>
      <c r="L849" s="42"/>
      <c r="M849" s="42"/>
    </row>
    <row r="850" spans="11:13" ht="15.75" customHeight="1">
      <c r="K850" s="42"/>
      <c r="L850" s="42"/>
      <c r="M850" s="42"/>
    </row>
    <row r="851" spans="11:13" ht="15.75" customHeight="1">
      <c r="K851" s="42"/>
      <c r="L851" s="42"/>
      <c r="M851" s="42"/>
    </row>
    <row r="852" spans="11:13" ht="15.75" customHeight="1">
      <c r="K852" s="42"/>
      <c r="L852" s="42"/>
      <c r="M852" s="42"/>
    </row>
    <row r="853" spans="11:13" ht="15.75" customHeight="1">
      <c r="K853" s="42"/>
      <c r="L853" s="42"/>
      <c r="M853" s="42"/>
    </row>
    <row r="854" spans="11:13" ht="15.75" customHeight="1">
      <c r="K854" s="42"/>
      <c r="L854" s="42"/>
      <c r="M854" s="42"/>
    </row>
    <row r="855" spans="11:13" ht="15.75" customHeight="1">
      <c r="K855" s="42"/>
      <c r="L855" s="42"/>
      <c r="M855" s="42"/>
    </row>
    <row r="856" spans="11:13" ht="15.75" customHeight="1">
      <c r="K856" s="42"/>
      <c r="L856" s="42"/>
      <c r="M856" s="42"/>
    </row>
    <row r="857" spans="11:13" ht="15.75" customHeight="1">
      <c r="K857" s="42"/>
      <c r="L857" s="42"/>
      <c r="M857" s="42"/>
    </row>
    <row r="858" spans="11:13" ht="15.75" customHeight="1">
      <c r="K858" s="42"/>
      <c r="L858" s="42"/>
      <c r="M858" s="42"/>
    </row>
    <row r="859" spans="11:13" ht="15.75" customHeight="1">
      <c r="K859" s="42"/>
      <c r="L859" s="42"/>
      <c r="M859" s="42"/>
    </row>
    <row r="860" spans="11:13" ht="15.75" customHeight="1">
      <c r="K860" s="42"/>
      <c r="L860" s="42"/>
      <c r="M860" s="42"/>
    </row>
    <row r="861" spans="11:13" ht="15.75" customHeight="1">
      <c r="K861" s="42"/>
      <c r="L861" s="42"/>
      <c r="M861" s="42"/>
    </row>
    <row r="862" spans="11:13" ht="15.75" customHeight="1">
      <c r="K862" s="42"/>
      <c r="L862" s="42"/>
      <c r="M862" s="42"/>
    </row>
    <row r="863" spans="11:13" ht="15.75" customHeight="1">
      <c r="K863" s="42"/>
      <c r="L863" s="42"/>
      <c r="M863" s="42"/>
    </row>
    <row r="864" spans="11:13" ht="15.75" customHeight="1">
      <c r="K864" s="42"/>
      <c r="L864" s="42"/>
      <c r="M864" s="42"/>
    </row>
    <row r="865" spans="11:13" ht="15.75" customHeight="1">
      <c r="K865" s="42"/>
      <c r="L865" s="42"/>
      <c r="M865" s="42"/>
    </row>
    <row r="866" spans="11:13" ht="15.75" customHeight="1">
      <c r="K866" s="42"/>
      <c r="L866" s="42"/>
      <c r="M866" s="42"/>
    </row>
    <row r="867" spans="11:13" ht="15.75" customHeight="1">
      <c r="K867" s="42"/>
      <c r="L867" s="42"/>
      <c r="M867" s="42"/>
    </row>
    <row r="868" spans="11:13" ht="15.75" customHeight="1">
      <c r="K868" s="42"/>
      <c r="L868" s="42"/>
      <c r="M868" s="42"/>
    </row>
    <row r="869" spans="11:13" ht="15.75" customHeight="1">
      <c r="K869" s="42"/>
      <c r="L869" s="42"/>
      <c r="M869" s="42"/>
    </row>
    <row r="870" spans="11:13" ht="15.75" customHeight="1">
      <c r="K870" s="42"/>
      <c r="L870" s="42"/>
      <c r="M870" s="42"/>
    </row>
    <row r="871" spans="11:13" ht="15.75" customHeight="1">
      <c r="K871" s="42"/>
      <c r="L871" s="42"/>
      <c r="M871" s="42"/>
    </row>
    <row r="872" spans="11:13" ht="15.75" customHeight="1">
      <c r="K872" s="42"/>
      <c r="L872" s="42"/>
      <c r="M872" s="42"/>
    </row>
    <row r="873" spans="11:13" ht="15.75" customHeight="1">
      <c r="K873" s="42"/>
      <c r="L873" s="42"/>
      <c r="M873" s="42"/>
    </row>
    <row r="874" spans="11:13" ht="15.75" customHeight="1">
      <c r="K874" s="42"/>
      <c r="L874" s="42"/>
      <c r="M874" s="42"/>
    </row>
    <row r="875" spans="11:13" ht="15.75" customHeight="1">
      <c r="K875" s="42"/>
      <c r="L875" s="42"/>
      <c r="M875" s="42"/>
    </row>
    <row r="876" spans="11:13" ht="15.75" customHeight="1">
      <c r="K876" s="42"/>
      <c r="L876" s="42"/>
      <c r="M876" s="42"/>
    </row>
    <row r="877" spans="11:13" ht="15.75" customHeight="1">
      <c r="K877" s="42"/>
      <c r="L877" s="42"/>
      <c r="M877" s="42"/>
    </row>
    <row r="878" spans="11:13" ht="15.75" customHeight="1">
      <c r="K878" s="42"/>
      <c r="L878" s="42"/>
      <c r="M878" s="42"/>
    </row>
    <row r="879" spans="11:13" ht="15.75" customHeight="1">
      <c r="K879" s="42"/>
      <c r="L879" s="42"/>
      <c r="M879" s="42"/>
    </row>
    <row r="880" spans="11:13" ht="15.75" customHeight="1">
      <c r="K880" s="42"/>
      <c r="L880" s="42"/>
      <c r="M880" s="42"/>
    </row>
    <row r="881" spans="11:13" ht="15.75" customHeight="1">
      <c r="K881" s="42"/>
      <c r="L881" s="42"/>
      <c r="M881" s="42"/>
    </row>
    <row r="882" spans="11:13" ht="15.75" customHeight="1">
      <c r="K882" s="42"/>
      <c r="L882" s="42"/>
      <c r="M882" s="42"/>
    </row>
    <row r="883" spans="11:13" ht="15.75" customHeight="1">
      <c r="K883" s="42"/>
      <c r="L883" s="42"/>
      <c r="M883" s="42"/>
    </row>
    <row r="884" spans="11:13" ht="15.75" customHeight="1">
      <c r="K884" s="42"/>
      <c r="L884" s="42"/>
      <c r="M884" s="42"/>
    </row>
    <row r="885" spans="11:13" ht="15.75" customHeight="1">
      <c r="K885" s="42"/>
      <c r="L885" s="42"/>
      <c r="M885" s="42"/>
    </row>
    <row r="886" spans="11:13" ht="15.75" customHeight="1">
      <c r="K886" s="42"/>
      <c r="L886" s="42"/>
      <c r="M886" s="42"/>
    </row>
    <row r="887" spans="11:13" ht="15.75" customHeight="1">
      <c r="K887" s="42"/>
      <c r="L887" s="42"/>
      <c r="M887" s="42"/>
    </row>
    <row r="888" spans="11:13" ht="15.75" customHeight="1">
      <c r="K888" s="42"/>
      <c r="L888" s="42"/>
      <c r="M888" s="42"/>
    </row>
    <row r="889" spans="11:13" ht="15.75" customHeight="1">
      <c r="K889" s="42"/>
      <c r="L889" s="42"/>
      <c r="M889" s="42"/>
    </row>
    <row r="890" spans="11:13" ht="15.75" customHeight="1">
      <c r="K890" s="42"/>
      <c r="L890" s="42"/>
      <c r="M890" s="42"/>
    </row>
    <row r="891" spans="11:13" ht="15.75" customHeight="1">
      <c r="K891" s="42"/>
      <c r="L891" s="42"/>
      <c r="M891" s="42"/>
    </row>
    <row r="892" spans="11:13" ht="15.75" customHeight="1">
      <c r="K892" s="42"/>
      <c r="L892" s="42"/>
      <c r="M892" s="42"/>
    </row>
    <row r="893" spans="11:13" ht="15.75" customHeight="1">
      <c r="K893" s="42"/>
      <c r="L893" s="42"/>
      <c r="M893" s="42"/>
    </row>
    <row r="894" spans="11:13" ht="15.75" customHeight="1">
      <c r="K894" s="42"/>
      <c r="L894" s="42"/>
      <c r="M894" s="42"/>
    </row>
    <row r="895" spans="11:13" ht="15.75" customHeight="1">
      <c r="K895" s="42"/>
      <c r="L895" s="42"/>
      <c r="M895" s="42"/>
    </row>
    <row r="896" spans="11:13" ht="15.75" customHeight="1">
      <c r="K896" s="42"/>
      <c r="L896" s="42"/>
      <c r="M896" s="42"/>
    </row>
    <row r="897" spans="11:13" ht="15.75" customHeight="1">
      <c r="K897" s="42"/>
      <c r="L897" s="42"/>
      <c r="M897" s="42"/>
    </row>
    <row r="898" spans="11:13" ht="15.75" customHeight="1">
      <c r="K898" s="42"/>
      <c r="L898" s="42"/>
      <c r="M898" s="42"/>
    </row>
    <row r="899" spans="11:13" ht="15.75" customHeight="1">
      <c r="K899" s="42"/>
      <c r="L899" s="42"/>
      <c r="M899" s="42"/>
    </row>
    <row r="900" spans="11:13" ht="15.75" customHeight="1">
      <c r="K900" s="42"/>
      <c r="L900" s="42"/>
      <c r="M900" s="42"/>
    </row>
    <row r="901" spans="11:13" ht="15.75" customHeight="1">
      <c r="K901" s="42"/>
      <c r="L901" s="42"/>
      <c r="M901" s="42"/>
    </row>
    <row r="902" spans="11:13" ht="15.75" customHeight="1">
      <c r="K902" s="42"/>
      <c r="L902" s="42"/>
      <c r="M902" s="42"/>
    </row>
    <row r="903" spans="11:13" ht="15.75" customHeight="1">
      <c r="K903" s="42"/>
      <c r="L903" s="42"/>
      <c r="M903" s="42"/>
    </row>
    <row r="904" spans="11:13" ht="15.75" customHeight="1">
      <c r="K904" s="42"/>
      <c r="L904" s="42"/>
      <c r="M904" s="42"/>
    </row>
    <row r="905" spans="11:13" ht="15.75" customHeight="1">
      <c r="K905" s="42"/>
      <c r="L905" s="42"/>
      <c r="M905" s="42"/>
    </row>
    <row r="906" spans="11:13" ht="15.75" customHeight="1">
      <c r="K906" s="42"/>
      <c r="L906" s="42"/>
      <c r="M906" s="42"/>
    </row>
    <row r="907" spans="11:13" ht="15.75" customHeight="1">
      <c r="K907" s="42"/>
      <c r="L907" s="42"/>
      <c r="M907" s="42"/>
    </row>
    <row r="908" spans="11:13" ht="15.75" customHeight="1">
      <c r="K908" s="42"/>
      <c r="L908" s="42"/>
      <c r="M908" s="42"/>
    </row>
    <row r="909" spans="11:13" ht="15.75" customHeight="1">
      <c r="K909" s="42"/>
      <c r="L909" s="42"/>
      <c r="M909" s="42"/>
    </row>
    <row r="910" spans="11:13" ht="15.75" customHeight="1">
      <c r="K910" s="42"/>
      <c r="L910" s="42"/>
      <c r="M910" s="42"/>
    </row>
    <row r="911" spans="11:13" ht="15.75" customHeight="1">
      <c r="K911" s="42"/>
      <c r="L911" s="42"/>
      <c r="M911" s="42"/>
    </row>
    <row r="912" spans="11:13" ht="15.75" customHeight="1">
      <c r="K912" s="42"/>
      <c r="L912" s="42"/>
      <c r="M912" s="42"/>
    </row>
    <row r="913" spans="11:13" ht="15.75" customHeight="1">
      <c r="K913" s="42"/>
      <c r="L913" s="42"/>
      <c r="M913" s="42"/>
    </row>
    <row r="914" spans="11:13" ht="15.75" customHeight="1">
      <c r="K914" s="42"/>
      <c r="L914" s="42"/>
      <c r="M914" s="42"/>
    </row>
    <row r="915" spans="11:13" ht="15.75" customHeight="1">
      <c r="K915" s="42"/>
      <c r="L915" s="42"/>
      <c r="M915" s="42"/>
    </row>
    <row r="916" spans="11:13" ht="15.75" customHeight="1">
      <c r="K916" s="42"/>
      <c r="L916" s="42"/>
      <c r="M916" s="42"/>
    </row>
    <row r="917" spans="11:13" ht="15.75" customHeight="1">
      <c r="K917" s="42"/>
      <c r="L917" s="42"/>
      <c r="M917" s="42"/>
    </row>
    <row r="918" spans="11:13" ht="15.75" customHeight="1">
      <c r="K918" s="42"/>
      <c r="L918" s="42"/>
      <c r="M918" s="42"/>
    </row>
    <row r="919" spans="11:13" ht="15.75" customHeight="1">
      <c r="K919" s="42"/>
      <c r="L919" s="42"/>
      <c r="M919" s="42"/>
    </row>
    <row r="920" spans="11:13" ht="15.75" customHeight="1">
      <c r="K920" s="42"/>
      <c r="L920" s="42"/>
      <c r="M920" s="42"/>
    </row>
    <row r="921" spans="11:13" ht="15.75" customHeight="1">
      <c r="K921" s="42"/>
      <c r="L921" s="42"/>
      <c r="M921" s="42"/>
    </row>
    <row r="922" spans="11:13" ht="15.75" customHeight="1">
      <c r="K922" s="42"/>
      <c r="L922" s="42"/>
      <c r="M922" s="42"/>
    </row>
    <row r="923" spans="11:13" ht="15.75" customHeight="1">
      <c r="K923" s="42"/>
      <c r="L923" s="42"/>
      <c r="M923" s="42"/>
    </row>
    <row r="924" spans="11:13" ht="15.75" customHeight="1">
      <c r="K924" s="42"/>
      <c r="L924" s="42"/>
      <c r="M924" s="42"/>
    </row>
    <row r="925" spans="11:13" ht="15.75" customHeight="1">
      <c r="K925" s="42"/>
      <c r="L925" s="42"/>
      <c r="M925" s="42"/>
    </row>
    <row r="926" spans="11:13" ht="15.75" customHeight="1">
      <c r="K926" s="42"/>
      <c r="L926" s="42"/>
      <c r="M926" s="42"/>
    </row>
    <row r="927" spans="11:13" ht="15.75" customHeight="1">
      <c r="K927" s="42"/>
      <c r="L927" s="42"/>
      <c r="M927" s="42"/>
    </row>
    <row r="928" spans="11:13" ht="15.75" customHeight="1">
      <c r="K928" s="42"/>
      <c r="L928" s="42"/>
      <c r="M928" s="42"/>
    </row>
    <row r="929" spans="11:13" ht="15.75" customHeight="1">
      <c r="K929" s="42"/>
      <c r="L929" s="42"/>
      <c r="M929" s="42"/>
    </row>
    <row r="930" spans="11:13" ht="15.75" customHeight="1">
      <c r="K930" s="42"/>
      <c r="L930" s="42"/>
      <c r="M930" s="42"/>
    </row>
    <row r="931" spans="11:13" ht="15.75" customHeight="1">
      <c r="K931" s="42"/>
      <c r="L931" s="42"/>
      <c r="M931" s="42"/>
    </row>
    <row r="932" spans="11:13" ht="15.75" customHeight="1">
      <c r="K932" s="42"/>
      <c r="L932" s="42"/>
      <c r="M932" s="42"/>
    </row>
    <row r="933" spans="11:13" ht="15.75" customHeight="1">
      <c r="K933" s="42"/>
      <c r="L933" s="42"/>
      <c r="M933" s="42"/>
    </row>
    <row r="934" spans="11:13" ht="15.75" customHeight="1">
      <c r="K934" s="42"/>
      <c r="L934" s="42"/>
      <c r="M934" s="42"/>
    </row>
    <row r="935" spans="11:13" ht="15.75" customHeight="1">
      <c r="K935" s="42"/>
      <c r="L935" s="42"/>
      <c r="M935" s="42"/>
    </row>
    <row r="936" spans="11:13" ht="15.75" customHeight="1">
      <c r="K936" s="42"/>
      <c r="L936" s="42"/>
      <c r="M936" s="42"/>
    </row>
    <row r="937" spans="11:13" ht="15.75" customHeight="1">
      <c r="K937" s="42"/>
      <c r="L937" s="42"/>
      <c r="M937" s="42"/>
    </row>
    <row r="938" spans="11:13" ht="15.75" customHeight="1">
      <c r="K938" s="42"/>
      <c r="L938" s="42"/>
      <c r="M938" s="42"/>
    </row>
    <row r="939" spans="11:13" ht="15.75" customHeight="1">
      <c r="K939" s="42"/>
      <c r="L939" s="42"/>
      <c r="M939" s="42"/>
    </row>
    <row r="940" spans="11:13" ht="15.75" customHeight="1">
      <c r="K940" s="42"/>
      <c r="L940" s="42"/>
      <c r="M940" s="42"/>
    </row>
    <row r="941" spans="11:13" ht="15.75" customHeight="1">
      <c r="K941" s="42"/>
      <c r="L941" s="42"/>
      <c r="M941" s="42"/>
    </row>
    <row r="942" spans="11:13" ht="15.75" customHeight="1">
      <c r="K942" s="42"/>
      <c r="L942" s="42"/>
      <c r="M942" s="42"/>
    </row>
    <row r="943" spans="11:13" ht="15.75" customHeight="1">
      <c r="K943" s="42"/>
      <c r="L943" s="42"/>
      <c r="M943" s="42"/>
    </row>
    <row r="944" spans="11:13" ht="15.75" customHeight="1">
      <c r="K944" s="42"/>
      <c r="L944" s="42"/>
      <c r="M944" s="42"/>
    </row>
    <row r="945" spans="11:13" ht="15.75" customHeight="1">
      <c r="K945" s="42"/>
      <c r="L945" s="42"/>
      <c r="M945" s="42"/>
    </row>
    <row r="946" spans="11:13" ht="15.75" customHeight="1">
      <c r="K946" s="42"/>
      <c r="L946" s="42"/>
      <c r="M946" s="42"/>
    </row>
    <row r="947" spans="11:13" ht="15.75" customHeight="1">
      <c r="K947" s="42"/>
      <c r="L947" s="42"/>
      <c r="M947" s="42"/>
    </row>
    <row r="948" spans="11:13" ht="15.75" customHeight="1">
      <c r="K948" s="42"/>
      <c r="L948" s="42"/>
      <c r="M948" s="42"/>
    </row>
    <row r="949" spans="11:13" ht="15.75" customHeight="1">
      <c r="K949" s="42"/>
      <c r="L949" s="42"/>
      <c r="M949" s="42"/>
    </row>
    <row r="950" spans="11:13" ht="15.75" customHeight="1">
      <c r="K950" s="42"/>
      <c r="L950" s="42"/>
      <c r="M950" s="42"/>
    </row>
    <row r="951" spans="11:13" ht="15.75" customHeight="1">
      <c r="K951" s="42"/>
      <c r="L951" s="42"/>
      <c r="M951" s="42"/>
    </row>
    <row r="952" spans="11:13" ht="15.75" customHeight="1">
      <c r="K952" s="42"/>
      <c r="L952" s="42"/>
      <c r="M952" s="42"/>
    </row>
    <row r="953" spans="11:13" ht="15.75" customHeight="1">
      <c r="K953" s="42"/>
      <c r="L953" s="42"/>
      <c r="M953" s="42"/>
    </row>
    <row r="954" spans="11:13" ht="15.75" customHeight="1">
      <c r="K954" s="42"/>
      <c r="L954" s="42"/>
      <c r="M954" s="42"/>
    </row>
    <row r="955" spans="11:13" ht="15.75" customHeight="1">
      <c r="K955" s="42"/>
      <c r="L955" s="42"/>
      <c r="M955" s="42"/>
    </row>
    <row r="956" spans="11:13" ht="15.75" customHeight="1">
      <c r="K956" s="42"/>
      <c r="L956" s="42"/>
      <c r="M956" s="42"/>
    </row>
    <row r="957" spans="11:13" ht="15.75" customHeight="1">
      <c r="K957" s="42"/>
      <c r="L957" s="42"/>
      <c r="M957" s="42"/>
    </row>
    <row r="958" spans="11:13" ht="15.75" customHeight="1">
      <c r="K958" s="42"/>
      <c r="L958" s="42"/>
      <c r="M958" s="42"/>
    </row>
    <row r="959" spans="11:13" ht="15.75" customHeight="1">
      <c r="K959" s="42"/>
      <c r="L959" s="42"/>
      <c r="M959" s="42"/>
    </row>
    <row r="960" spans="11:13" ht="15.75" customHeight="1">
      <c r="K960" s="42"/>
      <c r="L960" s="42"/>
      <c r="M960" s="42"/>
    </row>
    <row r="961" spans="11:13" ht="15.75" customHeight="1">
      <c r="K961" s="42"/>
      <c r="L961" s="42"/>
      <c r="M961" s="42"/>
    </row>
    <row r="962" spans="11:13" ht="15.75" customHeight="1">
      <c r="K962" s="42"/>
      <c r="L962" s="42"/>
      <c r="M962" s="42"/>
    </row>
    <row r="963" spans="11:13" ht="15.75" customHeight="1">
      <c r="K963" s="42"/>
      <c r="L963" s="42"/>
      <c r="M963" s="42"/>
    </row>
    <row r="964" spans="11:13" ht="15.75" customHeight="1">
      <c r="K964" s="42"/>
      <c r="L964" s="42"/>
      <c r="M964" s="42"/>
    </row>
    <row r="965" spans="11:13" ht="15.75" customHeight="1">
      <c r="K965" s="42"/>
      <c r="L965" s="42"/>
      <c r="M965" s="42"/>
    </row>
    <row r="966" spans="11:13" ht="15.75" customHeight="1">
      <c r="K966" s="42"/>
      <c r="L966" s="42"/>
      <c r="M966" s="42"/>
    </row>
    <row r="967" spans="11:13" ht="15.75" customHeight="1">
      <c r="K967" s="42"/>
      <c r="L967" s="42"/>
      <c r="M967" s="42"/>
    </row>
    <row r="968" spans="11:13" ht="15.75" customHeight="1">
      <c r="K968" s="42"/>
      <c r="L968" s="42"/>
      <c r="M968" s="42"/>
    </row>
    <row r="969" spans="11:13" ht="15.75" customHeight="1">
      <c r="K969" s="42"/>
      <c r="L969" s="42"/>
      <c r="M969" s="42"/>
    </row>
    <row r="970" spans="11:13" ht="15.75" customHeight="1">
      <c r="K970" s="42"/>
      <c r="L970" s="42"/>
      <c r="M970" s="42"/>
    </row>
    <row r="971" spans="11:13" ht="15.75" customHeight="1">
      <c r="K971" s="42"/>
      <c r="L971" s="42"/>
      <c r="M971" s="42"/>
    </row>
    <row r="972" spans="11:13" ht="15.75" customHeight="1">
      <c r="K972" s="42"/>
      <c r="L972" s="42"/>
      <c r="M972" s="42"/>
    </row>
    <row r="973" spans="11:13" ht="15.75" customHeight="1">
      <c r="K973" s="42"/>
      <c r="L973" s="42"/>
      <c r="M973" s="42"/>
    </row>
    <row r="974" spans="11:13" ht="15.75" customHeight="1">
      <c r="K974" s="42"/>
      <c r="L974" s="42"/>
      <c r="M974" s="42"/>
    </row>
    <row r="975" spans="11:13" ht="15.75" customHeight="1">
      <c r="K975" s="42"/>
      <c r="L975" s="42"/>
      <c r="M975" s="42"/>
    </row>
    <row r="976" spans="11:13" ht="15.75" customHeight="1">
      <c r="K976" s="42"/>
      <c r="L976" s="42"/>
      <c r="M976" s="42"/>
    </row>
    <row r="977" spans="11:13" ht="15.75" customHeight="1">
      <c r="K977" s="42"/>
      <c r="L977" s="42"/>
      <c r="M977" s="42"/>
    </row>
    <row r="978" spans="11:13" ht="15.75" customHeight="1">
      <c r="K978" s="42"/>
      <c r="L978" s="42"/>
      <c r="M978" s="42"/>
    </row>
    <row r="979" spans="11:13" ht="15.75" customHeight="1">
      <c r="K979" s="42"/>
      <c r="L979" s="42"/>
      <c r="M979" s="42"/>
    </row>
    <row r="980" spans="11:13" ht="15.75" customHeight="1">
      <c r="K980" s="42"/>
      <c r="L980" s="42"/>
      <c r="M980" s="42"/>
    </row>
    <row r="981" spans="11:13" ht="15.75" customHeight="1">
      <c r="K981" s="42"/>
      <c r="L981" s="42"/>
      <c r="M981" s="42"/>
    </row>
    <row r="982" spans="11:13" ht="15.75" customHeight="1">
      <c r="K982" s="42"/>
      <c r="L982" s="42"/>
      <c r="M982" s="42"/>
    </row>
    <row r="983" spans="11:13" ht="15.75" customHeight="1">
      <c r="K983" s="42"/>
      <c r="L983" s="42"/>
      <c r="M983" s="42"/>
    </row>
    <row r="984" spans="11:13" ht="15.75" customHeight="1">
      <c r="K984" s="42"/>
      <c r="L984" s="42"/>
      <c r="M984" s="42"/>
    </row>
    <row r="985" spans="11:13" ht="15.75" customHeight="1">
      <c r="K985" s="42"/>
      <c r="L985" s="42"/>
      <c r="M985" s="42"/>
    </row>
    <row r="986" spans="11:13" ht="15.75" customHeight="1">
      <c r="K986" s="42"/>
      <c r="L986" s="42"/>
      <c r="M986" s="42"/>
    </row>
    <row r="987" spans="11:13" ht="15.75" customHeight="1">
      <c r="K987" s="42"/>
      <c r="L987" s="42"/>
      <c r="M987" s="42"/>
    </row>
    <row r="988" spans="11:13" ht="15.75" customHeight="1">
      <c r="K988" s="42"/>
      <c r="L988" s="42"/>
      <c r="M988" s="42"/>
    </row>
    <row r="989" spans="11:13" ht="15.75" customHeight="1">
      <c r="K989" s="42"/>
      <c r="L989" s="42"/>
      <c r="M989" s="42"/>
    </row>
    <row r="990" spans="11:13" ht="15.75" customHeight="1">
      <c r="K990" s="42"/>
      <c r="L990" s="42"/>
      <c r="M990" s="42"/>
    </row>
    <row r="991" spans="11:13" ht="15.75" customHeight="1">
      <c r="K991" s="42"/>
      <c r="L991" s="42"/>
      <c r="M991" s="42"/>
    </row>
    <row r="992" spans="11:13" ht="15.75" customHeight="1">
      <c r="K992" s="42"/>
      <c r="L992" s="42"/>
      <c r="M992" s="42"/>
    </row>
    <row r="993" spans="11:13" ht="15.75" customHeight="1">
      <c r="K993" s="42"/>
      <c r="L993" s="42"/>
      <c r="M993" s="42"/>
    </row>
    <row r="994" spans="11:13" ht="15.75" customHeight="1">
      <c r="K994" s="42"/>
      <c r="L994" s="42"/>
      <c r="M994" s="42"/>
    </row>
    <row r="995" spans="11:13" ht="15.75" customHeight="1">
      <c r="K995" s="42"/>
      <c r="L995" s="42"/>
      <c r="M995" s="42"/>
    </row>
    <row r="996" spans="11:13" ht="15.75" customHeight="1">
      <c r="K996" s="42"/>
      <c r="L996" s="42"/>
      <c r="M996" s="42"/>
    </row>
    <row r="997" spans="11:13" ht="15.75" customHeight="1">
      <c r="K997" s="42"/>
      <c r="L997" s="42"/>
      <c r="M997" s="42"/>
    </row>
    <row r="998" spans="11:13" ht="15.75" customHeight="1">
      <c r="K998" s="42"/>
      <c r="L998" s="42"/>
      <c r="M998" s="42"/>
    </row>
    <row r="999" spans="11:13" ht="15.75" customHeight="1">
      <c r="K999" s="42"/>
      <c r="L999" s="42"/>
      <c r="M999" s="42"/>
    </row>
    <row r="1000" spans="11:13" ht="15.75" customHeight="1">
      <c r="K1000" s="42"/>
      <c r="L1000" s="42"/>
      <c r="M1000" s="42"/>
    </row>
  </sheetData>
  <mergeCells count="6">
    <mergeCell ref="D6:F6"/>
    <mergeCell ref="P15:T15"/>
    <mergeCell ref="V15:Z15"/>
    <mergeCell ref="AB15:AF15"/>
    <mergeCell ref="W16:X16"/>
    <mergeCell ref="AC16:AD16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FF6F9"/>
  </sheetPr>
  <dimension ref="A21:A1000"/>
  <sheetViews>
    <sheetView workbookViewId="0"/>
  </sheetViews>
  <sheetFormatPr defaultColWidth="12.54296875" defaultRowHeight="15" customHeight="1"/>
  <cols>
    <col min="1" max="26" width="8.54296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  <outlinePr summaryBelow="0" summaryRight="0"/>
    <pageSetUpPr fitToPage="1"/>
  </sheetPr>
  <dimension ref="A1:Z1000"/>
  <sheetViews>
    <sheetView workbookViewId="0"/>
  </sheetViews>
  <sheetFormatPr defaultColWidth="12.54296875" defaultRowHeight="15" customHeight="1"/>
  <cols>
    <col min="1" max="1" width="3.26953125" customWidth="1"/>
    <col min="2" max="2" width="27.26953125" customWidth="1"/>
    <col min="3" max="3" width="15.54296875" customWidth="1"/>
    <col min="4" max="4" width="13.81640625" customWidth="1"/>
    <col min="5" max="5" width="19.453125" customWidth="1"/>
    <col min="6" max="6" width="20" customWidth="1"/>
    <col min="8" max="8" width="56.54296875" customWidth="1"/>
  </cols>
  <sheetData>
    <row r="1" spans="1:26" ht="15.75" customHeight="1">
      <c r="A1" s="218"/>
      <c r="B1" s="218"/>
      <c r="C1" s="218"/>
      <c r="D1" s="218"/>
      <c r="E1" s="219"/>
      <c r="F1" s="218"/>
      <c r="G1" s="218"/>
      <c r="H1" s="218"/>
      <c r="I1" s="220"/>
      <c r="J1" s="220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</row>
    <row r="2" spans="1:26" ht="15.75" customHeight="1">
      <c r="A2" s="218"/>
      <c r="B2" s="222" t="s">
        <v>268</v>
      </c>
      <c r="C2" s="223" t="s">
        <v>269</v>
      </c>
      <c r="D2" s="223" t="s">
        <v>270</v>
      </c>
      <c r="E2" s="224" t="s">
        <v>271</v>
      </c>
      <c r="F2" s="223" t="s">
        <v>272</v>
      </c>
      <c r="G2" s="223" t="s">
        <v>273</v>
      </c>
      <c r="H2" s="225" t="s">
        <v>274</v>
      </c>
      <c r="I2" s="220"/>
      <c r="J2" s="220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 spans="1:26" ht="15.75" customHeight="1">
      <c r="A3" s="226"/>
      <c r="B3" s="227" t="s">
        <v>275</v>
      </c>
      <c r="C3" s="228">
        <v>27</v>
      </c>
      <c r="D3" s="228">
        <f t="shared" ref="D3:D5" si="0">C3*40</f>
        <v>1080</v>
      </c>
      <c r="E3" s="229">
        <f>112*200</f>
        <v>22400</v>
      </c>
      <c r="F3" s="229">
        <v>0</v>
      </c>
      <c r="G3" s="230">
        <f t="shared" ref="G3:G4" si="1">D3*52+E3</f>
        <v>78560</v>
      </c>
      <c r="H3" s="231" t="s">
        <v>276</v>
      </c>
      <c r="I3" s="8" t="s">
        <v>146</v>
      </c>
      <c r="J3" s="220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</row>
    <row r="4" spans="1:26" ht="15.75" customHeight="1">
      <c r="A4" s="226"/>
      <c r="B4" s="227" t="s">
        <v>277</v>
      </c>
      <c r="C4" s="228">
        <v>25</v>
      </c>
      <c r="D4" s="228">
        <f t="shared" si="0"/>
        <v>1000</v>
      </c>
      <c r="E4" s="229">
        <v>0</v>
      </c>
      <c r="F4" s="229">
        <v>0</v>
      </c>
      <c r="G4" s="230">
        <f t="shared" si="1"/>
        <v>52000</v>
      </c>
      <c r="H4" s="231"/>
      <c r="I4" s="8" t="s">
        <v>150</v>
      </c>
      <c r="J4" s="220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</row>
    <row r="5" spans="1:26" ht="15.75" customHeight="1">
      <c r="A5" s="226"/>
      <c r="B5" s="227" t="s">
        <v>278</v>
      </c>
      <c r="C5" s="228">
        <v>18</v>
      </c>
      <c r="D5" s="228">
        <f t="shared" si="0"/>
        <v>720</v>
      </c>
      <c r="E5" s="229">
        <v>0</v>
      </c>
      <c r="F5" s="229">
        <f>260*10</f>
        <v>2600</v>
      </c>
      <c r="G5" s="230">
        <f>D5*52+E5+F5</f>
        <v>40040</v>
      </c>
      <c r="H5" s="231" t="s">
        <v>279</v>
      </c>
      <c r="I5" s="8" t="s">
        <v>149</v>
      </c>
      <c r="J5" s="220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</row>
    <row r="6" spans="1:26" ht="15.75" customHeight="1">
      <c r="A6" s="226"/>
      <c r="B6" s="227" t="s">
        <v>280</v>
      </c>
      <c r="C6" s="228">
        <v>27</v>
      </c>
      <c r="D6" s="228">
        <f>C6*26</f>
        <v>702</v>
      </c>
      <c r="E6" s="229">
        <f>200*37</f>
        <v>7400</v>
      </c>
      <c r="F6" s="229">
        <f t="shared" ref="F6:F7" si="2">1300*25</f>
        <v>32500</v>
      </c>
      <c r="G6" s="230">
        <f>D6*52+F6+E6</f>
        <v>76404</v>
      </c>
      <c r="H6" s="231" t="s">
        <v>281</v>
      </c>
      <c r="I6" s="8" t="s">
        <v>146</v>
      </c>
      <c r="J6" s="220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</row>
    <row r="7" spans="1:26" ht="15.75" customHeight="1">
      <c r="A7" s="226"/>
      <c r="B7" s="227" t="s">
        <v>282</v>
      </c>
      <c r="C7" s="228">
        <v>18</v>
      </c>
      <c r="D7" s="228">
        <f>C7*12</f>
        <v>216</v>
      </c>
      <c r="E7" s="229">
        <v>0</v>
      </c>
      <c r="F7" s="229">
        <f t="shared" si="2"/>
        <v>32500</v>
      </c>
      <c r="G7" s="230">
        <f>D7*52+F7</f>
        <v>43732</v>
      </c>
      <c r="H7" s="231"/>
      <c r="I7" s="8" t="s">
        <v>149</v>
      </c>
      <c r="J7" s="220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</row>
    <row r="8" spans="1:26" ht="15.75" customHeight="1">
      <c r="A8" s="226"/>
      <c r="B8" s="227" t="s">
        <v>283</v>
      </c>
      <c r="C8" s="228" t="s">
        <v>121</v>
      </c>
      <c r="D8" s="220" t="s">
        <v>121</v>
      </c>
      <c r="E8" s="229" t="s">
        <v>121</v>
      </c>
      <c r="F8" s="229" t="s">
        <v>121</v>
      </c>
      <c r="G8" s="232">
        <f t="shared" ref="G8:G9" si="3">C28</f>
        <v>43200</v>
      </c>
      <c r="H8" s="231"/>
      <c r="I8" s="8" t="s">
        <v>150</v>
      </c>
      <c r="J8" s="220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</row>
    <row r="9" spans="1:26" ht="15.75" customHeight="1">
      <c r="A9" s="226"/>
      <c r="B9" s="227" t="s">
        <v>284</v>
      </c>
      <c r="C9" s="228" t="s">
        <v>121</v>
      </c>
      <c r="D9" s="220" t="s">
        <v>121</v>
      </c>
      <c r="E9" s="229" t="s">
        <v>121</v>
      </c>
      <c r="F9" s="229" t="s">
        <v>121</v>
      </c>
      <c r="G9" s="232">
        <f t="shared" si="3"/>
        <v>38880</v>
      </c>
      <c r="H9" s="231"/>
      <c r="I9" s="8" t="s">
        <v>150</v>
      </c>
      <c r="J9" s="220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</row>
    <row r="10" spans="1:26" ht="15.75" customHeight="1">
      <c r="A10" s="221"/>
      <c r="B10" s="233" t="s">
        <v>285</v>
      </c>
      <c r="C10" s="234">
        <v>18</v>
      </c>
      <c r="D10" s="234">
        <f>C10*6</f>
        <v>108</v>
      </c>
      <c r="E10" s="235"/>
      <c r="F10" s="236"/>
      <c r="G10" s="237">
        <f>D10*52</f>
        <v>5616</v>
      </c>
      <c r="H10" s="238" t="s">
        <v>286</v>
      </c>
      <c r="I10" s="56" t="s">
        <v>287</v>
      </c>
      <c r="J10" s="220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</row>
    <row r="11" spans="1:26" ht="15.75" customHeight="1">
      <c r="A11" s="221"/>
      <c r="B11" s="221"/>
      <c r="C11" s="228"/>
      <c r="D11" s="220"/>
      <c r="E11" s="221"/>
      <c r="F11" s="220"/>
      <c r="G11" s="239">
        <f>SUM(G3:G10)</f>
        <v>378432</v>
      </c>
      <c r="H11" s="220"/>
      <c r="I11" s="220"/>
      <c r="J11" s="220"/>
      <c r="K11" s="221"/>
      <c r="L11" s="221"/>
      <c r="M11" s="221"/>
      <c r="N11" s="221"/>
      <c r="O11" s="221"/>
      <c r="P11" s="221"/>
      <c r="Q11" s="221"/>
      <c r="R11" s="221"/>
      <c r="S11" s="221"/>
      <c r="T11" s="221"/>
      <c r="U11" s="221"/>
      <c r="V11" s="221"/>
      <c r="W11" s="221"/>
      <c r="X11" s="221"/>
      <c r="Y11" s="221"/>
      <c r="Z11" s="221"/>
    </row>
    <row r="12" spans="1:26" ht="15.75" customHeight="1">
      <c r="A12" s="221"/>
      <c r="B12" s="240" t="s">
        <v>288</v>
      </c>
      <c r="C12" s="220">
        <v>150</v>
      </c>
      <c r="D12" s="220"/>
      <c r="E12" s="221"/>
      <c r="F12" s="220"/>
      <c r="G12" s="220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</row>
    <row r="13" spans="1:26" ht="15.75" customHeight="1">
      <c r="A13" s="221"/>
      <c r="B13" s="226" t="s">
        <v>289</v>
      </c>
      <c r="C13" s="220">
        <v>90</v>
      </c>
      <c r="D13" s="220"/>
      <c r="E13" s="221"/>
      <c r="F13" s="220"/>
      <c r="G13" s="220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</row>
    <row r="14" spans="1:26" ht="15.75" customHeight="1">
      <c r="A14" s="221"/>
      <c r="B14" s="226" t="s">
        <v>290</v>
      </c>
      <c r="C14" s="220">
        <v>60</v>
      </c>
      <c r="D14" s="220"/>
      <c r="E14" s="221"/>
      <c r="F14" s="220"/>
      <c r="G14" s="220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</row>
    <row r="15" spans="1:26" ht="15.75" customHeight="1">
      <c r="A15" s="221"/>
      <c r="B15" s="221"/>
      <c r="C15" s="220"/>
      <c r="D15" s="221"/>
      <c r="E15" s="221"/>
      <c r="F15" s="220"/>
      <c r="G15" s="220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</row>
    <row r="16" spans="1:26" ht="15.75" customHeight="1">
      <c r="A16" s="221"/>
      <c r="B16" s="226" t="s">
        <v>291</v>
      </c>
      <c r="C16" s="220">
        <v>1</v>
      </c>
      <c r="D16" s="221"/>
      <c r="E16" s="221"/>
      <c r="F16" s="220"/>
      <c r="G16" s="220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/>
      <c r="V16" s="221"/>
      <c r="W16" s="221"/>
      <c r="X16" s="221"/>
      <c r="Y16" s="221"/>
      <c r="Z16" s="221"/>
    </row>
    <row r="17" spans="1:26" ht="15.75" customHeight="1">
      <c r="A17" s="221"/>
      <c r="B17" s="226" t="s">
        <v>292</v>
      </c>
      <c r="C17" s="220">
        <v>3</v>
      </c>
      <c r="D17" s="220"/>
      <c r="E17" s="221"/>
      <c r="F17" s="220"/>
      <c r="G17" s="220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</row>
    <row r="18" spans="1:26" ht="15.75" customHeight="1">
      <c r="A18" s="221"/>
      <c r="B18" s="226" t="s">
        <v>293</v>
      </c>
      <c r="C18" s="220">
        <v>1</v>
      </c>
      <c r="D18" s="220"/>
      <c r="E18" s="221"/>
      <c r="F18" s="220"/>
      <c r="G18" s="220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</row>
    <row r="19" spans="1:26" ht="15.75" customHeight="1">
      <c r="A19" s="221"/>
      <c r="B19" s="241" t="s">
        <v>294</v>
      </c>
      <c r="C19" s="242">
        <f>SUM(C16:C18)</f>
        <v>5</v>
      </c>
      <c r="D19" s="220"/>
      <c r="E19" s="221"/>
      <c r="F19" s="220"/>
      <c r="G19" s="220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</row>
    <row r="20" spans="1:26" ht="15.75" customHeight="1">
      <c r="A20" s="221"/>
      <c r="B20" s="221"/>
      <c r="C20" s="220"/>
      <c r="D20" s="220"/>
      <c r="E20" s="221"/>
      <c r="F20" s="220"/>
      <c r="G20" s="220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1"/>
      <c r="T20" s="221"/>
      <c r="U20" s="221"/>
      <c r="V20" s="221"/>
      <c r="W20" s="221"/>
      <c r="X20" s="221"/>
      <c r="Y20" s="221"/>
      <c r="Z20" s="221"/>
    </row>
    <row r="21" spans="1:26" ht="15.75" customHeight="1">
      <c r="A21" s="221"/>
      <c r="B21" s="226" t="s">
        <v>295</v>
      </c>
      <c r="C21" s="220">
        <v>2</v>
      </c>
      <c r="D21" s="220"/>
      <c r="E21" s="221"/>
      <c r="F21" s="218"/>
      <c r="G21" s="218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</row>
    <row r="22" spans="1:26" ht="15.75" customHeight="1">
      <c r="A22" s="221"/>
      <c r="B22" s="226" t="s">
        <v>296</v>
      </c>
      <c r="C22" s="220">
        <v>1</v>
      </c>
      <c r="D22" s="220"/>
      <c r="E22" s="221"/>
      <c r="F22" s="220"/>
      <c r="G22" s="220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</row>
    <row r="23" spans="1:26" ht="15.75" customHeight="1">
      <c r="A23" s="221"/>
      <c r="B23" s="241" t="s">
        <v>294</v>
      </c>
      <c r="C23" s="242">
        <v>3</v>
      </c>
      <c r="D23" s="220"/>
      <c r="E23" s="221"/>
      <c r="F23" s="220"/>
      <c r="G23" s="220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</row>
    <row r="24" spans="1:26" ht="15.75" customHeight="1">
      <c r="A24" s="221"/>
      <c r="B24" s="221"/>
      <c r="C24" s="220"/>
      <c r="D24" s="220"/>
      <c r="E24" s="221"/>
      <c r="F24" s="220"/>
      <c r="G24" s="220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</row>
    <row r="25" spans="1:26" ht="15.75" customHeight="1">
      <c r="A25" s="221"/>
      <c r="B25" s="243" t="s">
        <v>297</v>
      </c>
      <c r="C25" s="244">
        <f>C28/C14</f>
        <v>720</v>
      </c>
      <c r="D25" s="221"/>
      <c r="E25" s="221"/>
      <c r="F25" s="220"/>
      <c r="G25" s="220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</row>
    <row r="26" spans="1:26" ht="15.75" customHeight="1">
      <c r="A26" s="221"/>
      <c r="B26" s="245" t="s">
        <v>298</v>
      </c>
      <c r="C26" s="246">
        <f>C29/C13</f>
        <v>432</v>
      </c>
      <c r="D26" s="221"/>
      <c r="E26" s="221"/>
      <c r="F26" s="220"/>
      <c r="G26" s="220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</row>
    <row r="27" spans="1:26" ht="15.75" customHeight="1">
      <c r="A27" s="221"/>
      <c r="B27" s="221"/>
      <c r="C27" s="220"/>
      <c r="D27" s="220"/>
      <c r="E27" s="221"/>
      <c r="F27" s="220"/>
      <c r="G27" s="220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</row>
    <row r="28" spans="1:26" ht="15.75" customHeight="1">
      <c r="A28" s="221"/>
      <c r="B28" s="247" t="s">
        <v>299</v>
      </c>
      <c r="C28" s="248">
        <f>((($C$19*8)*18)*$C$14)</f>
        <v>43200</v>
      </c>
      <c r="D28" s="220"/>
      <c r="E28" s="221"/>
      <c r="F28" s="220"/>
      <c r="G28" s="220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</row>
    <row r="29" spans="1:26" ht="15.75" customHeight="1">
      <c r="A29" s="221"/>
      <c r="B29" s="233" t="s">
        <v>300</v>
      </c>
      <c r="C29" s="249">
        <f>((($C$23*8)*18)*$C$13)</f>
        <v>38880</v>
      </c>
      <c r="D29" s="220"/>
      <c r="E29" s="221"/>
      <c r="F29" s="220"/>
      <c r="G29" s="220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</row>
    <row r="30" spans="1:26" ht="15.75" customHeight="1">
      <c r="A30" s="221"/>
      <c r="B30" s="221"/>
      <c r="C30" s="220"/>
      <c r="D30" s="220"/>
      <c r="E30" s="221"/>
      <c r="F30" s="220"/>
      <c r="G30" s="220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</row>
    <row r="31" spans="1:26" ht="15.75" customHeight="1">
      <c r="A31" s="221"/>
      <c r="B31" s="31" t="s">
        <v>301</v>
      </c>
      <c r="C31" s="220"/>
      <c r="D31" s="220"/>
      <c r="E31" s="221"/>
      <c r="F31" s="220"/>
      <c r="G31" s="220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</row>
    <row r="32" spans="1:26" ht="15.75" customHeight="1">
      <c r="A32" s="221"/>
      <c r="B32" s="221"/>
      <c r="C32" s="220"/>
      <c r="D32" s="220"/>
      <c r="E32" s="221"/>
      <c r="F32" s="220"/>
      <c r="G32" s="220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</row>
    <row r="33" spans="1:26" ht="15.75" customHeight="1">
      <c r="A33" s="221"/>
      <c r="B33" s="219" t="s">
        <v>302</v>
      </c>
      <c r="C33" s="220"/>
      <c r="D33" s="220"/>
      <c r="E33" s="221"/>
      <c r="F33" s="220"/>
      <c r="G33" s="220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</row>
    <row r="34" spans="1:26" ht="15.75" customHeight="1">
      <c r="A34" s="221"/>
      <c r="B34" s="226" t="s">
        <v>303</v>
      </c>
      <c r="C34" s="228">
        <v>18</v>
      </c>
      <c r="D34" s="220"/>
      <c r="E34" s="221"/>
      <c r="F34" s="220"/>
      <c r="G34" s="220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</row>
    <row r="35" spans="1:26" ht="15.75" customHeight="1">
      <c r="A35" s="221"/>
      <c r="B35" s="226" t="s">
        <v>304</v>
      </c>
      <c r="C35" s="228">
        <v>18</v>
      </c>
      <c r="D35" s="220"/>
      <c r="E35" s="221"/>
      <c r="F35" s="220"/>
      <c r="G35" s="220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</row>
    <row r="36" spans="1:26" ht="15.75" customHeight="1">
      <c r="A36" s="221"/>
      <c r="B36" s="226" t="s">
        <v>305</v>
      </c>
      <c r="C36" s="228">
        <v>18</v>
      </c>
      <c r="D36" s="220"/>
      <c r="E36" s="221"/>
      <c r="F36" s="220"/>
      <c r="G36" s="220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</row>
    <row r="37" spans="1:26" ht="15.75" customHeight="1">
      <c r="A37" s="221"/>
      <c r="B37" s="226" t="s">
        <v>306</v>
      </c>
      <c r="C37" s="228">
        <v>18</v>
      </c>
      <c r="D37" s="220"/>
      <c r="E37" s="221"/>
      <c r="F37" s="220"/>
      <c r="G37" s="220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</row>
    <row r="38" spans="1:26" ht="15.75" customHeight="1">
      <c r="A38" s="221"/>
      <c r="B38" s="226" t="s">
        <v>307</v>
      </c>
      <c r="C38" s="228">
        <v>18</v>
      </c>
      <c r="D38" s="220"/>
      <c r="E38" s="221"/>
      <c r="F38" s="220"/>
      <c r="G38" s="220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</row>
    <row r="39" spans="1:26" ht="15.75" customHeight="1">
      <c r="A39" s="221"/>
      <c r="B39" s="226" t="s">
        <v>308</v>
      </c>
      <c r="C39" s="228">
        <v>18</v>
      </c>
      <c r="D39" s="220"/>
      <c r="E39" s="221"/>
      <c r="F39" s="220"/>
      <c r="G39" s="220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</row>
    <row r="40" spans="1:26" ht="15.75" customHeight="1">
      <c r="A40" s="221"/>
      <c r="B40" s="226" t="s">
        <v>309</v>
      </c>
      <c r="C40" s="228">
        <v>18</v>
      </c>
      <c r="D40" s="220"/>
      <c r="E40" s="221"/>
      <c r="F40" s="220"/>
      <c r="G40" s="220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</row>
    <row r="41" spans="1:26" ht="15.75" customHeight="1">
      <c r="A41" s="221"/>
      <c r="B41" s="226" t="s">
        <v>310</v>
      </c>
      <c r="C41" s="228">
        <v>18</v>
      </c>
      <c r="D41" s="220"/>
      <c r="E41" s="221"/>
      <c r="F41" s="220"/>
      <c r="G41" s="220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</row>
    <row r="42" spans="1:26" ht="15.75" customHeight="1">
      <c r="A42" s="221"/>
      <c r="B42" s="226" t="s">
        <v>311</v>
      </c>
      <c r="C42" s="228">
        <v>18</v>
      </c>
      <c r="D42" s="220"/>
      <c r="E42" s="221"/>
      <c r="F42" s="220"/>
      <c r="G42" s="220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</row>
    <row r="43" spans="1:26" ht="15.75" customHeight="1">
      <c r="A43" s="221"/>
      <c r="B43" s="226" t="s">
        <v>312</v>
      </c>
      <c r="C43" s="228">
        <v>18</v>
      </c>
      <c r="D43" s="220"/>
      <c r="E43" s="221"/>
      <c r="F43" s="220"/>
      <c r="G43" s="220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</row>
    <row r="44" spans="1:26" ht="15.75" customHeight="1">
      <c r="A44" s="221"/>
      <c r="B44" s="226" t="s">
        <v>313</v>
      </c>
      <c r="C44" s="228">
        <v>18</v>
      </c>
      <c r="D44" s="220"/>
      <c r="E44" s="221"/>
      <c r="F44" s="220"/>
      <c r="G44" s="220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</row>
    <row r="45" spans="1:26" ht="15.75" customHeight="1">
      <c r="A45" s="221"/>
      <c r="B45" s="226" t="s">
        <v>314</v>
      </c>
      <c r="C45" s="228">
        <v>18</v>
      </c>
      <c r="D45" s="220"/>
      <c r="E45" s="221"/>
      <c r="F45" s="220"/>
      <c r="G45" s="220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</row>
    <row r="46" spans="1:26" ht="15.75" customHeight="1">
      <c r="A46" s="221"/>
      <c r="B46" s="226" t="s">
        <v>315</v>
      </c>
      <c r="C46" s="228">
        <v>18</v>
      </c>
      <c r="D46" s="220"/>
      <c r="E46" s="221"/>
      <c r="F46" s="220"/>
      <c r="G46" s="220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</row>
    <row r="47" spans="1:26" ht="15.75" customHeight="1">
      <c r="A47" s="221"/>
      <c r="B47" s="226" t="s">
        <v>316</v>
      </c>
      <c r="C47" s="228">
        <v>18</v>
      </c>
      <c r="D47" s="220"/>
      <c r="E47" s="221"/>
      <c r="F47" s="220"/>
      <c r="G47" s="220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</row>
    <row r="48" spans="1:26" ht="15.75" customHeight="1">
      <c r="A48" s="221"/>
      <c r="B48" s="226" t="s">
        <v>317</v>
      </c>
      <c r="C48" s="228">
        <v>18</v>
      </c>
      <c r="D48" s="220"/>
      <c r="E48" s="221"/>
      <c r="F48" s="220"/>
      <c r="G48" s="220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</row>
    <row r="49" spans="1:26" ht="15.75" customHeight="1">
      <c r="A49" s="221"/>
      <c r="B49" s="226" t="s">
        <v>318</v>
      </c>
      <c r="C49" s="228">
        <v>18</v>
      </c>
      <c r="D49" s="220"/>
      <c r="E49" s="221"/>
      <c r="F49" s="220"/>
      <c r="G49" s="220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</row>
    <row r="50" spans="1:26" ht="15.75" customHeight="1">
      <c r="A50" s="221"/>
      <c r="B50" s="226" t="s">
        <v>319</v>
      </c>
      <c r="C50" s="228">
        <v>18</v>
      </c>
      <c r="D50" s="220"/>
      <c r="E50" s="221"/>
      <c r="F50" s="220"/>
      <c r="G50" s="220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</row>
    <row r="51" spans="1:26" ht="15.75" customHeight="1">
      <c r="A51" s="221"/>
      <c r="B51" s="226" t="s">
        <v>320</v>
      </c>
      <c r="C51" s="228">
        <v>18</v>
      </c>
      <c r="D51" s="220"/>
      <c r="E51" s="221"/>
      <c r="F51" s="220"/>
      <c r="G51" s="220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</row>
    <row r="52" spans="1:26" ht="15.75" customHeight="1">
      <c r="A52" s="221"/>
      <c r="B52" s="226" t="s">
        <v>321</v>
      </c>
      <c r="C52" s="228">
        <v>18</v>
      </c>
      <c r="D52" s="220"/>
      <c r="E52" s="221"/>
      <c r="F52" s="220"/>
      <c r="G52" s="220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</row>
    <row r="53" spans="1:26" ht="15.75" customHeight="1">
      <c r="A53" s="221"/>
      <c r="B53" s="221"/>
      <c r="C53" s="220"/>
      <c r="D53" s="220"/>
      <c r="E53" s="221"/>
      <c r="F53" s="220"/>
      <c r="G53" s="220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</row>
    <row r="54" spans="1:26" ht="15.75" customHeight="1">
      <c r="A54" s="221"/>
      <c r="B54" s="221"/>
      <c r="C54" s="220"/>
      <c r="D54" s="220"/>
      <c r="E54" s="221"/>
      <c r="F54" s="220"/>
      <c r="G54" s="220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</row>
    <row r="55" spans="1:26" ht="15.75" customHeight="1">
      <c r="A55" s="221"/>
      <c r="B55" s="221"/>
      <c r="C55" s="220"/>
      <c r="D55" s="220"/>
      <c r="E55" s="221"/>
      <c r="F55" s="220"/>
      <c r="G55" s="220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</row>
    <row r="56" spans="1:26" ht="15.75" customHeight="1">
      <c r="A56" s="221"/>
      <c r="B56" s="221"/>
      <c r="C56" s="220"/>
      <c r="D56" s="220"/>
      <c r="E56" s="221"/>
      <c r="F56" s="220"/>
      <c r="G56" s="220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</row>
    <row r="57" spans="1:26" ht="15.75" customHeight="1">
      <c r="A57" s="221"/>
      <c r="B57" s="221"/>
      <c r="C57" s="220"/>
      <c r="D57" s="220"/>
      <c r="E57" s="221"/>
      <c r="F57" s="220"/>
      <c r="G57" s="220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</row>
    <row r="58" spans="1:26" ht="15.75" customHeight="1">
      <c r="A58" s="221"/>
      <c r="B58" s="221"/>
      <c r="C58" s="220"/>
      <c r="D58" s="220"/>
      <c r="E58" s="221"/>
      <c r="F58" s="220"/>
      <c r="G58" s="220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</row>
    <row r="59" spans="1:26" ht="15.75" customHeight="1">
      <c r="A59" s="221"/>
      <c r="B59" s="221"/>
      <c r="C59" s="220"/>
      <c r="D59" s="220"/>
      <c r="E59" s="221"/>
      <c r="F59" s="220"/>
      <c r="G59" s="220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</row>
    <row r="60" spans="1:26" ht="15.75" customHeight="1">
      <c r="A60" s="221"/>
      <c r="B60" s="221"/>
      <c r="C60" s="220"/>
      <c r="D60" s="220"/>
      <c r="E60" s="221"/>
      <c r="F60" s="220"/>
      <c r="G60" s="220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</row>
    <row r="61" spans="1:26" ht="15.75" customHeight="1">
      <c r="A61" s="221"/>
      <c r="B61" s="221"/>
      <c r="C61" s="220"/>
      <c r="D61" s="220"/>
      <c r="E61" s="221"/>
      <c r="F61" s="220"/>
      <c r="G61" s="220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</row>
    <row r="62" spans="1:26" ht="15.75" customHeight="1">
      <c r="A62" s="221"/>
      <c r="B62" s="221"/>
      <c r="C62" s="220"/>
      <c r="D62" s="220"/>
      <c r="E62" s="221"/>
      <c r="F62" s="220"/>
      <c r="G62" s="220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</row>
    <row r="63" spans="1:26" ht="15.75" customHeight="1">
      <c r="A63" s="221"/>
      <c r="B63" s="221"/>
      <c r="C63" s="220"/>
      <c r="D63" s="220"/>
      <c r="E63" s="221"/>
      <c r="F63" s="220"/>
      <c r="G63" s="220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</row>
    <row r="64" spans="1:26" ht="15.75" customHeight="1">
      <c r="A64" s="221"/>
      <c r="B64" s="221"/>
      <c r="C64" s="220"/>
      <c r="D64" s="220"/>
      <c r="E64" s="221"/>
      <c r="F64" s="220"/>
      <c r="G64" s="220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</row>
    <row r="65" spans="1:26" ht="15.75" customHeight="1">
      <c r="A65" s="221"/>
      <c r="B65" s="221"/>
      <c r="C65" s="220"/>
      <c r="D65" s="220"/>
      <c r="E65" s="221"/>
      <c r="F65" s="220"/>
      <c r="G65" s="220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</row>
    <row r="66" spans="1:26" ht="15.75" customHeight="1">
      <c r="A66" s="221"/>
      <c r="B66" s="221"/>
      <c r="C66" s="220"/>
      <c r="D66" s="220"/>
      <c r="E66" s="221"/>
      <c r="F66" s="220"/>
      <c r="G66" s="220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</row>
    <row r="67" spans="1:26" ht="15.75" customHeight="1">
      <c r="A67" s="221"/>
      <c r="B67" s="221"/>
      <c r="C67" s="220"/>
      <c r="D67" s="220"/>
      <c r="E67" s="221"/>
      <c r="F67" s="220"/>
      <c r="G67" s="220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</row>
    <row r="68" spans="1:26" ht="15.75" customHeight="1">
      <c r="A68" s="221"/>
      <c r="B68" s="221"/>
      <c r="C68" s="220"/>
      <c r="D68" s="220"/>
      <c r="E68" s="221"/>
      <c r="F68" s="220"/>
      <c r="G68" s="220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</row>
    <row r="69" spans="1:26" ht="15.75" customHeight="1">
      <c r="A69" s="221"/>
      <c r="B69" s="221"/>
      <c r="C69" s="220"/>
      <c r="D69" s="220"/>
      <c r="E69" s="221"/>
      <c r="F69" s="220"/>
      <c r="G69" s="220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</row>
    <row r="70" spans="1:26" ht="15.75" customHeight="1">
      <c r="A70" s="221"/>
      <c r="B70" s="221"/>
      <c r="C70" s="220"/>
      <c r="D70" s="220"/>
      <c r="E70" s="221"/>
      <c r="F70" s="220"/>
      <c r="G70" s="220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</row>
    <row r="71" spans="1:26" ht="15.75" customHeight="1">
      <c r="A71" s="221"/>
      <c r="B71" s="221"/>
      <c r="C71" s="220"/>
      <c r="D71" s="220"/>
      <c r="E71" s="221"/>
      <c r="F71" s="220"/>
      <c r="G71" s="220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</row>
    <row r="72" spans="1:26" ht="15.75" customHeight="1">
      <c r="A72" s="221"/>
      <c r="B72" s="221"/>
      <c r="C72" s="220"/>
      <c r="D72" s="220"/>
      <c r="E72" s="221"/>
      <c r="F72" s="220"/>
      <c r="G72" s="220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</row>
    <row r="73" spans="1:26" ht="15.75" customHeight="1">
      <c r="A73" s="221"/>
      <c r="B73" s="221"/>
      <c r="C73" s="220"/>
      <c r="D73" s="220"/>
      <c r="E73" s="221"/>
      <c r="F73" s="220"/>
      <c r="G73" s="220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</row>
    <row r="74" spans="1:26" ht="15.75" customHeight="1">
      <c r="A74" s="221"/>
      <c r="B74" s="221"/>
      <c r="C74" s="220"/>
      <c r="D74" s="220"/>
      <c r="E74" s="221"/>
      <c r="F74" s="220"/>
      <c r="G74" s="220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</row>
    <row r="75" spans="1:26" ht="15.75" customHeight="1">
      <c r="A75" s="221"/>
      <c r="B75" s="221"/>
      <c r="C75" s="220"/>
      <c r="D75" s="220"/>
      <c r="E75" s="221"/>
      <c r="F75" s="220"/>
      <c r="G75" s="220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</row>
    <row r="76" spans="1:26" ht="15.75" customHeight="1">
      <c r="A76" s="221"/>
      <c r="B76" s="221"/>
      <c r="C76" s="220"/>
      <c r="D76" s="220"/>
      <c r="E76" s="221"/>
      <c r="F76" s="220"/>
      <c r="G76" s="220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</row>
    <row r="77" spans="1:26" ht="15.75" customHeight="1">
      <c r="A77" s="221"/>
      <c r="B77" s="221"/>
      <c r="C77" s="220"/>
      <c r="D77" s="220"/>
      <c r="E77" s="221"/>
      <c r="F77" s="220"/>
      <c r="G77" s="220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</row>
    <row r="78" spans="1:26" ht="15.75" customHeight="1">
      <c r="A78" s="221"/>
      <c r="B78" s="221"/>
      <c r="C78" s="220"/>
      <c r="D78" s="220"/>
      <c r="E78" s="221"/>
      <c r="F78" s="220"/>
      <c r="G78" s="220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</row>
    <row r="79" spans="1:26" ht="15.75" customHeight="1">
      <c r="A79" s="221"/>
      <c r="B79" s="221"/>
      <c r="C79" s="220"/>
      <c r="D79" s="220"/>
      <c r="E79" s="221"/>
      <c r="F79" s="220"/>
      <c r="G79" s="220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</row>
    <row r="80" spans="1:26" ht="15.75" customHeight="1">
      <c r="A80" s="221"/>
      <c r="B80" s="221"/>
      <c r="C80" s="220"/>
      <c r="D80" s="220"/>
      <c r="E80" s="221"/>
      <c r="F80" s="220"/>
      <c r="G80" s="220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</row>
    <row r="81" spans="1:26" ht="15.75" customHeight="1">
      <c r="A81" s="221"/>
      <c r="B81" s="221"/>
      <c r="C81" s="220"/>
      <c r="D81" s="220"/>
      <c r="E81" s="221"/>
      <c r="F81" s="220"/>
      <c r="G81" s="220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</row>
    <row r="82" spans="1:26" ht="15.75" customHeight="1">
      <c r="A82" s="221"/>
      <c r="B82" s="221"/>
      <c r="C82" s="220"/>
      <c r="D82" s="220"/>
      <c r="E82" s="221"/>
      <c r="F82" s="220"/>
      <c r="G82" s="220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</row>
    <row r="83" spans="1:26" ht="15.75" customHeight="1">
      <c r="A83" s="221"/>
      <c r="B83" s="221"/>
      <c r="C83" s="220"/>
      <c r="D83" s="220"/>
      <c r="E83" s="221"/>
      <c r="F83" s="220"/>
      <c r="G83" s="220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</row>
    <row r="84" spans="1:26" ht="15.75" customHeight="1">
      <c r="A84" s="221"/>
      <c r="B84" s="221"/>
      <c r="C84" s="220"/>
      <c r="D84" s="220"/>
      <c r="E84" s="221"/>
      <c r="F84" s="220"/>
      <c r="G84" s="220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</row>
    <row r="85" spans="1:26" ht="15.75" customHeight="1">
      <c r="A85" s="221"/>
      <c r="B85" s="221"/>
      <c r="C85" s="220"/>
      <c r="D85" s="220"/>
      <c r="E85" s="221"/>
      <c r="F85" s="220"/>
      <c r="G85" s="220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</row>
    <row r="86" spans="1:26" ht="15.75" customHeight="1">
      <c r="A86" s="221"/>
      <c r="B86" s="221"/>
      <c r="C86" s="220"/>
      <c r="D86" s="220"/>
      <c r="E86" s="221"/>
      <c r="F86" s="220"/>
      <c r="G86" s="220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</row>
    <row r="87" spans="1:26" ht="15.75" customHeight="1">
      <c r="A87" s="221"/>
      <c r="B87" s="221"/>
      <c r="C87" s="220"/>
      <c r="D87" s="220"/>
      <c r="E87" s="221"/>
      <c r="F87" s="220"/>
      <c r="G87" s="220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</row>
    <row r="88" spans="1:26" ht="15.75" customHeight="1">
      <c r="A88" s="221"/>
      <c r="B88" s="221"/>
      <c r="C88" s="220"/>
      <c r="D88" s="220"/>
      <c r="E88" s="221"/>
      <c r="F88" s="220"/>
      <c r="G88" s="220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</row>
    <row r="89" spans="1:26" ht="15.75" customHeight="1">
      <c r="A89" s="221"/>
      <c r="B89" s="221"/>
      <c r="C89" s="220"/>
      <c r="D89" s="220"/>
      <c r="E89" s="221"/>
      <c r="F89" s="220"/>
      <c r="G89" s="220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</row>
    <row r="90" spans="1:26" ht="15.75" customHeight="1">
      <c r="A90" s="221"/>
      <c r="B90" s="221"/>
      <c r="C90" s="220"/>
      <c r="D90" s="220"/>
      <c r="E90" s="221"/>
      <c r="F90" s="220"/>
      <c r="G90" s="220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</row>
    <row r="91" spans="1:26" ht="15.75" customHeight="1">
      <c r="A91" s="221"/>
      <c r="B91" s="221"/>
      <c r="C91" s="220"/>
      <c r="D91" s="220"/>
      <c r="E91" s="221"/>
      <c r="F91" s="220"/>
      <c r="G91" s="220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</row>
    <row r="92" spans="1:26" ht="15.75" customHeight="1">
      <c r="A92" s="221"/>
      <c r="B92" s="221"/>
      <c r="C92" s="220"/>
      <c r="D92" s="220"/>
      <c r="E92" s="221"/>
      <c r="F92" s="220"/>
      <c r="G92" s="220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</row>
    <row r="93" spans="1:26" ht="15.75" customHeight="1">
      <c r="A93" s="221"/>
      <c r="B93" s="221"/>
      <c r="C93" s="220"/>
      <c r="D93" s="220"/>
      <c r="E93" s="221"/>
      <c r="F93" s="220"/>
      <c r="G93" s="220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</row>
    <row r="94" spans="1:26" ht="15.75" customHeight="1">
      <c r="A94" s="221"/>
      <c r="B94" s="221"/>
      <c r="C94" s="220"/>
      <c r="D94" s="220"/>
      <c r="E94" s="221"/>
      <c r="F94" s="220"/>
      <c r="G94" s="220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</row>
    <row r="95" spans="1:26" ht="15.75" customHeight="1">
      <c r="A95" s="221"/>
      <c r="B95" s="221"/>
      <c r="C95" s="220"/>
      <c r="D95" s="220"/>
      <c r="E95" s="221"/>
      <c r="F95" s="220"/>
      <c r="G95" s="220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</row>
    <row r="96" spans="1:26" ht="15.75" customHeight="1">
      <c r="A96" s="221"/>
      <c r="B96" s="221"/>
      <c r="C96" s="220"/>
      <c r="D96" s="220"/>
      <c r="E96" s="221"/>
      <c r="F96" s="220"/>
      <c r="G96" s="220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</row>
    <row r="97" spans="1:26" ht="15.75" customHeight="1">
      <c r="A97" s="221"/>
      <c r="B97" s="221"/>
      <c r="C97" s="220"/>
      <c r="D97" s="220"/>
      <c r="E97" s="221"/>
      <c r="F97" s="220"/>
      <c r="G97" s="220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</row>
    <row r="98" spans="1:26" ht="15.75" customHeight="1">
      <c r="A98" s="221"/>
      <c r="B98" s="221"/>
      <c r="C98" s="220"/>
      <c r="D98" s="220"/>
      <c r="E98" s="221"/>
      <c r="F98" s="220"/>
      <c r="G98" s="220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</row>
    <row r="99" spans="1:26" ht="15.75" customHeight="1">
      <c r="A99" s="221"/>
      <c r="B99" s="221"/>
      <c r="C99" s="220"/>
      <c r="D99" s="220"/>
      <c r="E99" s="221"/>
      <c r="F99" s="220"/>
      <c r="G99" s="220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</row>
    <row r="100" spans="1:26" ht="15.75" customHeight="1">
      <c r="A100" s="221"/>
      <c r="B100" s="221"/>
      <c r="C100" s="220"/>
      <c r="D100" s="220"/>
      <c r="E100" s="221"/>
      <c r="F100" s="220"/>
      <c r="G100" s="220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</row>
    <row r="101" spans="1:26" ht="15.75" customHeight="1">
      <c r="A101" s="221"/>
      <c r="B101" s="221"/>
      <c r="C101" s="220"/>
      <c r="D101" s="220"/>
      <c r="E101" s="221"/>
      <c r="F101" s="220"/>
      <c r="G101" s="220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</row>
    <row r="102" spans="1:26" ht="15.75" customHeight="1">
      <c r="A102" s="221"/>
      <c r="B102" s="221"/>
      <c r="C102" s="220"/>
      <c r="D102" s="220"/>
      <c r="E102" s="221"/>
      <c r="F102" s="220"/>
      <c r="G102" s="220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</row>
    <row r="103" spans="1:26" ht="15.75" customHeight="1">
      <c r="A103" s="221"/>
      <c r="B103" s="221"/>
      <c r="C103" s="220"/>
      <c r="D103" s="220"/>
      <c r="E103" s="221"/>
      <c r="F103" s="220"/>
      <c r="G103" s="220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</row>
    <row r="104" spans="1:26" ht="15.75" customHeight="1">
      <c r="A104" s="221"/>
      <c r="B104" s="221"/>
      <c r="C104" s="220"/>
      <c r="D104" s="220"/>
      <c r="E104" s="221"/>
      <c r="F104" s="220"/>
      <c r="G104" s="220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</row>
    <row r="105" spans="1:26" ht="15.75" customHeight="1">
      <c r="A105" s="221"/>
      <c r="B105" s="221"/>
      <c r="C105" s="220"/>
      <c r="D105" s="220"/>
      <c r="E105" s="221"/>
      <c r="F105" s="220"/>
      <c r="G105" s="220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</row>
    <row r="106" spans="1:26" ht="15.75" customHeight="1">
      <c r="A106" s="221"/>
      <c r="B106" s="221"/>
      <c r="C106" s="220"/>
      <c r="D106" s="220"/>
      <c r="E106" s="221"/>
      <c r="F106" s="220"/>
      <c r="G106" s="220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</row>
    <row r="107" spans="1:26" ht="15.75" customHeight="1">
      <c r="A107" s="221"/>
      <c r="B107" s="221"/>
      <c r="C107" s="220"/>
      <c r="D107" s="220"/>
      <c r="E107" s="221"/>
      <c r="F107" s="220"/>
      <c r="G107" s="220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</row>
    <row r="108" spans="1:26" ht="15.75" customHeight="1">
      <c r="A108" s="221"/>
      <c r="B108" s="221"/>
      <c r="C108" s="220"/>
      <c r="D108" s="220"/>
      <c r="E108" s="221"/>
      <c r="F108" s="220"/>
      <c r="G108" s="220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</row>
    <row r="109" spans="1:26" ht="15.75" customHeight="1">
      <c r="A109" s="221"/>
      <c r="B109" s="221"/>
      <c r="C109" s="220"/>
      <c r="D109" s="220"/>
      <c r="E109" s="221"/>
      <c r="F109" s="220"/>
      <c r="G109" s="220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</row>
    <row r="110" spans="1:26" ht="15.75" customHeight="1">
      <c r="A110" s="221"/>
      <c r="B110" s="221"/>
      <c r="C110" s="220"/>
      <c r="D110" s="220"/>
      <c r="E110" s="221"/>
      <c r="F110" s="220"/>
      <c r="G110" s="220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</row>
    <row r="111" spans="1:26" ht="15.75" customHeight="1">
      <c r="A111" s="221"/>
      <c r="B111" s="221"/>
      <c r="C111" s="220"/>
      <c r="D111" s="220"/>
      <c r="E111" s="221"/>
      <c r="F111" s="220"/>
      <c r="G111" s="220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</row>
    <row r="112" spans="1:26" ht="15.75" customHeight="1">
      <c r="A112" s="221"/>
      <c r="B112" s="221"/>
      <c r="C112" s="220"/>
      <c r="D112" s="220"/>
      <c r="E112" s="221"/>
      <c r="F112" s="220"/>
      <c r="G112" s="220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</row>
    <row r="113" spans="1:26" ht="15.75" customHeight="1">
      <c r="A113" s="221"/>
      <c r="B113" s="221"/>
      <c r="C113" s="220"/>
      <c r="D113" s="220"/>
      <c r="E113" s="221"/>
      <c r="F113" s="220"/>
      <c r="G113" s="220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</row>
    <row r="114" spans="1:26" ht="15.75" customHeight="1">
      <c r="A114" s="221"/>
      <c r="B114" s="221"/>
      <c r="C114" s="220"/>
      <c r="D114" s="220"/>
      <c r="E114" s="221"/>
      <c r="F114" s="220"/>
      <c r="G114" s="220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</row>
    <row r="115" spans="1:26" ht="15.75" customHeight="1">
      <c r="A115" s="221"/>
      <c r="B115" s="221"/>
      <c r="C115" s="220"/>
      <c r="D115" s="220"/>
      <c r="E115" s="221"/>
      <c r="F115" s="220"/>
      <c r="G115" s="220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</row>
    <row r="116" spans="1:26" ht="15.75" customHeight="1">
      <c r="A116" s="221"/>
      <c r="B116" s="221"/>
      <c r="C116" s="220"/>
      <c r="D116" s="220"/>
      <c r="E116" s="221"/>
      <c r="F116" s="220"/>
      <c r="G116" s="220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</row>
    <row r="117" spans="1:26" ht="15.75" customHeight="1">
      <c r="A117" s="221"/>
      <c r="B117" s="221"/>
      <c r="C117" s="220"/>
      <c r="D117" s="220"/>
      <c r="E117" s="221"/>
      <c r="F117" s="220"/>
      <c r="G117" s="220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</row>
    <row r="118" spans="1:26" ht="15.75" customHeight="1">
      <c r="A118" s="221"/>
      <c r="B118" s="221"/>
      <c r="C118" s="220"/>
      <c r="D118" s="220"/>
      <c r="E118" s="221"/>
      <c r="F118" s="220"/>
      <c r="G118" s="220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</row>
    <row r="119" spans="1:26" ht="15.75" customHeight="1">
      <c r="A119" s="221"/>
      <c r="B119" s="221"/>
      <c r="C119" s="220"/>
      <c r="D119" s="220"/>
      <c r="E119" s="221"/>
      <c r="F119" s="220"/>
      <c r="G119" s="220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</row>
    <row r="120" spans="1:26" ht="15.75" customHeight="1">
      <c r="A120" s="221"/>
      <c r="B120" s="221"/>
      <c r="C120" s="220"/>
      <c r="D120" s="220"/>
      <c r="E120" s="221"/>
      <c r="F120" s="220"/>
      <c r="G120" s="220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</row>
    <row r="121" spans="1:26" ht="15.75" customHeight="1">
      <c r="A121" s="221"/>
      <c r="B121" s="221"/>
      <c r="C121" s="220"/>
      <c r="D121" s="220"/>
      <c r="E121" s="221"/>
      <c r="F121" s="220"/>
      <c r="G121" s="220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</row>
    <row r="122" spans="1:26" ht="15.75" customHeight="1">
      <c r="A122" s="221"/>
      <c r="B122" s="221"/>
      <c r="C122" s="220"/>
      <c r="D122" s="220"/>
      <c r="E122" s="221"/>
      <c r="F122" s="220"/>
      <c r="G122" s="220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</row>
    <row r="123" spans="1:26" ht="15.75" customHeight="1">
      <c r="A123" s="221"/>
      <c r="B123" s="221"/>
      <c r="C123" s="220"/>
      <c r="D123" s="220"/>
      <c r="E123" s="221"/>
      <c r="F123" s="220"/>
      <c r="G123" s="220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</row>
    <row r="124" spans="1:26" ht="15.75" customHeight="1">
      <c r="A124" s="221"/>
      <c r="B124" s="221"/>
      <c r="C124" s="220"/>
      <c r="D124" s="220"/>
      <c r="E124" s="221"/>
      <c r="F124" s="220"/>
      <c r="G124" s="220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</row>
    <row r="125" spans="1:26" ht="15.75" customHeight="1">
      <c r="A125" s="221"/>
      <c r="B125" s="221"/>
      <c r="C125" s="220"/>
      <c r="D125" s="220"/>
      <c r="E125" s="221"/>
      <c r="F125" s="220"/>
      <c r="G125" s="220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</row>
    <row r="126" spans="1:26" ht="15.75" customHeight="1">
      <c r="A126" s="221"/>
      <c r="B126" s="221"/>
      <c r="C126" s="220"/>
      <c r="D126" s="220"/>
      <c r="E126" s="221"/>
      <c r="F126" s="220"/>
      <c r="G126" s="220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</row>
    <row r="127" spans="1:26" ht="15.75" customHeight="1">
      <c r="A127" s="221"/>
      <c r="B127" s="221"/>
      <c r="C127" s="220"/>
      <c r="D127" s="220"/>
      <c r="E127" s="221"/>
      <c r="F127" s="220"/>
      <c r="G127" s="220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</row>
    <row r="128" spans="1:26" ht="15.75" customHeight="1">
      <c r="A128" s="221"/>
      <c r="B128" s="221"/>
      <c r="C128" s="220"/>
      <c r="D128" s="220"/>
      <c r="E128" s="221"/>
      <c r="F128" s="220"/>
      <c r="G128" s="220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</row>
    <row r="129" spans="1:26" ht="15.75" customHeight="1">
      <c r="A129" s="221"/>
      <c r="B129" s="221"/>
      <c r="C129" s="220"/>
      <c r="D129" s="220"/>
      <c r="E129" s="221"/>
      <c r="F129" s="220"/>
      <c r="G129" s="220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</row>
    <row r="130" spans="1:26" ht="15.75" customHeight="1">
      <c r="A130" s="221"/>
      <c r="B130" s="221"/>
      <c r="C130" s="220"/>
      <c r="D130" s="220"/>
      <c r="E130" s="221"/>
      <c r="F130" s="220"/>
      <c r="G130" s="220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</row>
    <row r="131" spans="1:26" ht="15.75" customHeight="1">
      <c r="A131" s="221"/>
      <c r="B131" s="221"/>
      <c r="C131" s="220"/>
      <c r="D131" s="220"/>
      <c r="E131" s="221"/>
      <c r="F131" s="220"/>
      <c r="G131" s="220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</row>
    <row r="132" spans="1:26" ht="15.75" customHeight="1">
      <c r="A132" s="221"/>
      <c r="B132" s="221"/>
      <c r="C132" s="220"/>
      <c r="D132" s="220"/>
      <c r="E132" s="221"/>
      <c r="F132" s="220"/>
      <c r="G132" s="220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</row>
    <row r="133" spans="1:26" ht="15.75" customHeight="1">
      <c r="A133" s="221"/>
      <c r="B133" s="221"/>
      <c r="C133" s="220"/>
      <c r="D133" s="220"/>
      <c r="E133" s="221"/>
      <c r="F133" s="220"/>
      <c r="G133" s="220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</row>
    <row r="134" spans="1:26" ht="15.75" customHeight="1">
      <c r="A134" s="221"/>
      <c r="B134" s="221"/>
      <c r="C134" s="220"/>
      <c r="D134" s="220"/>
      <c r="E134" s="221"/>
      <c r="F134" s="220"/>
      <c r="G134" s="220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</row>
    <row r="135" spans="1:26" ht="15.75" customHeight="1">
      <c r="A135" s="221"/>
      <c r="B135" s="221"/>
      <c r="C135" s="220"/>
      <c r="D135" s="220"/>
      <c r="E135" s="221"/>
      <c r="F135" s="220"/>
      <c r="G135" s="220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</row>
    <row r="136" spans="1:26" ht="15.75" customHeight="1">
      <c r="A136" s="221"/>
      <c r="B136" s="221"/>
      <c r="C136" s="220"/>
      <c r="D136" s="220"/>
      <c r="E136" s="221"/>
      <c r="F136" s="220"/>
      <c r="G136" s="220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</row>
    <row r="137" spans="1:26" ht="15.75" customHeight="1">
      <c r="A137" s="221"/>
      <c r="B137" s="221"/>
      <c r="C137" s="220"/>
      <c r="D137" s="220"/>
      <c r="E137" s="221"/>
      <c r="F137" s="220"/>
      <c r="G137" s="220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</row>
    <row r="138" spans="1:26" ht="15.75" customHeight="1">
      <c r="A138" s="221"/>
      <c r="B138" s="221"/>
      <c r="C138" s="220"/>
      <c r="D138" s="220"/>
      <c r="E138" s="221"/>
      <c r="F138" s="220"/>
      <c r="G138" s="220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</row>
    <row r="139" spans="1:26" ht="15.75" customHeight="1">
      <c r="A139" s="221"/>
      <c r="B139" s="221"/>
      <c r="C139" s="220"/>
      <c r="D139" s="220"/>
      <c r="E139" s="221"/>
      <c r="F139" s="220"/>
      <c r="G139" s="220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</row>
    <row r="140" spans="1:26" ht="15.75" customHeight="1">
      <c r="A140" s="221"/>
      <c r="B140" s="221"/>
      <c r="C140" s="220"/>
      <c r="D140" s="220"/>
      <c r="E140" s="221"/>
      <c r="F140" s="220"/>
      <c r="G140" s="220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</row>
    <row r="141" spans="1:26" ht="15.75" customHeight="1">
      <c r="A141" s="221"/>
      <c r="B141" s="221"/>
      <c r="C141" s="220"/>
      <c r="D141" s="220"/>
      <c r="E141" s="221"/>
      <c r="F141" s="220"/>
      <c r="G141" s="220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</row>
    <row r="142" spans="1:26" ht="15.75" customHeight="1">
      <c r="A142" s="221"/>
      <c r="B142" s="221"/>
      <c r="C142" s="220"/>
      <c r="D142" s="220"/>
      <c r="E142" s="221"/>
      <c r="F142" s="220"/>
      <c r="G142" s="220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</row>
    <row r="143" spans="1:26" ht="15.75" customHeight="1">
      <c r="A143" s="221"/>
      <c r="B143" s="221"/>
      <c r="C143" s="220"/>
      <c r="D143" s="220"/>
      <c r="E143" s="221"/>
      <c r="F143" s="220"/>
      <c r="G143" s="220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</row>
    <row r="144" spans="1:26" ht="15.75" customHeight="1">
      <c r="A144" s="221"/>
      <c r="B144" s="221"/>
      <c r="C144" s="220"/>
      <c r="D144" s="220"/>
      <c r="E144" s="221"/>
      <c r="F144" s="220"/>
      <c r="G144" s="220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</row>
    <row r="145" spans="1:26" ht="15.75" customHeight="1">
      <c r="A145" s="221"/>
      <c r="B145" s="221"/>
      <c r="C145" s="220"/>
      <c r="D145" s="220"/>
      <c r="E145" s="221"/>
      <c r="F145" s="220"/>
      <c r="G145" s="220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</row>
    <row r="146" spans="1:26" ht="15.75" customHeight="1">
      <c r="A146" s="221"/>
      <c r="B146" s="221"/>
      <c r="C146" s="220"/>
      <c r="D146" s="220"/>
      <c r="E146" s="221"/>
      <c r="F146" s="220"/>
      <c r="G146" s="220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</row>
    <row r="147" spans="1:26" ht="15.75" customHeight="1">
      <c r="A147" s="221"/>
      <c r="B147" s="221"/>
      <c r="C147" s="220"/>
      <c r="D147" s="220"/>
      <c r="E147" s="221"/>
      <c r="F147" s="220"/>
      <c r="G147" s="220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</row>
    <row r="148" spans="1:26" ht="15.75" customHeight="1">
      <c r="A148" s="221"/>
      <c r="B148" s="221"/>
      <c r="C148" s="220"/>
      <c r="D148" s="220"/>
      <c r="E148" s="221"/>
      <c r="F148" s="220"/>
      <c r="G148" s="220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</row>
    <row r="149" spans="1:26" ht="15.75" customHeight="1">
      <c r="A149" s="221"/>
      <c r="B149" s="221"/>
      <c r="C149" s="220"/>
      <c r="D149" s="220"/>
      <c r="E149" s="221"/>
      <c r="F149" s="220"/>
      <c r="G149" s="220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</row>
    <row r="150" spans="1:26" ht="15.75" customHeight="1">
      <c r="A150" s="221"/>
      <c r="B150" s="221"/>
      <c r="C150" s="220"/>
      <c r="D150" s="220"/>
      <c r="E150" s="221"/>
      <c r="F150" s="220"/>
      <c r="G150" s="220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</row>
    <row r="151" spans="1:26" ht="15.75" customHeight="1">
      <c r="A151" s="221"/>
      <c r="B151" s="221"/>
      <c r="C151" s="220"/>
      <c r="D151" s="220"/>
      <c r="E151" s="221"/>
      <c r="F151" s="220"/>
      <c r="G151" s="220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</row>
    <row r="152" spans="1:26" ht="15.75" customHeight="1">
      <c r="A152" s="221"/>
      <c r="B152" s="221"/>
      <c r="C152" s="220"/>
      <c r="D152" s="220"/>
      <c r="E152" s="221"/>
      <c r="F152" s="220"/>
      <c r="G152" s="220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</row>
    <row r="153" spans="1:26" ht="15.75" customHeight="1">
      <c r="A153" s="221"/>
      <c r="B153" s="221"/>
      <c r="C153" s="220"/>
      <c r="D153" s="220"/>
      <c r="E153" s="221"/>
      <c r="F153" s="220"/>
      <c r="G153" s="220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</row>
    <row r="154" spans="1:26" ht="15.75" customHeight="1">
      <c r="A154" s="221"/>
      <c r="B154" s="221"/>
      <c r="C154" s="220"/>
      <c r="D154" s="220"/>
      <c r="E154" s="221"/>
      <c r="F154" s="220"/>
      <c r="G154" s="220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</row>
    <row r="155" spans="1:26" ht="15.75" customHeight="1">
      <c r="A155" s="221"/>
      <c r="B155" s="221"/>
      <c r="C155" s="220"/>
      <c r="D155" s="220"/>
      <c r="E155" s="221"/>
      <c r="F155" s="220"/>
      <c r="G155" s="220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</row>
    <row r="156" spans="1:26" ht="15.75" customHeight="1">
      <c r="A156" s="221"/>
      <c r="B156" s="221"/>
      <c r="C156" s="220"/>
      <c r="D156" s="220"/>
      <c r="E156" s="221"/>
      <c r="F156" s="220"/>
      <c r="G156" s="220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</row>
    <row r="157" spans="1:26" ht="15.75" customHeight="1">
      <c r="A157" s="221"/>
      <c r="B157" s="221"/>
      <c r="C157" s="220"/>
      <c r="D157" s="220"/>
      <c r="E157" s="221"/>
      <c r="F157" s="220"/>
      <c r="G157" s="220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</row>
    <row r="158" spans="1:26" ht="15.75" customHeight="1">
      <c r="A158" s="221"/>
      <c r="B158" s="221"/>
      <c r="C158" s="220"/>
      <c r="D158" s="220"/>
      <c r="E158" s="221"/>
      <c r="F158" s="220"/>
      <c r="G158" s="220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</row>
    <row r="159" spans="1:26" ht="15.75" customHeight="1">
      <c r="A159" s="221"/>
      <c r="B159" s="221"/>
      <c r="C159" s="220"/>
      <c r="D159" s="220"/>
      <c r="E159" s="221"/>
      <c r="F159" s="220"/>
      <c r="G159" s="220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</row>
    <row r="160" spans="1:26" ht="15.75" customHeight="1">
      <c r="A160" s="221"/>
      <c r="B160" s="221"/>
      <c r="C160" s="220"/>
      <c r="D160" s="220"/>
      <c r="E160" s="221"/>
      <c r="F160" s="220"/>
      <c r="G160" s="220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</row>
    <row r="161" spans="1:26" ht="15.75" customHeight="1">
      <c r="A161" s="221"/>
      <c r="B161" s="221"/>
      <c r="C161" s="220"/>
      <c r="D161" s="220"/>
      <c r="E161" s="221"/>
      <c r="F161" s="220"/>
      <c r="G161" s="220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</row>
    <row r="162" spans="1:26" ht="15.75" customHeight="1">
      <c r="A162" s="221"/>
      <c r="B162" s="221"/>
      <c r="C162" s="220"/>
      <c r="D162" s="220"/>
      <c r="E162" s="221"/>
      <c r="F162" s="220"/>
      <c r="G162" s="220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</row>
    <row r="163" spans="1:26" ht="15.75" customHeight="1">
      <c r="A163" s="221"/>
      <c r="B163" s="221"/>
      <c r="C163" s="220"/>
      <c r="D163" s="220"/>
      <c r="E163" s="221"/>
      <c r="F163" s="220"/>
      <c r="G163" s="220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</row>
    <row r="164" spans="1:26" ht="15.75" customHeight="1">
      <c r="A164" s="221"/>
      <c r="B164" s="221"/>
      <c r="C164" s="220"/>
      <c r="D164" s="220"/>
      <c r="E164" s="221"/>
      <c r="F164" s="220"/>
      <c r="G164" s="220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</row>
    <row r="165" spans="1:26" ht="15.75" customHeight="1">
      <c r="A165" s="221"/>
      <c r="B165" s="221"/>
      <c r="C165" s="220"/>
      <c r="D165" s="220"/>
      <c r="E165" s="221"/>
      <c r="F165" s="220"/>
      <c r="G165" s="220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</row>
    <row r="166" spans="1:26" ht="15.75" customHeight="1">
      <c r="A166" s="221"/>
      <c r="B166" s="221"/>
      <c r="C166" s="220"/>
      <c r="D166" s="220"/>
      <c r="E166" s="221"/>
      <c r="F166" s="220"/>
      <c r="G166" s="220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</row>
    <row r="167" spans="1:26" ht="15.75" customHeight="1">
      <c r="A167" s="221"/>
      <c r="B167" s="221"/>
      <c r="C167" s="220"/>
      <c r="D167" s="220"/>
      <c r="E167" s="221"/>
      <c r="F167" s="220"/>
      <c r="G167" s="220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</row>
    <row r="168" spans="1:26" ht="15.75" customHeight="1">
      <c r="A168" s="221"/>
      <c r="B168" s="221"/>
      <c r="C168" s="220"/>
      <c r="D168" s="220"/>
      <c r="E168" s="221"/>
      <c r="F168" s="220"/>
      <c r="G168" s="220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</row>
    <row r="169" spans="1:26" ht="15.75" customHeight="1">
      <c r="A169" s="221"/>
      <c r="B169" s="221"/>
      <c r="C169" s="220"/>
      <c r="D169" s="220"/>
      <c r="E169" s="221"/>
      <c r="F169" s="220"/>
      <c r="G169" s="220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</row>
    <row r="170" spans="1:26" ht="15.75" customHeight="1">
      <c r="A170" s="221"/>
      <c r="B170" s="221"/>
      <c r="C170" s="220"/>
      <c r="D170" s="220"/>
      <c r="E170" s="221"/>
      <c r="F170" s="220"/>
      <c r="G170" s="220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</row>
    <row r="171" spans="1:26" ht="15.75" customHeight="1">
      <c r="A171" s="221"/>
      <c r="B171" s="221"/>
      <c r="C171" s="220"/>
      <c r="D171" s="220"/>
      <c r="E171" s="221"/>
      <c r="F171" s="220"/>
      <c r="G171" s="220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</row>
    <row r="172" spans="1:26" ht="15.75" customHeight="1">
      <c r="A172" s="221"/>
      <c r="B172" s="221"/>
      <c r="C172" s="220"/>
      <c r="D172" s="220"/>
      <c r="E172" s="221"/>
      <c r="F172" s="220"/>
      <c r="G172" s="220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</row>
    <row r="173" spans="1:26" ht="15.75" customHeight="1">
      <c r="A173" s="221"/>
      <c r="B173" s="221"/>
      <c r="C173" s="220"/>
      <c r="D173" s="220"/>
      <c r="E173" s="221"/>
      <c r="F173" s="220"/>
      <c r="G173" s="220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</row>
    <row r="174" spans="1:26" ht="15.75" customHeight="1">
      <c r="A174" s="221"/>
      <c r="B174" s="221"/>
      <c r="C174" s="220"/>
      <c r="D174" s="220"/>
      <c r="E174" s="221"/>
      <c r="F174" s="220"/>
      <c r="G174" s="220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</row>
    <row r="175" spans="1:26" ht="15.75" customHeight="1">
      <c r="A175" s="221"/>
      <c r="B175" s="221"/>
      <c r="C175" s="220"/>
      <c r="D175" s="220"/>
      <c r="E175" s="221"/>
      <c r="F175" s="220"/>
      <c r="G175" s="220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</row>
    <row r="176" spans="1:26" ht="15.75" customHeight="1">
      <c r="A176" s="221"/>
      <c r="B176" s="221"/>
      <c r="C176" s="220"/>
      <c r="D176" s="220"/>
      <c r="E176" s="221"/>
      <c r="F176" s="220"/>
      <c r="G176" s="220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</row>
    <row r="177" spans="1:26" ht="15.75" customHeight="1">
      <c r="A177" s="221"/>
      <c r="B177" s="221"/>
      <c r="C177" s="220"/>
      <c r="D177" s="220"/>
      <c r="E177" s="221"/>
      <c r="F177" s="220"/>
      <c r="G177" s="220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</row>
    <row r="178" spans="1:26" ht="15.75" customHeight="1">
      <c r="A178" s="221"/>
      <c r="B178" s="221"/>
      <c r="C178" s="220"/>
      <c r="D178" s="220"/>
      <c r="E178" s="221"/>
      <c r="F178" s="220"/>
      <c r="G178" s="220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</row>
    <row r="179" spans="1:26" ht="15.75" customHeight="1">
      <c r="A179" s="221"/>
      <c r="B179" s="221"/>
      <c r="C179" s="220"/>
      <c r="D179" s="220"/>
      <c r="E179" s="221"/>
      <c r="F179" s="220"/>
      <c r="G179" s="220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</row>
    <row r="180" spans="1:26" ht="15.75" customHeight="1">
      <c r="A180" s="221"/>
      <c r="B180" s="221"/>
      <c r="C180" s="220"/>
      <c r="D180" s="220"/>
      <c r="E180" s="221"/>
      <c r="F180" s="220"/>
      <c r="G180" s="220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</row>
    <row r="181" spans="1:26" ht="15.75" customHeight="1">
      <c r="A181" s="221"/>
      <c r="B181" s="221"/>
      <c r="C181" s="220"/>
      <c r="D181" s="220"/>
      <c r="E181" s="221"/>
      <c r="F181" s="220"/>
      <c r="G181" s="220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</row>
    <row r="182" spans="1:26" ht="15.75" customHeight="1">
      <c r="A182" s="221"/>
      <c r="B182" s="221"/>
      <c r="C182" s="220"/>
      <c r="D182" s="220"/>
      <c r="E182" s="221"/>
      <c r="F182" s="220"/>
      <c r="G182" s="220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</row>
    <row r="183" spans="1:26" ht="15.75" customHeight="1">
      <c r="A183" s="221"/>
      <c r="B183" s="221"/>
      <c r="C183" s="220"/>
      <c r="D183" s="220"/>
      <c r="E183" s="221"/>
      <c r="F183" s="220"/>
      <c r="G183" s="220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</row>
    <row r="184" spans="1:26" ht="15.75" customHeight="1">
      <c r="A184" s="221"/>
      <c r="B184" s="221"/>
      <c r="C184" s="220"/>
      <c r="D184" s="220"/>
      <c r="E184" s="221"/>
      <c r="F184" s="220"/>
      <c r="G184" s="220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</row>
    <row r="185" spans="1:26" ht="15.75" customHeight="1">
      <c r="A185" s="221"/>
      <c r="B185" s="221"/>
      <c r="C185" s="220"/>
      <c r="D185" s="220"/>
      <c r="E185" s="221"/>
      <c r="F185" s="220"/>
      <c r="G185" s="220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</row>
    <row r="186" spans="1:26" ht="15.75" customHeight="1">
      <c r="A186" s="221"/>
      <c r="B186" s="221"/>
      <c r="C186" s="220"/>
      <c r="D186" s="220"/>
      <c r="E186" s="221"/>
      <c r="F186" s="220"/>
      <c r="G186" s="220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</row>
    <row r="187" spans="1:26" ht="15.75" customHeight="1">
      <c r="A187" s="221"/>
      <c r="B187" s="221"/>
      <c r="C187" s="220"/>
      <c r="D187" s="220"/>
      <c r="E187" s="221"/>
      <c r="F187" s="220"/>
      <c r="G187" s="220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</row>
    <row r="188" spans="1:26" ht="15.75" customHeight="1">
      <c r="A188" s="221"/>
      <c r="B188" s="221"/>
      <c r="C188" s="220"/>
      <c r="D188" s="220"/>
      <c r="E188" s="221"/>
      <c r="F188" s="220"/>
      <c r="G188" s="220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</row>
    <row r="189" spans="1:26" ht="15.75" customHeight="1">
      <c r="A189" s="221"/>
      <c r="B189" s="221"/>
      <c r="C189" s="220"/>
      <c r="D189" s="220"/>
      <c r="E189" s="221"/>
      <c r="F189" s="220"/>
      <c r="G189" s="220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</row>
    <row r="190" spans="1:26" ht="15.75" customHeight="1">
      <c r="A190" s="221"/>
      <c r="B190" s="221"/>
      <c r="C190" s="220"/>
      <c r="D190" s="220"/>
      <c r="E190" s="221"/>
      <c r="F190" s="220"/>
      <c r="G190" s="220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</row>
    <row r="191" spans="1:26" ht="15.75" customHeight="1">
      <c r="A191" s="221"/>
      <c r="B191" s="221"/>
      <c r="C191" s="220"/>
      <c r="D191" s="220"/>
      <c r="E191" s="221"/>
      <c r="F191" s="220"/>
      <c r="G191" s="220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</row>
    <row r="192" spans="1:26" ht="15.75" customHeight="1">
      <c r="A192" s="221"/>
      <c r="B192" s="221"/>
      <c r="C192" s="220"/>
      <c r="D192" s="220"/>
      <c r="E192" s="221"/>
      <c r="F192" s="220"/>
      <c r="G192" s="220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</row>
    <row r="193" spans="1:26" ht="15.75" customHeight="1">
      <c r="A193" s="221"/>
      <c r="B193" s="221"/>
      <c r="C193" s="220"/>
      <c r="D193" s="220"/>
      <c r="E193" s="221"/>
      <c r="F193" s="220"/>
      <c r="G193" s="220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</row>
    <row r="194" spans="1:26" ht="15.75" customHeight="1">
      <c r="A194" s="221"/>
      <c r="B194" s="221"/>
      <c r="C194" s="220"/>
      <c r="D194" s="220"/>
      <c r="E194" s="221"/>
      <c r="F194" s="220"/>
      <c r="G194" s="220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</row>
    <row r="195" spans="1:26" ht="15.75" customHeight="1">
      <c r="A195" s="221"/>
      <c r="B195" s="221"/>
      <c r="C195" s="220"/>
      <c r="D195" s="220"/>
      <c r="E195" s="221"/>
      <c r="F195" s="220"/>
      <c r="G195" s="220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</row>
    <row r="196" spans="1:26" ht="15.75" customHeight="1">
      <c r="A196" s="221"/>
      <c r="B196" s="221"/>
      <c r="C196" s="220"/>
      <c r="D196" s="220"/>
      <c r="E196" s="221"/>
      <c r="F196" s="220"/>
      <c r="G196" s="220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</row>
    <row r="197" spans="1:26" ht="15.75" customHeight="1">
      <c r="A197" s="221"/>
      <c r="B197" s="221"/>
      <c r="C197" s="220"/>
      <c r="D197" s="220"/>
      <c r="E197" s="221"/>
      <c r="F197" s="220"/>
      <c r="G197" s="220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</row>
    <row r="198" spans="1:26" ht="15.75" customHeight="1">
      <c r="A198" s="221"/>
      <c r="B198" s="221"/>
      <c r="C198" s="220"/>
      <c r="D198" s="220"/>
      <c r="E198" s="221"/>
      <c r="F198" s="220"/>
      <c r="G198" s="220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</row>
    <row r="199" spans="1:26" ht="15.75" customHeight="1">
      <c r="A199" s="221"/>
      <c r="B199" s="221"/>
      <c r="C199" s="220"/>
      <c r="D199" s="220"/>
      <c r="E199" s="221"/>
      <c r="F199" s="220"/>
      <c r="G199" s="220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</row>
    <row r="200" spans="1:26" ht="15.75" customHeight="1">
      <c r="A200" s="221"/>
      <c r="B200" s="221"/>
      <c r="C200" s="220"/>
      <c r="D200" s="220"/>
      <c r="E200" s="221"/>
      <c r="F200" s="220"/>
      <c r="G200" s="220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</row>
    <row r="201" spans="1:26" ht="15.75" customHeight="1">
      <c r="A201" s="221"/>
      <c r="B201" s="221"/>
      <c r="C201" s="220"/>
      <c r="D201" s="220"/>
      <c r="E201" s="221"/>
      <c r="F201" s="220"/>
      <c r="G201" s="220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</row>
    <row r="202" spans="1:26" ht="15.75" customHeight="1">
      <c r="A202" s="221"/>
      <c r="B202" s="221"/>
      <c r="C202" s="220"/>
      <c r="D202" s="220"/>
      <c r="E202" s="221"/>
      <c r="F202" s="220"/>
      <c r="G202" s="220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</row>
    <row r="203" spans="1:26" ht="15.75" customHeight="1">
      <c r="A203" s="221"/>
      <c r="B203" s="221"/>
      <c r="C203" s="220"/>
      <c r="D203" s="220"/>
      <c r="E203" s="221"/>
      <c r="F203" s="220"/>
      <c r="G203" s="220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</row>
    <row r="204" spans="1:26" ht="15.75" customHeight="1">
      <c r="A204" s="221"/>
      <c r="B204" s="221"/>
      <c r="C204" s="220"/>
      <c r="D204" s="220"/>
      <c r="E204" s="221"/>
      <c r="F204" s="220"/>
      <c r="G204" s="220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</row>
    <row r="205" spans="1:26" ht="15.75" customHeight="1">
      <c r="A205" s="221"/>
      <c r="B205" s="221"/>
      <c r="C205" s="220"/>
      <c r="D205" s="220"/>
      <c r="E205" s="221"/>
      <c r="F205" s="220"/>
      <c r="G205" s="220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</row>
    <row r="206" spans="1:26" ht="15.75" customHeight="1">
      <c r="A206" s="221"/>
      <c r="B206" s="221"/>
      <c r="C206" s="220"/>
      <c r="D206" s="220"/>
      <c r="E206" s="221"/>
      <c r="F206" s="220"/>
      <c r="G206" s="220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</row>
    <row r="207" spans="1:26" ht="15.75" customHeight="1">
      <c r="A207" s="221"/>
      <c r="B207" s="221"/>
      <c r="C207" s="220"/>
      <c r="D207" s="220"/>
      <c r="E207" s="221"/>
      <c r="F207" s="220"/>
      <c r="G207" s="220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</row>
    <row r="208" spans="1:26" ht="15.75" customHeight="1">
      <c r="A208" s="221"/>
      <c r="B208" s="221"/>
      <c r="C208" s="220"/>
      <c r="D208" s="220"/>
      <c r="E208" s="221"/>
      <c r="F208" s="220"/>
      <c r="G208" s="220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</row>
    <row r="209" spans="1:26" ht="15.75" customHeight="1">
      <c r="A209" s="221"/>
      <c r="B209" s="221"/>
      <c r="C209" s="220"/>
      <c r="D209" s="220"/>
      <c r="E209" s="221"/>
      <c r="F209" s="220"/>
      <c r="G209" s="220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</row>
    <row r="210" spans="1:26" ht="15.75" customHeight="1">
      <c r="A210" s="221"/>
      <c r="B210" s="221"/>
      <c r="C210" s="220"/>
      <c r="D210" s="220"/>
      <c r="E210" s="221"/>
      <c r="F210" s="220"/>
      <c r="G210" s="220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</row>
    <row r="211" spans="1:26" ht="15.75" customHeight="1">
      <c r="A211" s="221"/>
      <c r="B211" s="221"/>
      <c r="C211" s="220"/>
      <c r="D211" s="220"/>
      <c r="E211" s="221"/>
      <c r="F211" s="220"/>
      <c r="G211" s="220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</row>
    <row r="212" spans="1:26" ht="15.75" customHeight="1">
      <c r="A212" s="221"/>
      <c r="B212" s="221"/>
      <c r="C212" s="220"/>
      <c r="D212" s="220"/>
      <c r="E212" s="221"/>
      <c r="F212" s="220"/>
      <c r="G212" s="220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</row>
    <row r="213" spans="1:26" ht="15.75" customHeight="1">
      <c r="A213" s="221"/>
      <c r="B213" s="221"/>
      <c r="C213" s="220"/>
      <c r="D213" s="220"/>
      <c r="E213" s="221"/>
      <c r="F213" s="220"/>
      <c r="G213" s="220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</row>
    <row r="214" spans="1:26" ht="15.75" customHeight="1">
      <c r="A214" s="221"/>
      <c r="B214" s="221"/>
      <c r="C214" s="220"/>
      <c r="D214" s="220"/>
      <c r="E214" s="221"/>
      <c r="F214" s="220"/>
      <c r="G214" s="220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</row>
    <row r="215" spans="1:26" ht="15.75" customHeight="1">
      <c r="A215" s="221"/>
      <c r="B215" s="221"/>
      <c r="C215" s="220"/>
      <c r="D215" s="220"/>
      <c r="E215" s="221"/>
      <c r="F215" s="220"/>
      <c r="G215" s="220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</row>
    <row r="216" spans="1:26" ht="15.75" customHeight="1">
      <c r="A216" s="221"/>
      <c r="B216" s="221"/>
      <c r="C216" s="220"/>
      <c r="D216" s="220"/>
      <c r="E216" s="221"/>
      <c r="F216" s="220"/>
      <c r="G216" s="220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</row>
    <row r="217" spans="1:26" ht="15.75" customHeight="1">
      <c r="A217" s="221"/>
      <c r="B217" s="221"/>
      <c r="C217" s="220"/>
      <c r="D217" s="220"/>
      <c r="E217" s="221"/>
      <c r="F217" s="220"/>
      <c r="G217" s="220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</row>
    <row r="218" spans="1:26" ht="15.75" customHeight="1">
      <c r="A218" s="221"/>
      <c r="B218" s="221"/>
      <c r="C218" s="220"/>
      <c r="D218" s="220"/>
      <c r="E218" s="221"/>
      <c r="F218" s="220"/>
      <c r="G218" s="220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</row>
    <row r="219" spans="1:26" ht="15.75" customHeight="1">
      <c r="A219" s="221"/>
      <c r="B219" s="221"/>
      <c r="C219" s="220"/>
      <c r="D219" s="220"/>
      <c r="E219" s="221"/>
      <c r="F219" s="220"/>
      <c r="G219" s="220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</row>
    <row r="220" spans="1:26" ht="15.75" customHeight="1">
      <c r="A220" s="221"/>
      <c r="B220" s="221"/>
      <c r="C220" s="220"/>
      <c r="D220" s="220"/>
      <c r="E220" s="221"/>
      <c r="F220" s="220"/>
      <c r="G220" s="220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</row>
    <row r="221" spans="1:26" ht="15.75" customHeight="1">
      <c r="A221" s="221"/>
      <c r="B221" s="221"/>
      <c r="C221" s="220"/>
      <c r="D221" s="220"/>
      <c r="E221" s="221"/>
      <c r="F221" s="220"/>
      <c r="G221" s="220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</row>
    <row r="222" spans="1:26" ht="15.75" customHeight="1">
      <c r="A222" s="221"/>
      <c r="B222" s="221"/>
      <c r="C222" s="220"/>
      <c r="D222" s="220"/>
      <c r="E222" s="221"/>
      <c r="F222" s="220"/>
      <c r="G222" s="220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</row>
    <row r="223" spans="1:26" ht="15.75" customHeight="1">
      <c r="A223" s="221"/>
      <c r="B223" s="221"/>
      <c r="C223" s="220"/>
      <c r="D223" s="220"/>
      <c r="E223" s="221"/>
      <c r="F223" s="220"/>
      <c r="G223" s="220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</row>
    <row r="224" spans="1:26" ht="15.75" customHeight="1">
      <c r="A224" s="221"/>
      <c r="B224" s="221"/>
      <c r="C224" s="220"/>
      <c r="D224" s="220"/>
      <c r="E224" s="221"/>
      <c r="F224" s="220"/>
      <c r="G224" s="220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</row>
    <row r="225" spans="1:26" ht="15.75" customHeight="1">
      <c r="A225" s="221"/>
      <c r="B225" s="221"/>
      <c r="C225" s="220"/>
      <c r="D225" s="220"/>
      <c r="E225" s="221"/>
      <c r="F225" s="220"/>
      <c r="G225" s="220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</row>
    <row r="226" spans="1:26" ht="15.75" customHeight="1">
      <c r="A226" s="221"/>
      <c r="B226" s="221"/>
      <c r="C226" s="220"/>
      <c r="D226" s="220"/>
      <c r="E226" s="221"/>
      <c r="F226" s="220"/>
      <c r="G226" s="220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</row>
    <row r="227" spans="1:26" ht="15.75" customHeight="1">
      <c r="A227" s="221"/>
      <c r="B227" s="221"/>
      <c r="C227" s="220"/>
      <c r="D227" s="220"/>
      <c r="E227" s="221"/>
      <c r="F227" s="220"/>
      <c r="G227" s="220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</row>
    <row r="228" spans="1:26" ht="15.75" customHeight="1">
      <c r="A228" s="221"/>
      <c r="B228" s="221"/>
      <c r="C228" s="220"/>
      <c r="D228" s="220"/>
      <c r="E228" s="221"/>
      <c r="F228" s="220"/>
      <c r="G228" s="220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</row>
    <row r="229" spans="1:26" ht="15.75" customHeight="1">
      <c r="A229" s="221"/>
      <c r="B229" s="221"/>
      <c r="C229" s="220"/>
      <c r="D229" s="220"/>
      <c r="E229" s="221"/>
      <c r="F229" s="220"/>
      <c r="G229" s="220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</row>
    <row r="230" spans="1:26" ht="15.75" customHeight="1">
      <c r="A230" s="221"/>
      <c r="B230" s="221"/>
      <c r="C230" s="220"/>
      <c r="D230" s="220"/>
      <c r="E230" s="221"/>
      <c r="F230" s="220"/>
      <c r="G230" s="220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</row>
    <row r="231" spans="1:26" ht="15.75" customHeight="1">
      <c r="A231" s="221"/>
      <c r="B231" s="221"/>
      <c r="C231" s="220"/>
      <c r="D231" s="220"/>
      <c r="E231" s="221"/>
      <c r="F231" s="220"/>
      <c r="G231" s="220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</row>
    <row r="232" spans="1:26" ht="15.75" customHeight="1">
      <c r="A232" s="221"/>
      <c r="B232" s="221"/>
      <c r="C232" s="220"/>
      <c r="D232" s="220"/>
      <c r="E232" s="221"/>
      <c r="F232" s="220"/>
      <c r="G232" s="220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</row>
    <row r="233" spans="1:26" ht="15.75" customHeight="1">
      <c r="A233" s="221"/>
      <c r="B233" s="221"/>
      <c r="C233" s="220"/>
      <c r="D233" s="220"/>
      <c r="E233" s="221"/>
      <c r="F233" s="220"/>
      <c r="G233" s="220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</row>
    <row r="234" spans="1:26" ht="15.75" customHeight="1">
      <c r="A234" s="221"/>
      <c r="B234" s="221"/>
      <c r="C234" s="220"/>
      <c r="D234" s="220"/>
      <c r="E234" s="221"/>
      <c r="F234" s="220"/>
      <c r="G234" s="220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</row>
    <row r="235" spans="1:26" ht="15.75" customHeight="1">
      <c r="A235" s="221"/>
      <c r="B235" s="221"/>
      <c r="C235" s="220"/>
      <c r="D235" s="220"/>
      <c r="E235" s="221"/>
      <c r="F235" s="220"/>
      <c r="G235" s="220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</row>
    <row r="236" spans="1:26" ht="15.75" customHeight="1">
      <c r="A236" s="221"/>
      <c r="B236" s="221"/>
      <c r="C236" s="220"/>
      <c r="D236" s="220"/>
      <c r="E236" s="221"/>
      <c r="F236" s="220"/>
      <c r="G236" s="220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</row>
    <row r="237" spans="1:26" ht="15.75" customHeight="1">
      <c r="A237" s="221"/>
      <c r="B237" s="221"/>
      <c r="C237" s="220"/>
      <c r="D237" s="220"/>
      <c r="E237" s="221"/>
      <c r="F237" s="220"/>
      <c r="G237" s="220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</row>
    <row r="238" spans="1:26" ht="15.75" customHeight="1">
      <c r="A238" s="221"/>
      <c r="B238" s="221"/>
      <c r="C238" s="220"/>
      <c r="D238" s="220"/>
      <c r="E238" s="221"/>
      <c r="F238" s="220"/>
      <c r="G238" s="220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</row>
    <row r="239" spans="1:26" ht="15.75" customHeight="1">
      <c r="A239" s="221"/>
      <c r="B239" s="221"/>
      <c r="C239" s="220"/>
      <c r="D239" s="220"/>
      <c r="E239" s="221"/>
      <c r="F239" s="220"/>
      <c r="G239" s="220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</row>
    <row r="240" spans="1:26" ht="15.75" customHeight="1">
      <c r="A240" s="221"/>
      <c r="B240" s="221"/>
      <c r="C240" s="220"/>
      <c r="D240" s="220"/>
      <c r="E240" s="221"/>
      <c r="F240" s="220"/>
      <c r="G240" s="220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</row>
    <row r="241" spans="1:26" ht="15.75" customHeight="1">
      <c r="A241" s="221"/>
      <c r="B241" s="221"/>
      <c r="C241" s="220"/>
      <c r="D241" s="220"/>
      <c r="E241" s="221"/>
      <c r="F241" s="220"/>
      <c r="G241" s="220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</row>
    <row r="242" spans="1:26" ht="15.75" customHeight="1">
      <c r="A242" s="221"/>
      <c r="B242" s="221"/>
      <c r="C242" s="220"/>
      <c r="D242" s="220"/>
      <c r="E242" s="221"/>
      <c r="F242" s="220"/>
      <c r="G242" s="220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</row>
    <row r="243" spans="1:26" ht="15.75" customHeight="1">
      <c r="A243" s="221"/>
      <c r="B243" s="221"/>
      <c r="C243" s="220"/>
      <c r="D243" s="220"/>
      <c r="E243" s="221"/>
      <c r="F243" s="220"/>
      <c r="G243" s="220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</row>
    <row r="244" spans="1:26" ht="15.75" customHeight="1">
      <c r="A244" s="221"/>
      <c r="B244" s="221"/>
      <c r="C244" s="220"/>
      <c r="D244" s="220"/>
      <c r="E244" s="221"/>
      <c r="F244" s="220"/>
      <c r="G244" s="220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</row>
    <row r="245" spans="1:26" ht="15.75" customHeight="1">
      <c r="A245" s="221"/>
      <c r="B245" s="221"/>
      <c r="C245" s="220"/>
      <c r="D245" s="220"/>
      <c r="E245" s="221"/>
      <c r="F245" s="220"/>
      <c r="G245" s="220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</row>
    <row r="246" spans="1:26" ht="15.75" customHeight="1">
      <c r="A246" s="221"/>
      <c r="B246" s="221"/>
      <c r="C246" s="220"/>
      <c r="D246" s="220"/>
      <c r="E246" s="221"/>
      <c r="F246" s="220"/>
      <c r="G246" s="220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</row>
    <row r="247" spans="1:26" ht="15.75" customHeight="1">
      <c r="A247" s="221"/>
      <c r="B247" s="221"/>
      <c r="C247" s="220"/>
      <c r="D247" s="220"/>
      <c r="E247" s="221"/>
      <c r="F247" s="220"/>
      <c r="G247" s="220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</row>
    <row r="248" spans="1:26" ht="15.75" customHeight="1">
      <c r="A248" s="221"/>
      <c r="B248" s="221"/>
      <c r="C248" s="220"/>
      <c r="D248" s="220"/>
      <c r="E248" s="221"/>
      <c r="F248" s="220"/>
      <c r="G248" s="220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</row>
    <row r="249" spans="1:26" ht="15.75" customHeight="1">
      <c r="A249" s="221"/>
      <c r="B249" s="221"/>
      <c r="C249" s="220"/>
      <c r="D249" s="220"/>
      <c r="E249" s="221"/>
      <c r="F249" s="220"/>
      <c r="G249" s="220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</row>
    <row r="250" spans="1:26" ht="15.75" customHeight="1">
      <c r="A250" s="221"/>
      <c r="B250" s="221"/>
      <c r="C250" s="220"/>
      <c r="D250" s="220"/>
      <c r="E250" s="221"/>
      <c r="F250" s="220"/>
      <c r="G250" s="220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</row>
    <row r="251" spans="1:26" ht="15.75" customHeight="1">
      <c r="A251" s="221"/>
      <c r="B251" s="221"/>
      <c r="C251" s="220"/>
      <c r="D251" s="220"/>
      <c r="E251" s="221"/>
      <c r="F251" s="220"/>
      <c r="G251" s="220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</row>
    <row r="252" spans="1:26" ht="15.75" customHeight="1">
      <c r="A252" s="221"/>
      <c r="B252" s="221"/>
      <c r="C252" s="220"/>
      <c r="D252" s="220"/>
      <c r="E252" s="221"/>
      <c r="F252" s="220"/>
      <c r="G252" s="220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</row>
    <row r="253" spans="1:26" ht="15.75" customHeight="1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</row>
    <row r="254" spans="1:26" ht="15.75" customHeight="1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</row>
    <row r="255" spans="1:26" ht="15.75" customHeight="1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</row>
    <row r="256" spans="1:26" ht="15.75" customHeight="1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</row>
    <row r="257" spans="1:26" ht="15.75" customHeight="1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</row>
    <row r="258" spans="1:26" ht="15.75" customHeight="1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</row>
    <row r="259" spans="1:26" ht="15.75" customHeight="1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</row>
    <row r="260" spans="1:26" ht="15.75" customHeight="1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</row>
    <row r="261" spans="1:26" ht="15.75" customHeight="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</row>
    <row r="262" spans="1:26" ht="15.75" customHeight="1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</row>
    <row r="263" spans="1:26" ht="15.75" customHeight="1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</row>
    <row r="264" spans="1:26" ht="15.75" customHeight="1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</row>
    <row r="265" spans="1:26" ht="15.75" customHeight="1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</row>
    <row r="266" spans="1:26" ht="15.75" customHeight="1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</row>
    <row r="267" spans="1:26" ht="15.75" customHeight="1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</row>
    <row r="268" spans="1:26" ht="15.75" customHeight="1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</row>
    <row r="269" spans="1:26" ht="15.75" customHeight="1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</row>
    <row r="270" spans="1:26" ht="15.75" customHeight="1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</row>
    <row r="271" spans="1:26" ht="15.75" customHeight="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</row>
    <row r="272" spans="1:26" ht="15.75" customHeight="1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</row>
    <row r="273" spans="1:26" ht="15.75" customHeight="1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</row>
    <row r="274" spans="1:26" ht="15.75" customHeight="1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</row>
    <row r="275" spans="1:26" ht="15.75" customHeight="1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</row>
    <row r="276" spans="1:26" ht="15.75" customHeight="1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</row>
    <row r="277" spans="1:26" ht="15.75" customHeight="1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</row>
    <row r="278" spans="1:26" ht="15.75" customHeight="1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</row>
    <row r="279" spans="1:26" ht="15.75" customHeight="1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</row>
    <row r="280" spans="1:26" ht="15.75" customHeight="1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</row>
    <row r="281" spans="1:26" ht="15.75" customHeight="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</row>
    <row r="282" spans="1:26" ht="15.75" customHeight="1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</row>
    <row r="283" spans="1:26" ht="15.75" customHeight="1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</row>
    <row r="284" spans="1:26" ht="15.75" customHeight="1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</row>
    <row r="285" spans="1:26" ht="15.75" customHeight="1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</row>
    <row r="286" spans="1:26" ht="15.75" customHeight="1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</row>
    <row r="287" spans="1:26" ht="15.75" customHeight="1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</row>
    <row r="288" spans="1:26" ht="15.75" customHeight="1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</row>
    <row r="289" spans="1:26" ht="15.75" customHeight="1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</row>
    <row r="290" spans="1:26" ht="15.75" customHeight="1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</row>
    <row r="291" spans="1:26" ht="15.75" customHeight="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</row>
    <row r="292" spans="1:26" ht="15.75" customHeight="1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</row>
    <row r="293" spans="1:26" ht="15.75" customHeight="1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</row>
    <row r="294" spans="1:26" ht="15.75" customHeight="1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</row>
    <row r="295" spans="1:26" ht="15.75" customHeight="1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</row>
    <row r="296" spans="1:26" ht="15.75" customHeight="1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</row>
    <row r="297" spans="1:26" ht="15.75" customHeight="1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</row>
    <row r="298" spans="1:26" ht="15.75" customHeight="1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</row>
    <row r="299" spans="1:26" ht="15.75" customHeight="1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</row>
    <row r="300" spans="1:26" ht="15.75" customHeight="1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</row>
    <row r="301" spans="1:26" ht="15.75" customHeight="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</row>
    <row r="302" spans="1:26" ht="15.75" customHeight="1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</row>
    <row r="303" spans="1:26" ht="15.75" customHeight="1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</row>
    <row r="304" spans="1:26" ht="15.75" customHeight="1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</row>
    <row r="305" spans="1:26" ht="15.75" customHeight="1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</row>
    <row r="306" spans="1:26" ht="15.75" customHeight="1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</row>
    <row r="307" spans="1:26" ht="15.75" customHeight="1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</row>
    <row r="308" spans="1:26" ht="15.75" customHeight="1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</row>
    <row r="309" spans="1:26" ht="15.75" customHeight="1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</row>
    <row r="310" spans="1:26" ht="15.75" customHeight="1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</row>
    <row r="311" spans="1:26" ht="15.75" customHeight="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</row>
    <row r="312" spans="1:26" ht="15.75" customHeight="1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</row>
    <row r="313" spans="1:26" ht="15.75" customHeight="1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</row>
    <row r="314" spans="1:26" ht="15.75" customHeight="1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</row>
    <row r="315" spans="1:26" ht="15.75" customHeight="1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</row>
    <row r="316" spans="1:26" ht="15.75" customHeight="1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</row>
    <row r="317" spans="1:26" ht="15.75" customHeight="1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</row>
    <row r="318" spans="1:26" ht="15.75" customHeight="1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</row>
    <row r="319" spans="1:26" ht="15.75" customHeight="1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</row>
    <row r="320" spans="1:26" ht="15.75" customHeight="1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</row>
    <row r="321" spans="1:26" ht="15.75" customHeight="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</row>
    <row r="322" spans="1:26" ht="15.75" customHeight="1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</row>
    <row r="323" spans="1:26" ht="15.75" customHeight="1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</row>
    <row r="324" spans="1:26" ht="15.75" customHeight="1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</row>
    <row r="325" spans="1:26" ht="15.75" customHeight="1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</row>
    <row r="326" spans="1:26" ht="15.75" customHeight="1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</row>
    <row r="327" spans="1:26" ht="15.75" customHeight="1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</row>
    <row r="328" spans="1:26" ht="15.75" customHeight="1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</row>
    <row r="329" spans="1:26" ht="15.75" customHeight="1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</row>
    <row r="330" spans="1:26" ht="15.75" customHeight="1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</row>
    <row r="331" spans="1:26" ht="15.75" customHeight="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</row>
    <row r="332" spans="1:26" ht="15.75" customHeight="1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</row>
    <row r="333" spans="1:26" ht="15.75" customHeight="1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</row>
    <row r="334" spans="1:26" ht="15.75" customHeight="1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</row>
    <row r="335" spans="1:26" ht="15.75" customHeight="1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</row>
    <row r="336" spans="1:26" ht="15.75" customHeight="1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</row>
    <row r="337" spans="1:26" ht="15.75" customHeight="1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</row>
    <row r="338" spans="1:26" ht="15.75" customHeight="1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</row>
    <row r="339" spans="1:26" ht="15.75" customHeight="1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</row>
    <row r="340" spans="1:26" ht="15.75" customHeight="1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</row>
    <row r="341" spans="1:26" ht="15.75" customHeight="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</row>
    <row r="342" spans="1:26" ht="15.75" customHeight="1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</row>
    <row r="343" spans="1:26" ht="15.75" customHeight="1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</row>
    <row r="344" spans="1:26" ht="15.75" customHeight="1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</row>
    <row r="345" spans="1:26" ht="15.75" customHeight="1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</row>
    <row r="346" spans="1:26" ht="15.75" customHeight="1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</row>
    <row r="347" spans="1:26" ht="15.75" customHeight="1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</row>
    <row r="348" spans="1:26" ht="15.75" customHeight="1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</row>
    <row r="349" spans="1:26" ht="15.75" customHeight="1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</row>
    <row r="350" spans="1:26" ht="15.75" customHeight="1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</row>
    <row r="351" spans="1:26" ht="15.75" customHeight="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</row>
    <row r="352" spans="1:26" ht="15.75" customHeight="1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</row>
    <row r="353" spans="1:26" ht="15.75" customHeight="1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</row>
    <row r="354" spans="1:26" ht="15.75" customHeight="1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</row>
    <row r="355" spans="1:26" ht="15.75" customHeight="1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</row>
    <row r="356" spans="1:26" ht="15.75" customHeight="1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</row>
    <row r="357" spans="1:26" ht="15.75" customHeight="1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</row>
    <row r="358" spans="1:26" ht="15.75" customHeight="1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</row>
    <row r="359" spans="1:26" ht="15.75" customHeight="1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</row>
    <row r="360" spans="1:26" ht="15.75" customHeight="1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</row>
    <row r="361" spans="1:26" ht="15.75" customHeight="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</row>
    <row r="362" spans="1:26" ht="15.75" customHeight="1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</row>
    <row r="363" spans="1:26" ht="15.75" customHeight="1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</row>
    <row r="364" spans="1:26" ht="15.75" customHeight="1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</row>
    <row r="365" spans="1:26" ht="15.75" customHeight="1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</row>
    <row r="366" spans="1:26" ht="15.75" customHeight="1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</row>
    <row r="367" spans="1:26" ht="15.75" customHeight="1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</row>
    <row r="368" spans="1:26" ht="15.75" customHeight="1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</row>
    <row r="369" spans="1:26" ht="15.75" customHeight="1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</row>
    <row r="370" spans="1:26" ht="15.75" customHeight="1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</row>
    <row r="371" spans="1:26" ht="15.75" customHeight="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</row>
    <row r="372" spans="1:26" ht="15.75" customHeight="1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</row>
    <row r="373" spans="1:26" ht="15.75" customHeight="1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</row>
    <row r="374" spans="1:26" ht="15.75" customHeight="1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</row>
    <row r="375" spans="1:26" ht="15.75" customHeight="1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</row>
    <row r="376" spans="1:26" ht="15.75" customHeight="1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</row>
    <row r="377" spans="1:26" ht="15.75" customHeight="1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</row>
    <row r="378" spans="1:26" ht="15.75" customHeight="1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</row>
    <row r="379" spans="1:26" ht="15.75" customHeight="1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</row>
    <row r="380" spans="1:26" ht="15.75" customHeight="1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</row>
    <row r="381" spans="1:26" ht="15.75" customHeight="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</row>
    <row r="382" spans="1:26" ht="15.75" customHeight="1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</row>
    <row r="383" spans="1:26" ht="15.75" customHeight="1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</row>
    <row r="384" spans="1:26" ht="15.75" customHeight="1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</row>
    <row r="385" spans="1:26" ht="15.75" customHeight="1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</row>
    <row r="386" spans="1:26" ht="15.75" customHeight="1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</row>
    <row r="387" spans="1:26" ht="15.75" customHeight="1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</row>
    <row r="388" spans="1:26" ht="15.75" customHeight="1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</row>
    <row r="389" spans="1:26" ht="15.75" customHeight="1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</row>
    <row r="390" spans="1:26" ht="15.75" customHeight="1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</row>
    <row r="391" spans="1:26" ht="15.75" customHeight="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</row>
    <row r="392" spans="1:26" ht="15.75" customHeight="1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</row>
    <row r="393" spans="1:26" ht="15.75" customHeight="1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</row>
    <row r="394" spans="1:26" ht="15.75" customHeight="1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</row>
    <row r="395" spans="1:26" ht="15.75" customHeight="1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</row>
    <row r="396" spans="1:26" ht="15.75" customHeight="1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</row>
    <row r="397" spans="1:26" ht="15.75" customHeight="1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</row>
    <row r="398" spans="1:26" ht="15.75" customHeight="1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</row>
    <row r="399" spans="1:26" ht="15.75" customHeight="1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</row>
    <row r="400" spans="1:26" ht="15.75" customHeight="1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</row>
    <row r="401" spans="1:26" ht="15.75" customHeight="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</row>
    <row r="402" spans="1:26" ht="15.75" customHeight="1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</row>
    <row r="403" spans="1:26" ht="15.75" customHeight="1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</row>
    <row r="404" spans="1:26" ht="15.75" customHeight="1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</row>
    <row r="405" spans="1:26" ht="15.75" customHeight="1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</row>
    <row r="406" spans="1:26" ht="15.75" customHeight="1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</row>
    <row r="407" spans="1:26" ht="15.75" customHeight="1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</row>
    <row r="408" spans="1:26" ht="15.75" customHeight="1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</row>
    <row r="409" spans="1:26" ht="15.75" customHeight="1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</row>
    <row r="410" spans="1:26" ht="15.75" customHeight="1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</row>
    <row r="411" spans="1:26" ht="15.75" customHeight="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</row>
    <row r="412" spans="1:26" ht="15.75" customHeight="1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</row>
    <row r="413" spans="1:26" ht="15.75" customHeight="1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</row>
    <row r="414" spans="1:26" ht="15.75" customHeight="1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</row>
    <row r="415" spans="1:26" ht="15.75" customHeight="1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</row>
    <row r="416" spans="1:26" ht="15.75" customHeight="1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</row>
    <row r="417" spans="1:26" ht="15.75" customHeight="1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</row>
    <row r="418" spans="1:26" ht="15.75" customHeight="1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</row>
    <row r="419" spans="1:26" ht="15.75" customHeight="1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</row>
    <row r="420" spans="1:26" ht="15.75" customHeight="1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</row>
    <row r="421" spans="1:26" ht="15.75" customHeight="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</row>
    <row r="422" spans="1:26" ht="15.75" customHeight="1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</row>
    <row r="423" spans="1:26" ht="15.75" customHeight="1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</row>
    <row r="424" spans="1:26" ht="15.75" customHeight="1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</row>
    <row r="425" spans="1:26" ht="15.75" customHeight="1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</row>
    <row r="426" spans="1:26" ht="15.75" customHeight="1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</row>
    <row r="427" spans="1:26" ht="15.75" customHeight="1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</row>
    <row r="428" spans="1:26" ht="15.75" customHeight="1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</row>
    <row r="429" spans="1:26" ht="15.75" customHeight="1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</row>
    <row r="430" spans="1:26" ht="15.75" customHeight="1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</row>
    <row r="431" spans="1:26" ht="15.75" customHeight="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</row>
    <row r="432" spans="1:26" ht="15.75" customHeight="1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</row>
    <row r="433" spans="1:26" ht="15.75" customHeight="1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</row>
    <row r="434" spans="1:26" ht="15.75" customHeight="1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</row>
    <row r="435" spans="1:26" ht="15.75" customHeight="1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</row>
    <row r="436" spans="1:26" ht="15.75" customHeight="1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</row>
    <row r="437" spans="1:26" ht="15.75" customHeight="1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</row>
    <row r="438" spans="1:26" ht="15.75" customHeight="1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</row>
    <row r="439" spans="1:26" ht="15.75" customHeight="1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</row>
    <row r="440" spans="1:26" ht="15.75" customHeight="1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</row>
    <row r="441" spans="1:26" ht="15.75" customHeight="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</row>
    <row r="442" spans="1:26" ht="15.75" customHeight="1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</row>
    <row r="443" spans="1:26" ht="15.75" customHeight="1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</row>
    <row r="444" spans="1:26" ht="15.75" customHeight="1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</row>
    <row r="445" spans="1:26" ht="15.75" customHeight="1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</row>
    <row r="446" spans="1:26" ht="15.75" customHeight="1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</row>
    <row r="447" spans="1:26" ht="15.75" customHeight="1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</row>
    <row r="448" spans="1:26" ht="15.75" customHeight="1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</row>
    <row r="449" spans="1:26" ht="15.75" customHeight="1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</row>
    <row r="450" spans="1:26" ht="15.75" customHeight="1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</row>
    <row r="451" spans="1:26" ht="15.75" customHeight="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</row>
    <row r="452" spans="1:26" ht="15.75" customHeight="1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</row>
    <row r="453" spans="1:26" ht="15.75" customHeight="1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</row>
    <row r="454" spans="1:26" ht="15.75" customHeight="1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</row>
    <row r="455" spans="1:26" ht="15.75" customHeight="1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</row>
    <row r="456" spans="1:26" ht="15.75" customHeight="1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</row>
    <row r="457" spans="1:26" ht="15.75" customHeight="1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</row>
    <row r="458" spans="1:26" ht="15.75" customHeight="1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</row>
    <row r="459" spans="1:26" ht="15.75" customHeight="1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</row>
    <row r="460" spans="1:26" ht="15.75" customHeight="1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</row>
    <row r="461" spans="1:26" ht="15.75" customHeight="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</row>
    <row r="462" spans="1:26" ht="15.75" customHeight="1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</row>
    <row r="463" spans="1:26" ht="15.75" customHeight="1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</row>
    <row r="464" spans="1:26" ht="15.75" customHeight="1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</row>
    <row r="465" spans="1:26" ht="15.75" customHeight="1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</row>
    <row r="466" spans="1:26" ht="15.75" customHeight="1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</row>
    <row r="467" spans="1:26" ht="15.75" customHeight="1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</row>
    <row r="468" spans="1:26" ht="15.75" customHeight="1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</row>
    <row r="469" spans="1:26" ht="15.75" customHeight="1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</row>
    <row r="470" spans="1:26" ht="15.75" customHeight="1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</row>
    <row r="471" spans="1:26" ht="15.75" customHeight="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</row>
    <row r="472" spans="1:26" ht="15.75" customHeight="1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</row>
    <row r="473" spans="1:26" ht="15.75" customHeight="1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</row>
    <row r="474" spans="1:26" ht="15.75" customHeight="1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</row>
    <row r="475" spans="1:26" ht="15.75" customHeight="1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</row>
    <row r="476" spans="1:26" ht="15.75" customHeight="1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</row>
    <row r="477" spans="1:26" ht="15.75" customHeight="1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</row>
    <row r="478" spans="1:26" ht="15.75" customHeight="1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</row>
    <row r="479" spans="1:26" ht="15.75" customHeight="1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</row>
    <row r="480" spans="1:26" ht="15.75" customHeight="1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</row>
    <row r="481" spans="1:26" ht="15.75" customHeight="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</row>
    <row r="482" spans="1:26" ht="15.75" customHeight="1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</row>
    <row r="483" spans="1:26" ht="15.75" customHeight="1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</row>
    <row r="484" spans="1:26" ht="15.75" customHeight="1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</row>
    <row r="485" spans="1:26" ht="15.75" customHeight="1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</row>
    <row r="486" spans="1:26" ht="15.75" customHeight="1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</row>
    <row r="487" spans="1:26" ht="15.75" customHeight="1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</row>
    <row r="488" spans="1:26" ht="15.75" customHeight="1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</row>
    <row r="489" spans="1:26" ht="15.75" customHeight="1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</row>
    <row r="490" spans="1:26" ht="15.75" customHeight="1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</row>
    <row r="491" spans="1:26" ht="15.75" customHeight="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</row>
    <row r="492" spans="1:26" ht="15.75" customHeight="1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</row>
    <row r="493" spans="1:26" ht="15.75" customHeight="1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</row>
    <row r="494" spans="1:26" ht="15.75" customHeight="1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</row>
    <row r="495" spans="1:26" ht="15.75" customHeight="1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</row>
    <row r="496" spans="1:26" ht="15.75" customHeight="1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</row>
    <row r="497" spans="1:26" ht="15.75" customHeight="1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</row>
    <row r="498" spans="1:26" ht="15.75" customHeight="1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</row>
    <row r="499" spans="1:26" ht="15.75" customHeight="1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</row>
    <row r="500" spans="1:26" ht="15.75" customHeight="1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</row>
    <row r="501" spans="1:26" ht="15.75" customHeight="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</row>
    <row r="502" spans="1:26" ht="15.75" customHeight="1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</row>
    <row r="503" spans="1:26" ht="15.75" customHeight="1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</row>
    <row r="504" spans="1:26" ht="15.75" customHeight="1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</row>
    <row r="505" spans="1:26" ht="15.75" customHeight="1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</row>
    <row r="506" spans="1:26" ht="15.75" customHeight="1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</row>
    <row r="507" spans="1:26" ht="15.75" customHeight="1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</row>
    <row r="508" spans="1:26" ht="15.75" customHeight="1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</row>
    <row r="509" spans="1:26" ht="15.75" customHeight="1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</row>
    <row r="510" spans="1:26" ht="15.75" customHeight="1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</row>
    <row r="511" spans="1:26" ht="15.75" customHeight="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</row>
    <row r="512" spans="1:26" ht="15.75" customHeight="1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</row>
    <row r="513" spans="1:26" ht="15.75" customHeight="1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</row>
    <row r="514" spans="1:26" ht="15.75" customHeight="1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</row>
    <row r="515" spans="1:26" ht="15.75" customHeight="1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</row>
    <row r="516" spans="1:26" ht="15.75" customHeight="1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</row>
    <row r="517" spans="1:26" ht="15.75" customHeight="1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</row>
    <row r="518" spans="1:26" ht="15.75" customHeight="1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</row>
    <row r="519" spans="1:26" ht="15.75" customHeight="1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</row>
    <row r="520" spans="1:26" ht="15.75" customHeight="1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</row>
    <row r="521" spans="1:26" ht="15.75" customHeight="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</row>
    <row r="522" spans="1:26" ht="15.75" customHeight="1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</row>
    <row r="523" spans="1:26" ht="15.75" customHeight="1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</row>
    <row r="524" spans="1:26" ht="15.75" customHeight="1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</row>
    <row r="525" spans="1:26" ht="15.75" customHeight="1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</row>
    <row r="526" spans="1:26" ht="15.75" customHeight="1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</row>
    <row r="527" spans="1:26" ht="15.75" customHeight="1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</row>
    <row r="528" spans="1:26" ht="15.75" customHeight="1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</row>
    <row r="529" spans="1:26" ht="15.75" customHeight="1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</row>
    <row r="530" spans="1:26" ht="15.75" customHeight="1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</row>
    <row r="531" spans="1:26" ht="15.75" customHeight="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</row>
    <row r="532" spans="1:26" ht="15.75" customHeight="1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</row>
    <row r="533" spans="1:26" ht="15.75" customHeight="1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</row>
    <row r="534" spans="1:26" ht="15.75" customHeight="1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</row>
    <row r="535" spans="1:26" ht="15.75" customHeight="1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</row>
    <row r="536" spans="1:26" ht="15.75" customHeight="1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</row>
    <row r="537" spans="1:26" ht="15.75" customHeight="1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</row>
    <row r="538" spans="1:26" ht="15.75" customHeight="1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</row>
    <row r="539" spans="1:26" ht="15.75" customHeight="1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</row>
    <row r="540" spans="1:26" ht="15.75" customHeight="1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</row>
    <row r="541" spans="1:26" ht="15.75" customHeight="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</row>
    <row r="542" spans="1:26" ht="15.75" customHeight="1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</row>
    <row r="543" spans="1:26" ht="15.75" customHeight="1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</row>
    <row r="544" spans="1:26" ht="15.75" customHeight="1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</row>
    <row r="545" spans="1:26" ht="15.75" customHeight="1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</row>
    <row r="546" spans="1:26" ht="15.75" customHeight="1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</row>
    <row r="547" spans="1:26" ht="15.75" customHeight="1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</row>
    <row r="548" spans="1:26" ht="15.75" customHeight="1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</row>
    <row r="549" spans="1:26" ht="15.75" customHeight="1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</row>
    <row r="550" spans="1:26" ht="15.75" customHeight="1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</row>
    <row r="551" spans="1:26" ht="15.75" customHeight="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</row>
    <row r="552" spans="1:26" ht="15.75" customHeight="1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</row>
    <row r="553" spans="1:26" ht="15.75" customHeight="1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</row>
    <row r="554" spans="1:26" ht="15.75" customHeight="1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</row>
    <row r="555" spans="1:26" ht="15.75" customHeight="1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</row>
    <row r="556" spans="1:26" ht="15.75" customHeight="1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</row>
    <row r="557" spans="1:26" ht="15.75" customHeight="1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</row>
    <row r="558" spans="1:26" ht="15.75" customHeight="1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</row>
    <row r="559" spans="1:26" ht="15.75" customHeight="1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</row>
    <row r="560" spans="1:26" ht="15.75" customHeight="1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</row>
    <row r="561" spans="1:26" ht="15.75" customHeight="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</row>
    <row r="562" spans="1:26" ht="15.75" customHeight="1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</row>
    <row r="563" spans="1:26" ht="15.75" customHeight="1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</row>
    <row r="564" spans="1:26" ht="15.75" customHeight="1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</row>
    <row r="565" spans="1:26" ht="15.75" customHeight="1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</row>
    <row r="566" spans="1:26" ht="15.75" customHeight="1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</row>
    <row r="567" spans="1:26" ht="15.75" customHeight="1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</row>
    <row r="568" spans="1:26" ht="15.75" customHeight="1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</row>
    <row r="569" spans="1:26" ht="15.75" customHeight="1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</row>
    <row r="570" spans="1:26" ht="15.75" customHeight="1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</row>
    <row r="571" spans="1:26" ht="15.75" customHeight="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</row>
    <row r="572" spans="1:26" ht="15.75" customHeight="1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</row>
    <row r="573" spans="1:26" ht="15.75" customHeight="1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</row>
    <row r="574" spans="1:26" ht="15.75" customHeight="1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</row>
    <row r="575" spans="1:26" ht="15.75" customHeight="1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</row>
    <row r="576" spans="1:26" ht="15.75" customHeight="1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</row>
    <row r="577" spans="1:26" ht="15.75" customHeight="1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</row>
    <row r="578" spans="1:26" ht="15.75" customHeight="1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</row>
    <row r="579" spans="1:26" ht="15.75" customHeight="1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</row>
    <row r="580" spans="1:26" ht="15.75" customHeight="1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</row>
    <row r="581" spans="1:26" ht="15.75" customHeight="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</row>
    <row r="582" spans="1:26" ht="15.75" customHeight="1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</row>
    <row r="583" spans="1:26" ht="15.75" customHeight="1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</row>
    <row r="584" spans="1:26" ht="15.75" customHeight="1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</row>
    <row r="585" spans="1:26" ht="15.75" customHeight="1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</row>
    <row r="586" spans="1:26" ht="15.75" customHeight="1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</row>
    <row r="587" spans="1:26" ht="15.75" customHeight="1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</row>
    <row r="588" spans="1:26" ht="15.75" customHeight="1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</row>
    <row r="589" spans="1:26" ht="15.75" customHeight="1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</row>
    <row r="590" spans="1:26" ht="15.75" customHeight="1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</row>
    <row r="591" spans="1:26" ht="15.75" customHeight="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</row>
    <row r="592" spans="1:26" ht="15.75" customHeight="1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</row>
    <row r="593" spans="1:26" ht="15.75" customHeight="1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</row>
    <row r="594" spans="1:26" ht="15.75" customHeight="1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</row>
    <row r="595" spans="1:26" ht="15.75" customHeight="1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</row>
    <row r="596" spans="1:26" ht="15.75" customHeight="1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</row>
    <row r="597" spans="1:26" ht="15.75" customHeight="1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</row>
    <row r="598" spans="1:26" ht="15.75" customHeight="1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</row>
    <row r="599" spans="1:26" ht="15.75" customHeight="1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</row>
    <row r="600" spans="1:26" ht="15.75" customHeight="1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</row>
    <row r="601" spans="1:26" ht="15.75" customHeight="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</row>
    <row r="602" spans="1:26" ht="15.75" customHeight="1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</row>
    <row r="603" spans="1:26" ht="15.75" customHeight="1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</row>
    <row r="604" spans="1:26" ht="15.75" customHeight="1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</row>
    <row r="605" spans="1:26" ht="15.75" customHeight="1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</row>
    <row r="606" spans="1:26" ht="15.75" customHeight="1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</row>
    <row r="607" spans="1:26" ht="15.75" customHeight="1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</row>
    <row r="608" spans="1:26" ht="15.75" customHeight="1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</row>
    <row r="609" spans="1:26" ht="15.75" customHeight="1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</row>
    <row r="610" spans="1:26" ht="15.75" customHeight="1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</row>
    <row r="611" spans="1:26" ht="15.75" customHeight="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</row>
    <row r="612" spans="1:26" ht="15.75" customHeight="1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</row>
    <row r="613" spans="1:26" ht="15.75" customHeight="1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</row>
    <row r="614" spans="1:26" ht="15.75" customHeight="1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</row>
    <row r="615" spans="1:26" ht="15.75" customHeight="1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</row>
    <row r="616" spans="1:26" ht="15.75" customHeight="1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</row>
    <row r="617" spans="1:26" ht="15.75" customHeight="1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</row>
    <row r="618" spans="1:26" ht="15.75" customHeight="1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</row>
    <row r="619" spans="1:26" ht="15.75" customHeight="1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</row>
    <row r="620" spans="1:26" ht="15.75" customHeight="1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</row>
    <row r="621" spans="1:26" ht="15.75" customHeight="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</row>
    <row r="622" spans="1:26" ht="15.75" customHeight="1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</row>
    <row r="623" spans="1:26" ht="15.75" customHeight="1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</row>
    <row r="624" spans="1:26" ht="15.75" customHeight="1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</row>
    <row r="625" spans="1:26" ht="15.75" customHeight="1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</row>
    <row r="626" spans="1:26" ht="15.75" customHeight="1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</row>
    <row r="627" spans="1:26" ht="15.75" customHeight="1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</row>
    <row r="628" spans="1:26" ht="15.75" customHeight="1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</row>
    <row r="629" spans="1:26" ht="15.75" customHeight="1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</row>
    <row r="630" spans="1:26" ht="15.75" customHeight="1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</row>
    <row r="631" spans="1:26" ht="15.75" customHeight="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</row>
    <row r="632" spans="1:26" ht="15.75" customHeight="1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</row>
    <row r="633" spans="1:26" ht="15.75" customHeight="1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</row>
    <row r="634" spans="1:26" ht="15.75" customHeight="1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</row>
    <row r="635" spans="1:26" ht="15.75" customHeight="1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</row>
    <row r="636" spans="1:26" ht="15.75" customHeight="1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</row>
    <row r="637" spans="1:26" ht="15.75" customHeight="1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</row>
    <row r="638" spans="1:26" ht="15.75" customHeight="1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</row>
    <row r="639" spans="1:26" ht="15.75" customHeight="1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</row>
    <row r="640" spans="1:26" ht="15.75" customHeight="1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</row>
    <row r="641" spans="1:26" ht="15.75" customHeight="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</row>
    <row r="642" spans="1:26" ht="15.75" customHeight="1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</row>
    <row r="643" spans="1:26" ht="15.75" customHeight="1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</row>
    <row r="644" spans="1:26" ht="15.75" customHeight="1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</row>
    <row r="645" spans="1:26" ht="15.75" customHeight="1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</row>
    <row r="646" spans="1:26" ht="15.75" customHeight="1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</row>
    <row r="647" spans="1:26" ht="15.75" customHeight="1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</row>
    <row r="648" spans="1:26" ht="15.75" customHeight="1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</row>
    <row r="649" spans="1:26" ht="15.75" customHeight="1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</row>
    <row r="650" spans="1:26" ht="15.75" customHeight="1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</row>
    <row r="651" spans="1:26" ht="15.75" customHeight="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</row>
    <row r="652" spans="1:26" ht="15.75" customHeight="1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</row>
    <row r="653" spans="1:26" ht="15.75" customHeight="1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</row>
    <row r="654" spans="1:26" ht="15.75" customHeight="1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</row>
    <row r="655" spans="1:26" ht="15.75" customHeight="1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</row>
    <row r="656" spans="1:26" ht="15.75" customHeight="1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</row>
    <row r="657" spans="1:26" ht="15.75" customHeight="1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</row>
    <row r="658" spans="1:26" ht="15.75" customHeight="1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</row>
    <row r="659" spans="1:26" ht="15.75" customHeight="1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</row>
    <row r="660" spans="1:26" ht="15.75" customHeight="1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</row>
    <row r="661" spans="1:26" ht="15.75" customHeight="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</row>
    <row r="662" spans="1:26" ht="15.75" customHeight="1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</row>
    <row r="663" spans="1:26" ht="15.75" customHeight="1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</row>
    <row r="664" spans="1:26" ht="15.75" customHeight="1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</row>
    <row r="665" spans="1:26" ht="15.75" customHeight="1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</row>
    <row r="666" spans="1:26" ht="15.75" customHeight="1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</row>
    <row r="667" spans="1:26" ht="15.75" customHeight="1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</row>
    <row r="668" spans="1:26" ht="15.75" customHeight="1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</row>
    <row r="669" spans="1:26" ht="15.75" customHeight="1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</row>
    <row r="670" spans="1:26" ht="15.75" customHeight="1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</row>
    <row r="671" spans="1:26" ht="15.75" customHeight="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</row>
    <row r="672" spans="1:26" ht="15.75" customHeight="1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</row>
    <row r="673" spans="1:26" ht="15.75" customHeight="1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</row>
    <row r="674" spans="1:26" ht="15.75" customHeight="1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</row>
    <row r="675" spans="1:26" ht="15.75" customHeight="1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</row>
    <row r="676" spans="1:26" ht="15.75" customHeight="1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</row>
    <row r="677" spans="1:26" ht="15.75" customHeight="1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</row>
    <row r="678" spans="1:26" ht="15.75" customHeight="1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</row>
    <row r="679" spans="1:26" ht="15.75" customHeight="1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</row>
    <row r="680" spans="1:26" ht="15.75" customHeight="1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</row>
    <row r="681" spans="1:26" ht="15.75" customHeight="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</row>
    <row r="682" spans="1:26" ht="15.75" customHeight="1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</row>
    <row r="683" spans="1:26" ht="15.75" customHeight="1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</row>
    <row r="684" spans="1:26" ht="15.75" customHeight="1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</row>
    <row r="685" spans="1:26" ht="15.75" customHeight="1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</row>
    <row r="686" spans="1:26" ht="15.75" customHeight="1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</row>
    <row r="687" spans="1:26" ht="15.75" customHeight="1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</row>
    <row r="688" spans="1:26" ht="15.75" customHeight="1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</row>
    <row r="689" spans="1:26" ht="15.75" customHeight="1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</row>
    <row r="690" spans="1:26" ht="15.75" customHeight="1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</row>
    <row r="691" spans="1:26" ht="15.75" customHeight="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</row>
    <row r="692" spans="1:26" ht="15.75" customHeight="1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</row>
    <row r="693" spans="1:26" ht="15.75" customHeight="1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</row>
    <row r="694" spans="1:26" ht="15.75" customHeight="1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</row>
    <row r="695" spans="1:26" ht="15.75" customHeight="1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</row>
    <row r="696" spans="1:26" ht="15.75" customHeight="1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</row>
    <row r="697" spans="1:26" ht="15.75" customHeight="1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</row>
    <row r="698" spans="1:26" ht="15.75" customHeight="1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</row>
    <row r="699" spans="1:26" ht="15.75" customHeight="1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</row>
    <row r="700" spans="1:26" ht="15.75" customHeight="1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</row>
    <row r="701" spans="1:26" ht="15.75" customHeight="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</row>
    <row r="702" spans="1:26" ht="15.75" customHeight="1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</row>
    <row r="703" spans="1:26" ht="15.75" customHeight="1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</row>
    <row r="704" spans="1:26" ht="15.75" customHeight="1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</row>
    <row r="705" spans="1:26" ht="15.75" customHeight="1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</row>
    <row r="706" spans="1:26" ht="15.75" customHeight="1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</row>
    <row r="707" spans="1:26" ht="15.75" customHeight="1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</row>
    <row r="708" spans="1:26" ht="15.75" customHeight="1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</row>
    <row r="709" spans="1:26" ht="15.75" customHeight="1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</row>
    <row r="710" spans="1:26" ht="15.75" customHeight="1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</row>
    <row r="711" spans="1:26" ht="15.75" customHeight="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</row>
    <row r="712" spans="1:26" ht="15.75" customHeight="1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</row>
    <row r="713" spans="1:26" ht="15.75" customHeight="1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</row>
    <row r="714" spans="1:26" ht="15.75" customHeight="1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</row>
    <row r="715" spans="1:26" ht="15.75" customHeight="1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</row>
    <row r="716" spans="1:26" ht="15.75" customHeight="1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</row>
    <row r="717" spans="1:26" ht="15.75" customHeight="1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</row>
    <row r="718" spans="1:26" ht="15.75" customHeight="1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</row>
    <row r="719" spans="1:26" ht="15.75" customHeight="1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</row>
    <row r="720" spans="1:26" ht="15.75" customHeight="1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</row>
    <row r="721" spans="1:26" ht="15.75" customHeight="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</row>
    <row r="722" spans="1:26" ht="15.75" customHeight="1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</row>
    <row r="723" spans="1:26" ht="15.75" customHeight="1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</row>
    <row r="724" spans="1:26" ht="15.75" customHeight="1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</row>
    <row r="725" spans="1:26" ht="15.75" customHeight="1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</row>
    <row r="726" spans="1:26" ht="15.75" customHeight="1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</row>
    <row r="727" spans="1:26" ht="15.75" customHeight="1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</row>
    <row r="728" spans="1:26" ht="15.75" customHeight="1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</row>
    <row r="729" spans="1:26" ht="15.75" customHeight="1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</row>
    <row r="730" spans="1:26" ht="15.75" customHeight="1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</row>
    <row r="731" spans="1:26" ht="15.75" customHeight="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</row>
    <row r="732" spans="1:26" ht="15.75" customHeight="1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</row>
    <row r="733" spans="1:26" ht="15.75" customHeight="1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</row>
    <row r="734" spans="1:26" ht="15.75" customHeight="1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</row>
    <row r="735" spans="1:26" ht="15.75" customHeight="1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</row>
    <row r="736" spans="1:26" ht="15.75" customHeight="1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</row>
    <row r="737" spans="1:26" ht="15.75" customHeight="1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</row>
    <row r="738" spans="1:26" ht="15.75" customHeight="1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</row>
    <row r="739" spans="1:26" ht="15.75" customHeight="1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</row>
    <row r="740" spans="1:26" ht="15.75" customHeight="1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</row>
    <row r="741" spans="1:26" ht="15.75" customHeight="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</row>
    <row r="742" spans="1:26" ht="15.75" customHeight="1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</row>
    <row r="743" spans="1:26" ht="15.75" customHeight="1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</row>
    <row r="744" spans="1:26" ht="15.75" customHeight="1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</row>
    <row r="745" spans="1:26" ht="15.75" customHeight="1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</row>
    <row r="746" spans="1:26" ht="15.75" customHeight="1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</row>
    <row r="747" spans="1:26" ht="15.75" customHeight="1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</row>
    <row r="748" spans="1:26" ht="15.75" customHeight="1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</row>
    <row r="749" spans="1:26" ht="15.75" customHeight="1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</row>
    <row r="750" spans="1:26" ht="15.75" customHeight="1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</row>
    <row r="751" spans="1:26" ht="15.75" customHeight="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</row>
    <row r="752" spans="1:26" ht="15.75" customHeight="1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</row>
    <row r="753" spans="1:26" ht="15.75" customHeight="1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</row>
    <row r="754" spans="1:26" ht="15.75" customHeight="1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</row>
    <row r="755" spans="1:26" ht="15.75" customHeight="1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</row>
    <row r="756" spans="1:26" ht="15.75" customHeight="1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</row>
    <row r="757" spans="1:26" ht="15.75" customHeight="1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</row>
    <row r="758" spans="1:26" ht="15.75" customHeight="1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</row>
    <row r="759" spans="1:26" ht="15.75" customHeight="1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</row>
    <row r="760" spans="1:26" ht="15.75" customHeight="1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</row>
    <row r="761" spans="1:26" ht="15.75" customHeight="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</row>
    <row r="762" spans="1:26" ht="15.75" customHeight="1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</row>
    <row r="763" spans="1:26" ht="15.75" customHeight="1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</row>
    <row r="764" spans="1:26" ht="15.75" customHeight="1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</row>
    <row r="765" spans="1:26" ht="15.75" customHeight="1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</row>
    <row r="766" spans="1:26" ht="15.75" customHeight="1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</row>
    <row r="767" spans="1:26" ht="15.75" customHeight="1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</row>
    <row r="768" spans="1:26" ht="15.75" customHeight="1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</row>
    <row r="769" spans="1:26" ht="15.75" customHeight="1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</row>
    <row r="770" spans="1:26" ht="15.75" customHeight="1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</row>
    <row r="771" spans="1:26" ht="15.75" customHeight="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</row>
    <row r="772" spans="1:26" ht="15.75" customHeight="1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</row>
    <row r="773" spans="1:26" ht="15.75" customHeight="1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</row>
    <row r="774" spans="1:26" ht="15.75" customHeight="1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</row>
    <row r="775" spans="1:26" ht="15.75" customHeight="1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</row>
    <row r="776" spans="1:26" ht="15.75" customHeight="1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</row>
    <row r="777" spans="1:26" ht="15.75" customHeight="1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</row>
    <row r="778" spans="1:26" ht="15.75" customHeight="1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</row>
    <row r="779" spans="1:26" ht="15.75" customHeight="1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</row>
    <row r="780" spans="1:26" ht="15.75" customHeight="1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</row>
    <row r="781" spans="1:26" ht="15.75" customHeight="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</row>
    <row r="782" spans="1:26" ht="15.75" customHeight="1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</row>
    <row r="783" spans="1:26" ht="15.75" customHeight="1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</row>
    <row r="784" spans="1:26" ht="15.75" customHeight="1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</row>
    <row r="785" spans="1:26" ht="15.75" customHeight="1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</row>
    <row r="786" spans="1:26" ht="15.75" customHeight="1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</row>
    <row r="787" spans="1:26" ht="15.75" customHeight="1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</row>
    <row r="788" spans="1:26" ht="15.75" customHeight="1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</row>
    <row r="789" spans="1:26" ht="15.75" customHeight="1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</row>
    <row r="790" spans="1:26" ht="15.75" customHeight="1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</row>
    <row r="791" spans="1:26" ht="15.75" customHeight="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</row>
    <row r="792" spans="1:26" ht="15.75" customHeight="1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</row>
    <row r="793" spans="1:26" ht="15.75" customHeight="1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</row>
    <row r="794" spans="1:26" ht="15.75" customHeight="1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</row>
    <row r="795" spans="1:26" ht="15.75" customHeight="1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</row>
    <row r="796" spans="1:26" ht="15.75" customHeight="1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</row>
    <row r="797" spans="1:26" ht="15.75" customHeight="1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</row>
    <row r="798" spans="1:26" ht="15.75" customHeight="1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</row>
    <row r="799" spans="1:26" ht="15.75" customHeight="1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</row>
    <row r="800" spans="1:26" ht="15.75" customHeight="1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</row>
    <row r="801" spans="1:26" ht="15.75" customHeight="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</row>
    <row r="802" spans="1:26" ht="15.75" customHeight="1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</row>
    <row r="803" spans="1:26" ht="15.75" customHeight="1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</row>
    <row r="804" spans="1:26" ht="15.75" customHeight="1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</row>
    <row r="805" spans="1:26" ht="15.75" customHeight="1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</row>
    <row r="806" spans="1:26" ht="15.75" customHeight="1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</row>
    <row r="807" spans="1:26" ht="15.75" customHeight="1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</row>
    <row r="808" spans="1:26" ht="15.75" customHeight="1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</row>
    <row r="809" spans="1:26" ht="15.75" customHeight="1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</row>
    <row r="810" spans="1:26" ht="15.75" customHeight="1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</row>
    <row r="811" spans="1:26" ht="15.75" customHeight="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</row>
    <row r="812" spans="1:26" ht="15.75" customHeight="1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</row>
    <row r="813" spans="1:26" ht="15.75" customHeight="1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</row>
    <row r="814" spans="1:26" ht="15.75" customHeight="1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</row>
    <row r="815" spans="1:26" ht="15.75" customHeight="1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</row>
    <row r="816" spans="1:26" ht="15.75" customHeight="1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</row>
    <row r="817" spans="1:26" ht="15.75" customHeight="1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</row>
    <row r="818" spans="1:26" ht="15.75" customHeight="1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</row>
    <row r="819" spans="1:26" ht="15.75" customHeight="1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</row>
    <row r="820" spans="1:26" ht="15.75" customHeight="1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</row>
    <row r="821" spans="1:26" ht="15.75" customHeight="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</row>
    <row r="822" spans="1:26" ht="15.75" customHeight="1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</row>
    <row r="823" spans="1:26" ht="15.75" customHeight="1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</row>
    <row r="824" spans="1:26" ht="15.75" customHeight="1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</row>
    <row r="825" spans="1:26" ht="15.75" customHeight="1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</row>
    <row r="826" spans="1:26" ht="15.75" customHeight="1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</row>
    <row r="827" spans="1:26" ht="15.75" customHeight="1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</row>
    <row r="828" spans="1:26" ht="15.75" customHeight="1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</row>
    <row r="829" spans="1:26" ht="15.75" customHeight="1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</row>
    <row r="830" spans="1:26" ht="15.75" customHeight="1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</row>
    <row r="831" spans="1:26" ht="15.75" customHeight="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</row>
    <row r="832" spans="1:26" ht="15.75" customHeight="1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</row>
    <row r="833" spans="1:26" ht="15.75" customHeight="1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</row>
    <row r="834" spans="1:26" ht="15.75" customHeight="1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</row>
    <row r="835" spans="1:26" ht="15.75" customHeight="1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</row>
    <row r="836" spans="1:26" ht="15.75" customHeight="1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</row>
    <row r="837" spans="1:26" ht="15.75" customHeight="1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</row>
    <row r="838" spans="1:26" ht="15.75" customHeight="1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</row>
    <row r="839" spans="1:26" ht="15.75" customHeight="1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</row>
    <row r="840" spans="1:26" ht="15.75" customHeight="1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</row>
    <row r="841" spans="1:26" ht="15.75" customHeight="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</row>
    <row r="842" spans="1:26" ht="15.75" customHeight="1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</row>
    <row r="843" spans="1:26" ht="15.75" customHeight="1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</row>
    <row r="844" spans="1:26" ht="15.75" customHeight="1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</row>
    <row r="845" spans="1:26" ht="15.75" customHeight="1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</row>
    <row r="846" spans="1:26" ht="15.75" customHeight="1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</row>
    <row r="847" spans="1:26" ht="15.75" customHeight="1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</row>
    <row r="848" spans="1:26" ht="15.75" customHeight="1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</row>
    <row r="849" spans="1:26" ht="15.75" customHeight="1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</row>
    <row r="850" spans="1:26" ht="15.75" customHeight="1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</row>
    <row r="851" spans="1:26" ht="15.75" customHeight="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</row>
    <row r="852" spans="1:26" ht="15.75" customHeight="1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</row>
    <row r="853" spans="1:26" ht="15.75" customHeight="1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</row>
    <row r="854" spans="1:26" ht="15.75" customHeight="1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</row>
    <row r="855" spans="1:26" ht="15.75" customHeight="1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</row>
    <row r="856" spans="1:26" ht="15.75" customHeight="1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</row>
    <row r="857" spans="1:26" ht="15.75" customHeight="1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</row>
    <row r="858" spans="1:26" ht="15.75" customHeight="1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</row>
    <row r="859" spans="1:26" ht="15.75" customHeight="1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</row>
    <row r="860" spans="1:26" ht="15.75" customHeight="1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</row>
    <row r="861" spans="1:26" ht="15.75" customHeight="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</row>
    <row r="862" spans="1:26" ht="15.75" customHeight="1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</row>
    <row r="863" spans="1:26" ht="15.75" customHeight="1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</row>
    <row r="864" spans="1:26" ht="15.75" customHeight="1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</row>
    <row r="865" spans="1:26" ht="15.75" customHeight="1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</row>
    <row r="866" spans="1:26" ht="15.75" customHeight="1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</row>
    <row r="867" spans="1:26" ht="15.75" customHeight="1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</row>
    <row r="868" spans="1:26" ht="15.75" customHeight="1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</row>
    <row r="869" spans="1:26" ht="15.75" customHeight="1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</row>
    <row r="870" spans="1:26" ht="15.75" customHeight="1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</row>
    <row r="871" spans="1:26" ht="15.75" customHeight="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</row>
    <row r="872" spans="1:26" ht="15.75" customHeight="1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</row>
    <row r="873" spans="1:26" ht="15.75" customHeight="1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</row>
    <row r="874" spans="1:26" ht="15.75" customHeight="1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</row>
    <row r="875" spans="1:26" ht="15.75" customHeight="1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</row>
    <row r="876" spans="1:26" ht="15.75" customHeight="1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</row>
    <row r="877" spans="1:26" ht="15.75" customHeight="1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</row>
    <row r="878" spans="1:26" ht="15.75" customHeight="1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</row>
    <row r="879" spans="1:26" ht="15.75" customHeight="1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</row>
    <row r="880" spans="1:26" ht="15.75" customHeight="1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</row>
    <row r="881" spans="1:26" ht="15.75" customHeight="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</row>
    <row r="882" spans="1:26" ht="15.75" customHeight="1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</row>
    <row r="883" spans="1:26" ht="15.75" customHeight="1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</row>
    <row r="884" spans="1:26" ht="15.75" customHeight="1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</row>
    <row r="885" spans="1:26" ht="15.75" customHeight="1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</row>
    <row r="886" spans="1:26" ht="15.75" customHeight="1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</row>
    <row r="887" spans="1:26" ht="15.75" customHeight="1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</row>
    <row r="888" spans="1:26" ht="15.75" customHeight="1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</row>
    <row r="889" spans="1:26" ht="15.75" customHeight="1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</row>
    <row r="890" spans="1:26" ht="15.75" customHeight="1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</row>
    <row r="891" spans="1:26" ht="15.75" customHeight="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</row>
    <row r="892" spans="1:26" ht="15.75" customHeight="1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</row>
    <row r="893" spans="1:26" ht="15.75" customHeight="1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</row>
    <row r="894" spans="1:26" ht="15.75" customHeight="1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</row>
    <row r="895" spans="1:26" ht="15.75" customHeight="1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</row>
    <row r="896" spans="1:26" ht="15.75" customHeight="1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</row>
    <row r="897" spans="1:26" ht="15.75" customHeight="1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</row>
    <row r="898" spans="1:26" ht="15.75" customHeight="1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</row>
    <row r="899" spans="1:26" ht="15.75" customHeight="1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</row>
    <row r="900" spans="1:26" ht="15.75" customHeight="1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</row>
    <row r="901" spans="1:26" ht="15.75" customHeight="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</row>
    <row r="902" spans="1:26" ht="15.75" customHeight="1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</row>
    <row r="903" spans="1:26" ht="15.75" customHeight="1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</row>
    <row r="904" spans="1:26" ht="15.75" customHeight="1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</row>
    <row r="905" spans="1:26" ht="15.75" customHeight="1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</row>
    <row r="906" spans="1:26" ht="15.75" customHeight="1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</row>
    <row r="907" spans="1:26" ht="15.75" customHeight="1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</row>
    <row r="908" spans="1:26" ht="15.75" customHeight="1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</row>
    <row r="909" spans="1:26" ht="15.75" customHeight="1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</row>
    <row r="910" spans="1:26" ht="15.75" customHeight="1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</row>
    <row r="911" spans="1:26" ht="15.75" customHeight="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</row>
    <row r="912" spans="1:26" ht="15.75" customHeight="1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</row>
    <row r="913" spans="1:26" ht="15.75" customHeight="1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</row>
    <row r="914" spans="1:26" ht="15.75" customHeight="1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</row>
    <row r="915" spans="1:26" ht="15.75" customHeight="1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</row>
    <row r="916" spans="1:26" ht="15.75" customHeight="1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</row>
    <row r="917" spans="1:26" ht="15.75" customHeight="1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</row>
    <row r="918" spans="1:26" ht="15.75" customHeight="1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</row>
    <row r="919" spans="1:26" ht="15.75" customHeight="1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</row>
    <row r="920" spans="1:26" ht="15.75" customHeight="1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</row>
    <row r="921" spans="1:26" ht="15.75" customHeight="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</row>
    <row r="922" spans="1:26" ht="15.75" customHeight="1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</row>
    <row r="923" spans="1:26" ht="15.75" customHeight="1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</row>
    <row r="924" spans="1:26" ht="15.75" customHeight="1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</row>
    <row r="925" spans="1:26" ht="15.75" customHeight="1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</row>
    <row r="926" spans="1:26" ht="15.75" customHeight="1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</row>
    <row r="927" spans="1:26" ht="15.75" customHeight="1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</row>
    <row r="928" spans="1:26" ht="15.75" customHeight="1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</row>
    <row r="929" spans="1:26" ht="15.75" customHeight="1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</row>
    <row r="930" spans="1:26" ht="15.75" customHeight="1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</row>
    <row r="931" spans="1:26" ht="15.75" customHeight="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</row>
    <row r="932" spans="1:26" ht="15.75" customHeight="1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</row>
    <row r="933" spans="1:26" ht="15.75" customHeight="1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</row>
    <row r="934" spans="1:26" ht="15.75" customHeight="1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</row>
    <row r="935" spans="1:26" ht="15.75" customHeight="1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</row>
    <row r="936" spans="1:26" ht="15.75" customHeight="1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</row>
    <row r="937" spans="1:26" ht="15.75" customHeight="1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</row>
    <row r="938" spans="1:26" ht="15.75" customHeight="1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</row>
    <row r="939" spans="1:26" ht="15.75" customHeight="1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</row>
    <row r="940" spans="1:26" ht="15.75" customHeight="1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</row>
    <row r="941" spans="1:26" ht="15.75" customHeight="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</row>
    <row r="942" spans="1:26" ht="15.75" customHeight="1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</row>
    <row r="943" spans="1:26" ht="15.75" customHeight="1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</row>
    <row r="944" spans="1:26" ht="15.75" customHeight="1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</row>
    <row r="945" spans="1:26" ht="15.75" customHeight="1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</row>
    <row r="946" spans="1:26" ht="15.75" customHeight="1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</row>
    <row r="947" spans="1:26" ht="15.75" customHeight="1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</row>
    <row r="948" spans="1:26" ht="15.75" customHeight="1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</row>
    <row r="949" spans="1:26" ht="15.75" customHeight="1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</row>
    <row r="950" spans="1:26" ht="15.75" customHeight="1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</row>
    <row r="951" spans="1:26" ht="15.75" customHeight="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</row>
    <row r="952" spans="1:26" ht="15.75" customHeight="1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</row>
    <row r="953" spans="1:26" ht="15.75" customHeight="1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</row>
    <row r="954" spans="1:26" ht="15.75" customHeight="1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</row>
    <row r="955" spans="1:26" ht="15.75" customHeight="1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</row>
    <row r="956" spans="1:26" ht="15.75" customHeight="1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</row>
    <row r="957" spans="1:26" ht="15.75" customHeight="1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</row>
    <row r="958" spans="1:26" ht="15.75" customHeight="1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</row>
    <row r="959" spans="1:26" ht="15.75" customHeight="1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</row>
    <row r="960" spans="1:26" ht="15.75" customHeight="1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</row>
    <row r="961" spans="1:26" ht="15.75" customHeight="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</row>
    <row r="962" spans="1:26" ht="15.75" customHeight="1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</row>
    <row r="963" spans="1:26" ht="15.75" customHeight="1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</row>
    <row r="964" spans="1:26" ht="15.75" customHeight="1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</row>
    <row r="965" spans="1:26" ht="15.75" customHeight="1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</row>
    <row r="966" spans="1:26" ht="15.75" customHeight="1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</row>
    <row r="967" spans="1:26" ht="15.75" customHeight="1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</row>
    <row r="968" spans="1:26" ht="15.75" customHeight="1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</row>
    <row r="969" spans="1:26" ht="15.75" customHeight="1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</row>
    <row r="970" spans="1:26" ht="15.75" customHeight="1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</row>
    <row r="971" spans="1:26" ht="15.75" customHeight="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</row>
    <row r="972" spans="1:26" ht="15.75" customHeight="1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</row>
    <row r="973" spans="1:26" ht="15.75" customHeight="1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</row>
    <row r="974" spans="1:26" ht="15.75" customHeight="1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</row>
    <row r="975" spans="1:26" ht="15.75" customHeight="1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</row>
    <row r="976" spans="1:26" ht="15.75" customHeight="1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</row>
    <row r="977" spans="1:26" ht="15.75" customHeight="1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</row>
    <row r="978" spans="1:26" ht="15.75" customHeight="1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</row>
    <row r="979" spans="1:26" ht="15.75" customHeight="1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</row>
    <row r="980" spans="1:26" ht="15.75" customHeight="1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</row>
    <row r="981" spans="1:26" ht="15.75" customHeight="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</row>
    <row r="982" spans="1:26" ht="15.75" customHeight="1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</row>
    <row r="983" spans="1:26" ht="15.75" customHeight="1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</row>
    <row r="984" spans="1:26" ht="15.75" customHeight="1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</row>
    <row r="985" spans="1:26" ht="15.75" customHeight="1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</row>
    <row r="986" spans="1:26" ht="15.75" customHeight="1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</row>
    <row r="987" spans="1:26" ht="15.75" customHeight="1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</row>
    <row r="988" spans="1:26" ht="15.75" customHeight="1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</row>
    <row r="989" spans="1:26" ht="15.75" customHeight="1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</row>
    <row r="990" spans="1:26" ht="15.75" customHeight="1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</row>
    <row r="991" spans="1:26" ht="15.75" customHeight="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</row>
    <row r="992" spans="1:26" ht="15.75" customHeight="1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</row>
    <row r="993" spans="1:26" ht="15.75" customHeight="1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</row>
    <row r="994" spans="1:26" ht="15.75" customHeight="1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</row>
    <row r="995" spans="1:26" ht="15.75" customHeight="1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</row>
    <row r="996" spans="1:26" ht="15.75" customHeight="1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</row>
    <row r="997" spans="1:26" ht="15.75" customHeight="1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</row>
    <row r="998" spans="1:26" ht="15.75" customHeight="1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</row>
    <row r="999" spans="1:26" ht="15.75" customHeight="1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</row>
    <row r="1000" spans="1:26" ht="15.75" customHeight="1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</row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2:B1000"/>
  <sheetViews>
    <sheetView workbookViewId="0"/>
  </sheetViews>
  <sheetFormatPr defaultColWidth="12.54296875" defaultRowHeight="15" customHeight="1"/>
  <cols>
    <col min="1" max="1" width="23.1796875" customWidth="1"/>
    <col min="2" max="26" width="8.54296875" customWidth="1"/>
  </cols>
  <sheetData>
    <row r="2" spans="1:2" ht="14.5">
      <c r="B2" s="33">
        <v>2024</v>
      </c>
    </row>
    <row r="3" spans="1:2" ht="14.5">
      <c r="A3" s="33" t="s">
        <v>182</v>
      </c>
      <c r="B3" s="250"/>
    </row>
    <row r="4" spans="1:2" ht="14.5">
      <c r="A4" s="3" t="s">
        <v>322</v>
      </c>
      <c r="B4" s="250">
        <v>750</v>
      </c>
    </row>
    <row r="5" spans="1:2" ht="14.5">
      <c r="A5" s="3" t="s">
        <v>323</v>
      </c>
      <c r="B5" s="250">
        <v>2175</v>
      </c>
    </row>
    <row r="6" spans="1:2" ht="14.5">
      <c r="A6" s="3" t="s">
        <v>324</v>
      </c>
      <c r="B6" s="250">
        <v>0</v>
      </c>
    </row>
    <row r="7" spans="1:2" ht="14.5">
      <c r="A7" s="3" t="s">
        <v>325</v>
      </c>
      <c r="B7" s="250">
        <v>14100</v>
      </c>
    </row>
    <row r="8" spans="1:2" ht="14.5">
      <c r="A8" s="3" t="s">
        <v>326</v>
      </c>
      <c r="B8" s="250">
        <v>19392</v>
      </c>
    </row>
    <row r="9" spans="1:2" ht="14.5">
      <c r="A9" s="3" t="s">
        <v>327</v>
      </c>
      <c r="B9" s="250">
        <v>16000</v>
      </c>
    </row>
    <row r="10" spans="1:2" ht="14.5">
      <c r="A10" s="3" t="s">
        <v>328</v>
      </c>
      <c r="B10" s="250">
        <v>1519</v>
      </c>
    </row>
    <row r="11" spans="1:2" ht="14.5">
      <c r="A11" s="3" t="s">
        <v>329</v>
      </c>
      <c r="B11" s="250">
        <v>2200</v>
      </c>
    </row>
    <row r="12" spans="1:2" ht="14.5">
      <c r="A12" s="3" t="s">
        <v>330</v>
      </c>
      <c r="B12" s="250">
        <v>6610</v>
      </c>
    </row>
    <row r="13" spans="1:2" ht="14.5">
      <c r="A13" s="3" t="s">
        <v>331</v>
      </c>
      <c r="B13" s="250">
        <v>19200</v>
      </c>
    </row>
    <row r="14" spans="1:2" ht="14.5">
      <c r="A14" s="3" t="s">
        <v>332</v>
      </c>
      <c r="B14" s="250">
        <v>4700</v>
      </c>
    </row>
    <row r="15" spans="1:2" ht="14.5">
      <c r="A15" s="3" t="s">
        <v>333</v>
      </c>
      <c r="B15" s="250">
        <v>0</v>
      </c>
    </row>
    <row r="16" spans="1:2" ht="14.5">
      <c r="A16" s="3" t="s">
        <v>334</v>
      </c>
      <c r="B16" s="250">
        <v>0</v>
      </c>
    </row>
    <row r="17" spans="1:2" ht="14.5">
      <c r="A17" s="3" t="s">
        <v>335</v>
      </c>
      <c r="B17" s="250">
        <v>0</v>
      </c>
    </row>
    <row r="18" spans="1:2" ht="14.5">
      <c r="A18" s="3" t="s">
        <v>336</v>
      </c>
      <c r="B18" s="250">
        <v>0</v>
      </c>
    </row>
    <row r="19" spans="1:2" ht="14.5">
      <c r="B19" s="250"/>
    </row>
    <row r="20" spans="1:2" ht="14.5">
      <c r="A20" s="33" t="s">
        <v>337</v>
      </c>
      <c r="B20" s="250"/>
    </row>
    <row r="21" spans="1:2" ht="15.75" customHeight="1">
      <c r="A21" s="3" t="s">
        <v>338</v>
      </c>
      <c r="B21" s="250">
        <f>'Monthly P&amp;L'!E12</f>
        <v>12369.37</v>
      </c>
    </row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AE1000"/>
  <sheetViews>
    <sheetView workbookViewId="0"/>
  </sheetViews>
  <sheetFormatPr defaultColWidth="12.54296875" defaultRowHeight="15" customHeight="1" outlineLevelRow="3"/>
  <cols>
    <col min="1" max="1" width="33.26953125" customWidth="1"/>
    <col min="2" max="3" width="11" customWidth="1"/>
    <col min="4" max="4" width="15.54296875" customWidth="1"/>
    <col min="5" max="5" width="40.1796875" customWidth="1"/>
    <col min="6" max="6" width="0.1796875" customWidth="1"/>
    <col min="7" max="7" width="14.7265625" customWidth="1"/>
    <col min="8" max="9" width="17.54296875" customWidth="1"/>
    <col min="10" max="10" width="30.26953125" customWidth="1"/>
    <col min="11" max="11" width="38.453125" customWidth="1"/>
    <col min="12" max="31" width="12.26953125" customWidth="1"/>
  </cols>
  <sheetData>
    <row r="1" spans="1:31" ht="15.75" customHeight="1">
      <c r="A1" s="251" t="s">
        <v>339</v>
      </c>
      <c r="B1" s="252"/>
      <c r="C1" s="252"/>
      <c r="D1" s="252"/>
      <c r="E1" s="253"/>
      <c r="F1" s="252"/>
      <c r="G1" s="252"/>
      <c r="H1" s="252"/>
      <c r="I1" s="252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</row>
    <row r="2" spans="1:31" ht="15.75" customHeight="1" outlineLevel="3">
      <c r="A2" s="255" t="s">
        <v>340</v>
      </c>
      <c r="B2" s="256" t="s">
        <v>341</v>
      </c>
      <c r="C2" s="257">
        <f t="shared" ref="C2:C29" si="0">EOMONTH(B2,0)</f>
        <v>45930</v>
      </c>
      <c r="D2" s="256" t="s">
        <v>342</v>
      </c>
      <c r="E2" s="256" t="s">
        <v>343</v>
      </c>
      <c r="F2" s="256" t="s">
        <v>344</v>
      </c>
      <c r="G2" s="256" t="s">
        <v>344</v>
      </c>
      <c r="H2" s="258">
        <v>1000</v>
      </c>
      <c r="I2" s="259" t="s">
        <v>345</v>
      </c>
      <c r="J2" s="254" t="s">
        <v>346</v>
      </c>
      <c r="K2" s="254" t="s">
        <v>347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</row>
    <row r="3" spans="1:31" ht="15.75" customHeight="1" outlineLevel="3">
      <c r="A3" s="255" t="s">
        <v>340</v>
      </c>
      <c r="B3" s="256" t="s">
        <v>348</v>
      </c>
      <c r="C3" s="257">
        <f t="shared" si="0"/>
        <v>45961</v>
      </c>
      <c r="D3" s="256" t="s">
        <v>342</v>
      </c>
      <c r="E3" s="256" t="s">
        <v>349</v>
      </c>
      <c r="F3" s="256" t="s">
        <v>344</v>
      </c>
      <c r="G3" s="256" t="s">
        <v>344</v>
      </c>
      <c r="H3" s="258">
        <v>1000</v>
      </c>
      <c r="I3" s="259" t="s">
        <v>345</v>
      </c>
      <c r="J3" s="254" t="s">
        <v>346</v>
      </c>
      <c r="K3" s="254" t="s">
        <v>350</v>
      </c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</row>
    <row r="4" spans="1:31" ht="15.75" customHeight="1" outlineLevel="3">
      <c r="A4" s="255"/>
      <c r="B4" s="256" t="s">
        <v>351</v>
      </c>
      <c r="C4" s="257">
        <f t="shared" si="0"/>
        <v>45688</v>
      </c>
      <c r="D4" s="256" t="s">
        <v>342</v>
      </c>
      <c r="E4" s="256" t="s">
        <v>352</v>
      </c>
      <c r="F4" s="256" t="s">
        <v>344</v>
      </c>
      <c r="G4" s="256" t="s">
        <v>344</v>
      </c>
      <c r="H4" s="258">
        <v>566.69000000000005</v>
      </c>
      <c r="I4" s="259" t="s">
        <v>353</v>
      </c>
      <c r="J4" s="254" t="s">
        <v>354</v>
      </c>
      <c r="K4" s="254" t="s">
        <v>355</v>
      </c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</row>
    <row r="5" spans="1:31" ht="15.75" customHeight="1" outlineLevel="3">
      <c r="A5" s="255" t="s">
        <v>356</v>
      </c>
      <c r="B5" s="256" t="s">
        <v>357</v>
      </c>
      <c r="C5" s="257">
        <f t="shared" si="0"/>
        <v>45716</v>
      </c>
      <c r="D5" s="256" t="s">
        <v>342</v>
      </c>
      <c r="E5" s="256" t="s">
        <v>352</v>
      </c>
      <c r="F5" s="256" t="s">
        <v>344</v>
      </c>
      <c r="G5" s="256" t="s">
        <v>344</v>
      </c>
      <c r="H5" s="258">
        <v>566.69000000000005</v>
      </c>
      <c r="I5" s="259" t="s">
        <v>353</v>
      </c>
      <c r="J5" s="254" t="s">
        <v>354</v>
      </c>
      <c r="K5" s="254" t="s">
        <v>358</v>
      </c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</row>
    <row r="6" spans="1:31" ht="15.75" customHeight="1" outlineLevel="3">
      <c r="A6" s="255"/>
      <c r="B6" s="256" t="s">
        <v>359</v>
      </c>
      <c r="C6" s="257">
        <f t="shared" si="0"/>
        <v>45747</v>
      </c>
      <c r="D6" s="256" t="s">
        <v>342</v>
      </c>
      <c r="E6" s="256" t="s">
        <v>352</v>
      </c>
      <c r="F6" s="256" t="s">
        <v>344</v>
      </c>
      <c r="G6" s="256" t="s">
        <v>344</v>
      </c>
      <c r="H6" s="258">
        <v>566.69000000000005</v>
      </c>
      <c r="I6" s="259" t="s">
        <v>353</v>
      </c>
      <c r="J6" s="254" t="s">
        <v>354</v>
      </c>
      <c r="K6" s="254" t="s">
        <v>360</v>
      </c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</row>
    <row r="7" spans="1:31" ht="15.75" customHeight="1" outlineLevel="3">
      <c r="A7" s="255"/>
      <c r="B7" s="256" t="s">
        <v>361</v>
      </c>
      <c r="C7" s="257">
        <f t="shared" si="0"/>
        <v>45777</v>
      </c>
      <c r="D7" s="256" t="s">
        <v>342</v>
      </c>
      <c r="E7" s="256" t="s">
        <v>352</v>
      </c>
      <c r="F7" s="256" t="s">
        <v>344</v>
      </c>
      <c r="G7" s="256" t="s">
        <v>344</v>
      </c>
      <c r="H7" s="258">
        <v>566.69000000000005</v>
      </c>
      <c r="I7" s="259" t="s">
        <v>353</v>
      </c>
      <c r="J7" s="254" t="s">
        <v>354</v>
      </c>
      <c r="K7" s="254" t="s">
        <v>362</v>
      </c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</row>
    <row r="8" spans="1:31" ht="15.75" customHeight="1" outlineLevel="3">
      <c r="A8" s="255"/>
      <c r="B8" s="256" t="s">
        <v>363</v>
      </c>
      <c r="C8" s="257">
        <f t="shared" si="0"/>
        <v>45808</v>
      </c>
      <c r="D8" s="256" t="s">
        <v>342</v>
      </c>
      <c r="E8" s="256" t="s">
        <v>344</v>
      </c>
      <c r="F8" s="256" t="s">
        <v>344</v>
      </c>
      <c r="G8" s="256" t="s">
        <v>344</v>
      </c>
      <c r="H8" s="258">
        <v>20</v>
      </c>
      <c r="I8" s="260" t="s">
        <v>121</v>
      </c>
      <c r="J8" s="254" t="s">
        <v>364</v>
      </c>
      <c r="K8" s="254" t="s">
        <v>363</v>
      </c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</row>
    <row r="9" spans="1:31" ht="15.75" customHeight="1" outlineLevel="3">
      <c r="A9" s="255"/>
      <c r="B9" s="256" t="s">
        <v>365</v>
      </c>
      <c r="C9" s="257">
        <f t="shared" si="0"/>
        <v>45808</v>
      </c>
      <c r="D9" s="256" t="s">
        <v>342</v>
      </c>
      <c r="E9" s="256" t="s">
        <v>352</v>
      </c>
      <c r="F9" s="256" t="s">
        <v>344</v>
      </c>
      <c r="G9" s="256" t="s">
        <v>344</v>
      </c>
      <c r="H9" s="258">
        <v>566.69000000000005</v>
      </c>
      <c r="I9" s="259" t="s">
        <v>353</v>
      </c>
      <c r="J9" s="254" t="s">
        <v>354</v>
      </c>
      <c r="K9" s="254" t="s">
        <v>366</v>
      </c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</row>
    <row r="10" spans="1:31" ht="15.75" customHeight="1" outlineLevel="3">
      <c r="A10" s="255"/>
      <c r="B10" s="256" t="s">
        <v>367</v>
      </c>
      <c r="C10" s="257">
        <f t="shared" si="0"/>
        <v>45808</v>
      </c>
      <c r="D10" s="256" t="s">
        <v>342</v>
      </c>
      <c r="E10" s="256" t="s">
        <v>368</v>
      </c>
      <c r="F10" s="256" t="s">
        <v>344</v>
      </c>
      <c r="G10" s="256" t="s">
        <v>344</v>
      </c>
      <c r="H10" s="258">
        <v>24000</v>
      </c>
      <c r="I10" s="259" t="s">
        <v>353</v>
      </c>
      <c r="J10" s="254" t="s">
        <v>354</v>
      </c>
      <c r="K10" s="254" t="s">
        <v>369</v>
      </c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</row>
    <row r="11" spans="1:31" ht="15.75" customHeight="1" outlineLevel="3">
      <c r="A11" s="255"/>
      <c r="B11" s="256" t="s">
        <v>370</v>
      </c>
      <c r="C11" s="257">
        <f t="shared" si="0"/>
        <v>45838</v>
      </c>
      <c r="D11" s="256" t="s">
        <v>342</v>
      </c>
      <c r="E11" s="256" t="s">
        <v>352</v>
      </c>
      <c r="F11" s="256" t="s">
        <v>344</v>
      </c>
      <c r="G11" s="256" t="s">
        <v>344</v>
      </c>
      <c r="H11" s="258">
        <v>566.69000000000005</v>
      </c>
      <c r="I11" s="259" t="s">
        <v>353</v>
      </c>
      <c r="J11" s="254" t="s">
        <v>354</v>
      </c>
      <c r="K11" s="254" t="s">
        <v>371</v>
      </c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</row>
    <row r="12" spans="1:31" ht="15.75" customHeight="1" outlineLevel="3">
      <c r="A12" s="255"/>
      <c r="B12" s="256" t="s">
        <v>372</v>
      </c>
      <c r="C12" s="257">
        <f t="shared" si="0"/>
        <v>45869</v>
      </c>
      <c r="D12" s="256" t="s">
        <v>342</v>
      </c>
      <c r="E12" s="256" t="s">
        <v>352</v>
      </c>
      <c r="F12" s="256" t="s">
        <v>344</v>
      </c>
      <c r="G12" s="256" t="s">
        <v>344</v>
      </c>
      <c r="H12" s="258">
        <v>566.69000000000005</v>
      </c>
      <c r="I12" s="259" t="s">
        <v>353</v>
      </c>
      <c r="J12" s="254" t="s">
        <v>354</v>
      </c>
      <c r="K12" s="254" t="s">
        <v>373</v>
      </c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</row>
    <row r="13" spans="1:31" ht="15.75" customHeight="1" outlineLevel="3">
      <c r="A13" s="255"/>
      <c r="B13" s="256" t="s">
        <v>374</v>
      </c>
      <c r="C13" s="257">
        <f t="shared" si="0"/>
        <v>45869</v>
      </c>
      <c r="D13" s="256" t="s">
        <v>342</v>
      </c>
      <c r="E13" s="256" t="s">
        <v>375</v>
      </c>
      <c r="F13" s="256" t="s">
        <v>344</v>
      </c>
      <c r="G13" s="256" t="s">
        <v>344</v>
      </c>
      <c r="H13" s="258">
        <v>115.51</v>
      </c>
      <c r="I13" s="259" t="s">
        <v>353</v>
      </c>
      <c r="J13" s="254" t="s">
        <v>354</v>
      </c>
      <c r="K13" s="254" t="s">
        <v>376</v>
      </c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</row>
    <row r="14" spans="1:31" ht="15.75" customHeight="1" outlineLevel="3">
      <c r="A14" s="255"/>
      <c r="B14" s="256" t="s">
        <v>377</v>
      </c>
      <c r="C14" s="257">
        <f t="shared" si="0"/>
        <v>45900</v>
      </c>
      <c r="D14" s="256" t="s">
        <v>342</v>
      </c>
      <c r="E14" s="256" t="s">
        <v>352</v>
      </c>
      <c r="F14" s="256" t="s">
        <v>344</v>
      </c>
      <c r="G14" s="256" t="s">
        <v>344</v>
      </c>
      <c r="H14" s="258">
        <v>566.69000000000005</v>
      </c>
      <c r="I14" s="259" t="s">
        <v>353</v>
      </c>
      <c r="J14" s="254" t="s">
        <v>354</v>
      </c>
      <c r="K14" s="254" t="s">
        <v>378</v>
      </c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</row>
    <row r="15" spans="1:31" ht="15.75" customHeight="1" outlineLevel="3">
      <c r="A15" s="255"/>
      <c r="B15" s="256" t="s">
        <v>379</v>
      </c>
      <c r="C15" s="257">
        <f t="shared" si="0"/>
        <v>45930</v>
      </c>
      <c r="D15" s="256" t="s">
        <v>342</v>
      </c>
      <c r="E15" s="256" t="s">
        <v>352</v>
      </c>
      <c r="F15" s="256" t="s">
        <v>344</v>
      </c>
      <c r="G15" s="256" t="s">
        <v>344</v>
      </c>
      <c r="H15" s="258">
        <v>566.69000000000005</v>
      </c>
      <c r="I15" s="259" t="s">
        <v>353</v>
      </c>
      <c r="J15" s="254" t="s">
        <v>354</v>
      </c>
      <c r="K15" s="254" t="s">
        <v>380</v>
      </c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</row>
    <row r="16" spans="1:31" ht="15.75" customHeight="1" outlineLevel="3">
      <c r="A16" s="255"/>
      <c r="B16" s="256" t="s">
        <v>381</v>
      </c>
      <c r="C16" s="257">
        <f t="shared" si="0"/>
        <v>45930</v>
      </c>
      <c r="D16" s="256" t="s">
        <v>382</v>
      </c>
      <c r="E16" s="256" t="s">
        <v>344</v>
      </c>
      <c r="F16" s="256" t="s">
        <v>344</v>
      </c>
      <c r="G16" s="256" t="s">
        <v>344</v>
      </c>
      <c r="H16" s="258">
        <v>3.37</v>
      </c>
      <c r="I16" s="260" t="s">
        <v>121</v>
      </c>
      <c r="J16" s="254" t="s">
        <v>364</v>
      </c>
      <c r="K16" s="254" t="s">
        <v>381</v>
      </c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</row>
    <row r="17" spans="1:31" ht="15.75" customHeight="1" outlineLevel="3">
      <c r="A17" s="255"/>
      <c r="B17" s="256" t="s">
        <v>383</v>
      </c>
      <c r="C17" s="257">
        <f t="shared" si="0"/>
        <v>45961</v>
      </c>
      <c r="D17" s="256" t="s">
        <v>342</v>
      </c>
      <c r="E17" s="256" t="s">
        <v>352</v>
      </c>
      <c r="F17" s="256" t="s">
        <v>344</v>
      </c>
      <c r="G17" s="256" t="s">
        <v>344</v>
      </c>
      <c r="H17" s="258">
        <v>566.69000000000005</v>
      </c>
      <c r="I17" s="259" t="s">
        <v>353</v>
      </c>
      <c r="J17" s="254" t="s">
        <v>354</v>
      </c>
      <c r="K17" s="254" t="s">
        <v>384</v>
      </c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</row>
    <row r="18" spans="1:31" ht="15.75" customHeight="1" outlineLevel="3">
      <c r="A18" s="255"/>
      <c r="B18" s="256" t="s">
        <v>385</v>
      </c>
      <c r="C18" s="257">
        <f t="shared" si="0"/>
        <v>45991</v>
      </c>
      <c r="D18" s="256" t="s">
        <v>342</v>
      </c>
      <c r="E18" s="256" t="s">
        <v>352</v>
      </c>
      <c r="F18" s="256" t="s">
        <v>344</v>
      </c>
      <c r="G18" s="256" t="s">
        <v>344</v>
      </c>
      <c r="H18" s="258">
        <v>566.69000000000005</v>
      </c>
      <c r="I18" s="259" t="s">
        <v>353</v>
      </c>
      <c r="J18" s="254" t="s">
        <v>354</v>
      </c>
      <c r="K18" s="254" t="s">
        <v>386</v>
      </c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</row>
    <row r="19" spans="1:31" ht="15.75" customHeight="1" outlineLevel="3">
      <c r="A19" s="255"/>
      <c r="B19" s="256" t="s">
        <v>387</v>
      </c>
      <c r="C19" s="257">
        <f t="shared" si="0"/>
        <v>45991</v>
      </c>
      <c r="D19" s="256" t="s">
        <v>382</v>
      </c>
      <c r="E19" s="256" t="s">
        <v>344</v>
      </c>
      <c r="F19" s="256" t="s">
        <v>344</v>
      </c>
      <c r="G19" s="256" t="s">
        <v>344</v>
      </c>
      <c r="H19" s="258">
        <v>225.18</v>
      </c>
      <c r="I19" s="260" t="s">
        <v>121</v>
      </c>
      <c r="J19" s="254" t="s">
        <v>364</v>
      </c>
      <c r="K19" s="254" t="s">
        <v>387</v>
      </c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</row>
    <row r="20" spans="1:31" ht="15.75" customHeight="1" outlineLevel="3">
      <c r="A20" s="255"/>
      <c r="B20" s="256" t="s">
        <v>388</v>
      </c>
      <c r="C20" s="257">
        <f t="shared" si="0"/>
        <v>46022</v>
      </c>
      <c r="D20" s="256" t="s">
        <v>342</v>
      </c>
      <c r="E20" s="256" t="s">
        <v>352</v>
      </c>
      <c r="F20" s="256" t="s">
        <v>344</v>
      </c>
      <c r="G20" s="256" t="s">
        <v>344</v>
      </c>
      <c r="H20" s="258">
        <v>566.69000000000005</v>
      </c>
      <c r="I20" s="259" t="s">
        <v>353</v>
      </c>
      <c r="J20" s="254" t="s">
        <v>354</v>
      </c>
      <c r="K20" s="254" t="s">
        <v>389</v>
      </c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</row>
    <row r="21" spans="1:31" ht="15.75" customHeight="1" outlineLevel="3">
      <c r="A21" s="255"/>
      <c r="B21" s="256" t="s">
        <v>390</v>
      </c>
      <c r="C21" s="257">
        <f t="shared" si="0"/>
        <v>46022</v>
      </c>
      <c r="D21" s="256" t="s">
        <v>382</v>
      </c>
      <c r="E21" s="256" t="s">
        <v>344</v>
      </c>
      <c r="F21" s="256" t="s">
        <v>344</v>
      </c>
      <c r="G21" s="256" t="s">
        <v>344</v>
      </c>
      <c r="H21" s="258">
        <v>254.76</v>
      </c>
      <c r="I21" s="260" t="s">
        <v>121</v>
      </c>
      <c r="J21" s="254" t="s">
        <v>364</v>
      </c>
      <c r="K21" s="254" t="s">
        <v>390</v>
      </c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</row>
    <row r="22" spans="1:31" ht="15.75" customHeight="1" outlineLevel="3">
      <c r="A22" s="255"/>
      <c r="B22" s="256" t="s">
        <v>391</v>
      </c>
      <c r="C22" s="257">
        <f t="shared" si="0"/>
        <v>45716</v>
      </c>
      <c r="D22" s="256" t="s">
        <v>392</v>
      </c>
      <c r="E22" s="256" t="s">
        <v>393</v>
      </c>
      <c r="F22" s="256" t="s">
        <v>344</v>
      </c>
      <c r="G22" s="256" t="s">
        <v>344</v>
      </c>
      <c r="H22" s="258">
        <v>100</v>
      </c>
      <c r="I22" s="259" t="s">
        <v>394</v>
      </c>
      <c r="J22" s="254" t="s">
        <v>395</v>
      </c>
      <c r="K22" s="254" t="s">
        <v>396</v>
      </c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</row>
    <row r="23" spans="1:31" ht="15.75" customHeight="1" outlineLevel="3">
      <c r="A23" s="255" t="s">
        <v>397</v>
      </c>
      <c r="B23" s="256" t="s">
        <v>398</v>
      </c>
      <c r="C23" s="257">
        <f t="shared" si="0"/>
        <v>45900</v>
      </c>
      <c r="D23" s="256" t="s">
        <v>342</v>
      </c>
      <c r="E23" s="256" t="s">
        <v>399</v>
      </c>
      <c r="F23" s="256" t="s">
        <v>344</v>
      </c>
      <c r="G23" s="256" t="s">
        <v>344</v>
      </c>
      <c r="H23" s="258">
        <v>155</v>
      </c>
      <c r="I23" s="259" t="s">
        <v>394</v>
      </c>
      <c r="J23" s="254" t="s">
        <v>395</v>
      </c>
      <c r="K23" s="254" t="s">
        <v>400</v>
      </c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</row>
    <row r="24" spans="1:31" ht="15.75" customHeight="1" outlineLevel="3">
      <c r="A24" s="255"/>
      <c r="B24" s="256" t="s">
        <v>401</v>
      </c>
      <c r="C24" s="257">
        <f t="shared" si="0"/>
        <v>45930</v>
      </c>
      <c r="D24" s="256" t="s">
        <v>342</v>
      </c>
      <c r="E24" s="256" t="s">
        <v>402</v>
      </c>
      <c r="F24" s="256" t="s">
        <v>344</v>
      </c>
      <c r="G24" s="256" t="s">
        <v>344</v>
      </c>
      <c r="H24" s="258">
        <v>100</v>
      </c>
      <c r="I24" s="259" t="s">
        <v>394</v>
      </c>
      <c r="J24" s="254" t="s">
        <v>395</v>
      </c>
      <c r="K24" s="254" t="s">
        <v>403</v>
      </c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</row>
    <row r="25" spans="1:31" ht="15.75" customHeight="1" outlineLevel="3">
      <c r="A25" s="255"/>
      <c r="B25" s="256" t="s">
        <v>404</v>
      </c>
      <c r="C25" s="257">
        <f t="shared" si="0"/>
        <v>45930</v>
      </c>
      <c r="D25" s="256" t="s">
        <v>342</v>
      </c>
      <c r="E25" s="256" t="s">
        <v>405</v>
      </c>
      <c r="F25" s="256" t="s">
        <v>344</v>
      </c>
      <c r="G25" s="256" t="s">
        <v>344</v>
      </c>
      <c r="H25" s="258">
        <v>420</v>
      </c>
      <c r="I25" s="259" t="s">
        <v>394</v>
      </c>
      <c r="J25" s="254" t="s">
        <v>395</v>
      </c>
      <c r="K25" s="254" t="s">
        <v>406</v>
      </c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</row>
    <row r="26" spans="1:31" ht="15.75" customHeight="1" outlineLevel="3">
      <c r="A26" s="255"/>
      <c r="B26" s="256" t="s">
        <v>407</v>
      </c>
      <c r="C26" s="257">
        <f t="shared" si="0"/>
        <v>45991</v>
      </c>
      <c r="D26" s="256" t="s">
        <v>342</v>
      </c>
      <c r="E26" s="256" t="s">
        <v>408</v>
      </c>
      <c r="F26" s="256" t="s">
        <v>344</v>
      </c>
      <c r="G26" s="256" t="s">
        <v>344</v>
      </c>
      <c r="H26" s="258">
        <v>200</v>
      </c>
      <c r="I26" s="259" t="s">
        <v>394</v>
      </c>
      <c r="J26" s="254" t="s">
        <v>395</v>
      </c>
      <c r="K26" s="254" t="s">
        <v>409</v>
      </c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</row>
    <row r="27" spans="1:31" ht="15.75" customHeight="1" outlineLevel="3">
      <c r="A27" s="255"/>
      <c r="B27" s="256" t="s">
        <v>388</v>
      </c>
      <c r="C27" s="257">
        <f t="shared" si="0"/>
        <v>46022</v>
      </c>
      <c r="D27" s="256" t="s">
        <v>342</v>
      </c>
      <c r="E27" s="256" t="s">
        <v>410</v>
      </c>
      <c r="F27" s="256" t="s">
        <v>344</v>
      </c>
      <c r="G27" s="256" t="s">
        <v>344</v>
      </c>
      <c r="H27" s="258">
        <v>1800</v>
      </c>
      <c r="I27" s="259" t="s">
        <v>394</v>
      </c>
      <c r="J27" s="254" t="s">
        <v>395</v>
      </c>
      <c r="K27" s="254" t="s">
        <v>411</v>
      </c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</row>
    <row r="28" spans="1:31" ht="15.75" customHeight="1" outlineLevel="3">
      <c r="A28" s="255" t="s">
        <v>412</v>
      </c>
      <c r="B28" s="256" t="s">
        <v>357</v>
      </c>
      <c r="C28" s="257">
        <f t="shared" si="0"/>
        <v>45716</v>
      </c>
      <c r="D28" s="256" t="s">
        <v>392</v>
      </c>
      <c r="E28" s="256" t="s">
        <v>413</v>
      </c>
      <c r="F28" s="256" t="s">
        <v>344</v>
      </c>
      <c r="G28" s="256" t="s">
        <v>344</v>
      </c>
      <c r="H28" s="258">
        <v>1670</v>
      </c>
      <c r="I28" s="259" t="s">
        <v>182</v>
      </c>
      <c r="J28" s="254" t="s">
        <v>414</v>
      </c>
      <c r="K28" s="254" t="s">
        <v>415</v>
      </c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</row>
    <row r="29" spans="1:31" ht="15.75" customHeight="1" outlineLevel="3">
      <c r="A29" s="255" t="s">
        <v>416</v>
      </c>
      <c r="B29" s="256" t="s">
        <v>359</v>
      </c>
      <c r="C29" s="257">
        <f t="shared" si="0"/>
        <v>45747</v>
      </c>
      <c r="D29" s="256" t="s">
        <v>342</v>
      </c>
      <c r="E29" s="256" t="s">
        <v>417</v>
      </c>
      <c r="F29" s="256" t="s">
        <v>344</v>
      </c>
      <c r="G29" s="256" t="s">
        <v>344</v>
      </c>
      <c r="H29" s="258">
        <v>9000</v>
      </c>
      <c r="I29" s="259" t="s">
        <v>182</v>
      </c>
      <c r="J29" s="254" t="s">
        <v>414</v>
      </c>
      <c r="K29" s="254" t="s">
        <v>418</v>
      </c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</row>
    <row r="30" spans="1:31" ht="15.75" customHeight="1" outlineLevel="3">
      <c r="A30" s="261" t="s">
        <v>419</v>
      </c>
      <c r="B30" s="255"/>
      <c r="C30" s="257"/>
      <c r="D30" s="255"/>
      <c r="E30" s="255"/>
      <c r="F30" s="255"/>
      <c r="G30" s="255"/>
      <c r="H30" s="262"/>
      <c r="I30" s="260" t="s">
        <v>121</v>
      </c>
      <c r="J30" s="254" t="s">
        <v>364</v>
      </c>
      <c r="K30" s="254" t="s">
        <v>344</v>
      </c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</row>
    <row r="31" spans="1:31" ht="15.75" customHeight="1" outlineLevel="3">
      <c r="A31" s="255"/>
      <c r="B31" s="256" t="s">
        <v>420</v>
      </c>
      <c r="C31" s="257">
        <f t="shared" ref="C31:C36" si="1">EOMONTH(B31,0)</f>
        <v>45869</v>
      </c>
      <c r="D31" s="256" t="s">
        <v>382</v>
      </c>
      <c r="E31" s="256" t="s">
        <v>344</v>
      </c>
      <c r="F31" s="256" t="s">
        <v>344</v>
      </c>
      <c r="G31" s="256" t="s">
        <v>344</v>
      </c>
      <c r="H31" s="258">
        <v>99</v>
      </c>
      <c r="I31" s="259" t="s">
        <v>182</v>
      </c>
      <c r="J31" s="254" t="s">
        <v>421</v>
      </c>
      <c r="K31" s="254" t="s">
        <v>420</v>
      </c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</row>
    <row r="32" spans="1:31" ht="15.75" customHeight="1" outlineLevel="3">
      <c r="A32" s="255" t="s">
        <v>412</v>
      </c>
      <c r="B32" s="256" t="s">
        <v>357</v>
      </c>
      <c r="C32" s="257">
        <f t="shared" si="1"/>
        <v>45716</v>
      </c>
      <c r="D32" s="256" t="s">
        <v>392</v>
      </c>
      <c r="E32" s="256" t="s">
        <v>413</v>
      </c>
      <c r="F32" s="256" t="s">
        <v>344</v>
      </c>
      <c r="G32" s="256" t="s">
        <v>344</v>
      </c>
      <c r="H32" s="258">
        <v>3698</v>
      </c>
      <c r="I32" s="259" t="s">
        <v>182</v>
      </c>
      <c r="J32" s="254" t="s">
        <v>414</v>
      </c>
      <c r="K32" s="254" t="s">
        <v>415</v>
      </c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</row>
    <row r="33" spans="1:31" ht="15.75" customHeight="1" outlineLevel="3">
      <c r="A33" s="255" t="s">
        <v>422</v>
      </c>
      <c r="B33" s="256" t="s">
        <v>359</v>
      </c>
      <c r="C33" s="257">
        <f t="shared" si="1"/>
        <v>45747</v>
      </c>
      <c r="D33" s="256" t="s">
        <v>392</v>
      </c>
      <c r="E33" s="256" t="s">
        <v>423</v>
      </c>
      <c r="F33" s="256" t="s">
        <v>344</v>
      </c>
      <c r="G33" s="256" t="s">
        <v>344</v>
      </c>
      <c r="H33" s="258">
        <v>800</v>
      </c>
      <c r="I33" s="259" t="s">
        <v>182</v>
      </c>
      <c r="J33" s="254" t="s">
        <v>424</v>
      </c>
      <c r="K33" s="254" t="s">
        <v>425</v>
      </c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</row>
    <row r="34" spans="1:31" ht="15.75" customHeight="1" outlineLevel="3">
      <c r="A34" s="255" t="s">
        <v>426</v>
      </c>
      <c r="B34" s="256" t="s">
        <v>363</v>
      </c>
      <c r="C34" s="257">
        <f t="shared" si="1"/>
        <v>45808</v>
      </c>
      <c r="D34" s="256" t="s">
        <v>382</v>
      </c>
      <c r="E34" s="256" t="s">
        <v>427</v>
      </c>
      <c r="F34" s="256" t="s">
        <v>344</v>
      </c>
      <c r="G34" s="256" t="s">
        <v>344</v>
      </c>
      <c r="H34" s="258">
        <v>163.37</v>
      </c>
      <c r="I34" s="259" t="s">
        <v>182</v>
      </c>
      <c r="J34" s="254" t="s">
        <v>424</v>
      </c>
      <c r="K34" s="254" t="s">
        <v>428</v>
      </c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</row>
    <row r="35" spans="1:31" ht="15.75" customHeight="1" outlineLevel="3">
      <c r="A35" s="255" t="s">
        <v>429</v>
      </c>
      <c r="B35" s="256" t="s">
        <v>379</v>
      </c>
      <c r="C35" s="257">
        <f t="shared" si="1"/>
        <v>45930</v>
      </c>
      <c r="D35" s="256" t="s">
        <v>342</v>
      </c>
      <c r="E35" s="256" t="s">
        <v>430</v>
      </c>
      <c r="F35" s="256" t="s">
        <v>344</v>
      </c>
      <c r="G35" s="256" t="s">
        <v>344</v>
      </c>
      <c r="H35" s="258">
        <v>75</v>
      </c>
      <c r="I35" s="259" t="s">
        <v>182</v>
      </c>
      <c r="J35" s="254" t="s">
        <v>424</v>
      </c>
      <c r="K35" s="254" t="s">
        <v>431</v>
      </c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  <c r="AE35" s="254"/>
    </row>
    <row r="36" spans="1:31" ht="15.75" customHeight="1" outlineLevel="3">
      <c r="A36" s="255"/>
      <c r="B36" s="256" t="s">
        <v>432</v>
      </c>
      <c r="C36" s="257">
        <f t="shared" si="1"/>
        <v>45747</v>
      </c>
      <c r="D36" s="256" t="s">
        <v>382</v>
      </c>
      <c r="E36" s="256" t="s">
        <v>433</v>
      </c>
      <c r="F36" s="256" t="s">
        <v>344</v>
      </c>
      <c r="G36" s="256" t="s">
        <v>344</v>
      </c>
      <c r="H36" s="258">
        <v>99</v>
      </c>
      <c r="I36" s="259" t="s">
        <v>182</v>
      </c>
      <c r="J36" s="254" t="s">
        <v>434</v>
      </c>
      <c r="K36" s="254" t="s">
        <v>435</v>
      </c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  <c r="AE36" s="254"/>
    </row>
    <row r="37" spans="1:31" ht="15.75" customHeight="1" outlineLevel="3">
      <c r="A37" s="261" t="s">
        <v>436</v>
      </c>
      <c r="B37" s="255"/>
      <c r="C37" s="257"/>
      <c r="D37" s="255"/>
      <c r="E37" s="255"/>
      <c r="F37" s="255"/>
      <c r="G37" s="255"/>
      <c r="H37" s="262"/>
      <c r="I37" s="260" t="s">
        <v>121</v>
      </c>
      <c r="J37" s="254" t="s">
        <v>364</v>
      </c>
      <c r="K37" s="254" t="s">
        <v>344</v>
      </c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</row>
    <row r="38" spans="1:31" ht="15.75" customHeight="1" outlineLevel="3">
      <c r="A38" s="255" t="s">
        <v>437</v>
      </c>
      <c r="B38" s="256"/>
      <c r="C38" s="257"/>
      <c r="D38" s="256"/>
      <c r="E38" s="256"/>
      <c r="F38" s="256"/>
      <c r="G38" s="256"/>
      <c r="H38" s="258">
        <v>115000</v>
      </c>
      <c r="I38" s="259" t="s">
        <v>438</v>
      </c>
      <c r="J38" s="254" t="s">
        <v>364</v>
      </c>
      <c r="K38" s="254" t="s">
        <v>344</v>
      </c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</row>
    <row r="39" spans="1:31" ht="15.75" customHeight="1" outlineLevel="3">
      <c r="A39" s="255" t="s">
        <v>439</v>
      </c>
      <c r="B39" s="256" t="s">
        <v>359</v>
      </c>
      <c r="C39" s="257">
        <f t="shared" ref="C39:C41" si="2">EOMONTH(B39,0)</f>
        <v>45747</v>
      </c>
      <c r="D39" s="256" t="s">
        <v>342</v>
      </c>
      <c r="E39" s="256" t="s">
        <v>440</v>
      </c>
      <c r="F39" s="256" t="s">
        <v>344</v>
      </c>
      <c r="G39" s="256" t="s">
        <v>344</v>
      </c>
      <c r="H39" s="258">
        <v>1000</v>
      </c>
      <c r="I39" s="259" t="s">
        <v>182</v>
      </c>
      <c r="J39" s="254" t="s">
        <v>441</v>
      </c>
      <c r="K39" s="254" t="s">
        <v>442</v>
      </c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</row>
    <row r="40" spans="1:31" ht="15.75" customHeight="1" outlineLevel="3">
      <c r="A40" s="255" t="s">
        <v>439</v>
      </c>
      <c r="B40" s="256" t="s">
        <v>443</v>
      </c>
      <c r="C40" s="257">
        <f t="shared" si="2"/>
        <v>45930</v>
      </c>
      <c r="D40" s="256" t="s">
        <v>342</v>
      </c>
      <c r="E40" s="256" t="s">
        <v>344</v>
      </c>
      <c r="F40" s="256" t="s">
        <v>344</v>
      </c>
      <c r="G40" s="256" t="s">
        <v>344</v>
      </c>
      <c r="H40" s="258">
        <v>5317.58</v>
      </c>
      <c r="I40" s="259" t="s">
        <v>182</v>
      </c>
      <c r="J40" s="254" t="s">
        <v>441</v>
      </c>
      <c r="K40" s="254" t="s">
        <v>443</v>
      </c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</row>
    <row r="41" spans="1:31" ht="15.75" customHeight="1" outlineLevel="3">
      <c r="A41" s="255" t="s">
        <v>439</v>
      </c>
      <c r="B41" s="256" t="s">
        <v>444</v>
      </c>
      <c r="C41" s="257">
        <f t="shared" si="2"/>
        <v>45991</v>
      </c>
      <c r="D41" s="256" t="s">
        <v>342</v>
      </c>
      <c r="E41" s="256" t="s">
        <v>445</v>
      </c>
      <c r="F41" s="256" t="s">
        <v>344</v>
      </c>
      <c r="G41" s="256" t="s">
        <v>344</v>
      </c>
      <c r="H41" s="258">
        <v>400</v>
      </c>
      <c r="I41" s="259" t="s">
        <v>182</v>
      </c>
      <c r="J41" s="254" t="s">
        <v>441</v>
      </c>
      <c r="K41" s="254" t="s">
        <v>446</v>
      </c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</row>
    <row r="42" spans="1:31" ht="15.75" customHeight="1" outlineLevel="3">
      <c r="A42" s="261" t="s">
        <v>447</v>
      </c>
      <c r="B42" s="255"/>
      <c r="C42" s="257"/>
      <c r="D42" s="255"/>
      <c r="E42" s="255"/>
      <c r="F42" s="255"/>
      <c r="G42" s="255"/>
      <c r="H42" s="262"/>
      <c r="I42" s="260" t="s">
        <v>121</v>
      </c>
      <c r="J42" s="254" t="s">
        <v>364</v>
      </c>
      <c r="K42" s="254" t="s">
        <v>344</v>
      </c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  <c r="AE42" s="254"/>
    </row>
    <row r="43" spans="1:31" ht="15.75" customHeight="1" outlineLevel="3">
      <c r="A43" s="255"/>
      <c r="B43" s="256" t="s">
        <v>448</v>
      </c>
      <c r="C43" s="257">
        <f t="shared" ref="C43:C73" si="3">EOMONTH(B43,0)</f>
        <v>45688</v>
      </c>
      <c r="D43" s="256" t="s">
        <v>342</v>
      </c>
      <c r="E43" s="256" t="s">
        <v>344</v>
      </c>
      <c r="F43" s="256" t="s">
        <v>344</v>
      </c>
      <c r="G43" s="256" t="s">
        <v>344</v>
      </c>
      <c r="H43" s="258">
        <v>15500</v>
      </c>
      <c r="I43" s="259" t="s">
        <v>61</v>
      </c>
      <c r="J43" s="254" t="s">
        <v>447</v>
      </c>
      <c r="K43" s="254" t="s">
        <v>448</v>
      </c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  <c r="AE43" s="254"/>
    </row>
    <row r="44" spans="1:31" ht="15.75" customHeight="1" outlineLevel="3">
      <c r="A44" s="255" t="s">
        <v>449</v>
      </c>
      <c r="B44" s="256" t="s">
        <v>450</v>
      </c>
      <c r="C44" s="257">
        <f t="shared" si="3"/>
        <v>45716</v>
      </c>
      <c r="D44" s="256" t="s">
        <v>342</v>
      </c>
      <c r="E44" s="256" t="s">
        <v>344</v>
      </c>
      <c r="F44" s="256" t="s">
        <v>344</v>
      </c>
      <c r="G44" s="256" t="s">
        <v>344</v>
      </c>
      <c r="H44" s="258">
        <v>15500</v>
      </c>
      <c r="I44" s="259" t="s">
        <v>61</v>
      </c>
      <c r="J44" s="254" t="s">
        <v>346</v>
      </c>
      <c r="K44" s="254" t="s">
        <v>450</v>
      </c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</row>
    <row r="45" spans="1:31" ht="15.75" customHeight="1" outlineLevel="3">
      <c r="A45" s="255"/>
      <c r="B45" s="256" t="s">
        <v>357</v>
      </c>
      <c r="C45" s="257">
        <f t="shared" si="3"/>
        <v>45716</v>
      </c>
      <c r="D45" s="256" t="s">
        <v>342</v>
      </c>
      <c r="E45" s="256" t="s">
        <v>344</v>
      </c>
      <c r="F45" s="256" t="s">
        <v>344</v>
      </c>
      <c r="G45" s="256" t="s">
        <v>344</v>
      </c>
      <c r="H45" s="258">
        <v>15500</v>
      </c>
      <c r="I45" s="259" t="s">
        <v>61</v>
      </c>
      <c r="J45" s="254" t="s">
        <v>447</v>
      </c>
      <c r="K45" s="254" t="s">
        <v>357</v>
      </c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</row>
    <row r="46" spans="1:31" ht="15.75" customHeight="1" outlineLevel="3">
      <c r="A46" s="255"/>
      <c r="B46" s="256" t="s">
        <v>359</v>
      </c>
      <c r="C46" s="257">
        <f t="shared" si="3"/>
        <v>45747</v>
      </c>
      <c r="D46" s="256" t="s">
        <v>342</v>
      </c>
      <c r="E46" s="256" t="s">
        <v>344</v>
      </c>
      <c r="F46" s="256" t="s">
        <v>344</v>
      </c>
      <c r="G46" s="256" t="s">
        <v>344</v>
      </c>
      <c r="H46" s="258">
        <v>15500</v>
      </c>
      <c r="I46" s="259" t="s">
        <v>61</v>
      </c>
      <c r="J46" s="254" t="s">
        <v>447</v>
      </c>
      <c r="K46" s="254" t="s">
        <v>359</v>
      </c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  <c r="AE46" s="254"/>
    </row>
    <row r="47" spans="1:31" ht="15.75" customHeight="1" outlineLevel="3">
      <c r="A47" s="255"/>
      <c r="B47" s="256" t="s">
        <v>451</v>
      </c>
      <c r="C47" s="257">
        <f t="shared" si="3"/>
        <v>45808</v>
      </c>
      <c r="D47" s="256" t="s">
        <v>342</v>
      </c>
      <c r="E47" s="256" t="s">
        <v>452</v>
      </c>
      <c r="F47" s="256" t="s">
        <v>344</v>
      </c>
      <c r="G47" s="256" t="s">
        <v>344</v>
      </c>
      <c r="H47" s="258">
        <v>22500</v>
      </c>
      <c r="I47" s="259" t="s">
        <v>61</v>
      </c>
      <c r="J47" s="254" t="s">
        <v>447</v>
      </c>
      <c r="K47" s="254" t="s">
        <v>453</v>
      </c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</row>
    <row r="48" spans="1:31" ht="15.75" customHeight="1" outlineLevel="3">
      <c r="A48" s="255"/>
      <c r="B48" s="256" t="s">
        <v>451</v>
      </c>
      <c r="C48" s="257">
        <f t="shared" si="3"/>
        <v>45808</v>
      </c>
      <c r="D48" s="256" t="s">
        <v>342</v>
      </c>
      <c r="E48" s="256" t="s">
        <v>344</v>
      </c>
      <c r="F48" s="256" t="s">
        <v>344</v>
      </c>
      <c r="G48" s="256" t="s">
        <v>344</v>
      </c>
      <c r="H48" s="258">
        <v>15500</v>
      </c>
      <c r="I48" s="259" t="s">
        <v>61</v>
      </c>
      <c r="J48" s="254" t="s">
        <v>447</v>
      </c>
      <c r="K48" s="254" t="s">
        <v>451</v>
      </c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</row>
    <row r="49" spans="1:31" ht="15.75" customHeight="1" outlineLevel="3">
      <c r="A49" s="255"/>
      <c r="B49" s="256" t="s">
        <v>454</v>
      </c>
      <c r="C49" s="257">
        <f t="shared" si="3"/>
        <v>45838</v>
      </c>
      <c r="D49" s="256" t="s">
        <v>342</v>
      </c>
      <c r="E49" s="256" t="s">
        <v>344</v>
      </c>
      <c r="F49" s="256" t="s">
        <v>344</v>
      </c>
      <c r="G49" s="256" t="s">
        <v>344</v>
      </c>
      <c r="H49" s="258">
        <v>15500</v>
      </c>
      <c r="I49" s="259" t="s">
        <v>61</v>
      </c>
      <c r="J49" s="254" t="s">
        <v>447</v>
      </c>
      <c r="K49" s="254" t="s">
        <v>454</v>
      </c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</row>
    <row r="50" spans="1:31" ht="15.75" customHeight="1" outlineLevel="3">
      <c r="A50" s="255"/>
      <c r="B50" s="256" t="s">
        <v>455</v>
      </c>
      <c r="C50" s="257">
        <f t="shared" si="3"/>
        <v>45869</v>
      </c>
      <c r="D50" s="256" t="s">
        <v>342</v>
      </c>
      <c r="E50" s="256" t="s">
        <v>344</v>
      </c>
      <c r="F50" s="256" t="s">
        <v>344</v>
      </c>
      <c r="G50" s="256" t="s">
        <v>344</v>
      </c>
      <c r="H50" s="258">
        <v>15500</v>
      </c>
      <c r="I50" s="259" t="s">
        <v>61</v>
      </c>
      <c r="J50" s="254" t="s">
        <v>456</v>
      </c>
      <c r="K50" s="254" t="s">
        <v>455</v>
      </c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  <c r="AE50" s="254"/>
    </row>
    <row r="51" spans="1:31" ht="15.75" customHeight="1" outlineLevel="2">
      <c r="A51" s="255"/>
      <c r="B51" s="256" t="s">
        <v>457</v>
      </c>
      <c r="C51" s="257">
        <f t="shared" si="3"/>
        <v>45900</v>
      </c>
      <c r="D51" s="256" t="s">
        <v>342</v>
      </c>
      <c r="E51" s="256" t="s">
        <v>344</v>
      </c>
      <c r="F51" s="256" t="s">
        <v>344</v>
      </c>
      <c r="G51" s="256" t="s">
        <v>344</v>
      </c>
      <c r="H51" s="258">
        <v>15500</v>
      </c>
      <c r="I51" s="259" t="s">
        <v>61</v>
      </c>
      <c r="J51" s="254" t="s">
        <v>447</v>
      </c>
      <c r="K51" s="254" t="s">
        <v>457</v>
      </c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  <c r="AE51" s="254"/>
    </row>
    <row r="52" spans="1:31" ht="15.75" customHeight="1" outlineLevel="2">
      <c r="A52" s="255"/>
      <c r="B52" s="256" t="s">
        <v>458</v>
      </c>
      <c r="C52" s="257">
        <f t="shared" si="3"/>
        <v>45930</v>
      </c>
      <c r="D52" s="256" t="s">
        <v>342</v>
      </c>
      <c r="E52" s="256" t="s">
        <v>344</v>
      </c>
      <c r="F52" s="256" t="s">
        <v>344</v>
      </c>
      <c r="G52" s="256" t="s">
        <v>344</v>
      </c>
      <c r="H52" s="258">
        <v>15500</v>
      </c>
      <c r="I52" s="259" t="s">
        <v>61</v>
      </c>
      <c r="J52" s="254" t="s">
        <v>447</v>
      </c>
      <c r="K52" s="254" t="s">
        <v>458</v>
      </c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</row>
    <row r="53" spans="1:31" ht="15.75" customHeight="1" outlineLevel="3">
      <c r="A53" s="255"/>
      <c r="B53" s="256" t="s">
        <v>459</v>
      </c>
      <c r="C53" s="257">
        <f t="shared" si="3"/>
        <v>45961</v>
      </c>
      <c r="D53" s="256" t="s">
        <v>342</v>
      </c>
      <c r="E53" s="256" t="s">
        <v>344</v>
      </c>
      <c r="F53" s="256" t="s">
        <v>344</v>
      </c>
      <c r="G53" s="256" t="s">
        <v>344</v>
      </c>
      <c r="H53" s="258">
        <v>15500</v>
      </c>
      <c r="I53" s="259" t="s">
        <v>61</v>
      </c>
      <c r="J53" s="254" t="s">
        <v>456</v>
      </c>
      <c r="K53" s="254" t="s">
        <v>459</v>
      </c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</row>
    <row r="54" spans="1:31" ht="15.75" customHeight="1" outlineLevel="3">
      <c r="A54" s="255"/>
      <c r="B54" s="256" t="s">
        <v>460</v>
      </c>
      <c r="C54" s="257">
        <f t="shared" si="3"/>
        <v>45991</v>
      </c>
      <c r="D54" s="256" t="s">
        <v>342</v>
      </c>
      <c r="E54" s="256" t="s">
        <v>344</v>
      </c>
      <c r="F54" s="256" t="s">
        <v>344</v>
      </c>
      <c r="G54" s="256" t="s">
        <v>344</v>
      </c>
      <c r="H54" s="258">
        <v>15500</v>
      </c>
      <c r="I54" s="259" t="s">
        <v>61</v>
      </c>
      <c r="J54" s="254" t="s">
        <v>461</v>
      </c>
      <c r="K54" s="254" t="s">
        <v>460</v>
      </c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  <c r="AE54" s="254"/>
    </row>
    <row r="55" spans="1:31" ht="15.75" customHeight="1" outlineLevel="3">
      <c r="A55" s="255"/>
      <c r="B55" s="256" t="s">
        <v>462</v>
      </c>
      <c r="C55" s="257">
        <f t="shared" si="3"/>
        <v>46022</v>
      </c>
      <c r="D55" s="256" t="s">
        <v>342</v>
      </c>
      <c r="E55" s="256" t="s">
        <v>344</v>
      </c>
      <c r="F55" s="256" t="s">
        <v>344</v>
      </c>
      <c r="G55" s="256" t="s">
        <v>344</v>
      </c>
      <c r="H55" s="258">
        <v>15500</v>
      </c>
      <c r="I55" s="259" t="s">
        <v>61</v>
      </c>
      <c r="J55" s="254" t="s">
        <v>447</v>
      </c>
      <c r="K55" s="254" t="s">
        <v>462</v>
      </c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  <c r="AE55" s="254"/>
    </row>
    <row r="56" spans="1:31" ht="15.75" customHeight="1" outlineLevel="3">
      <c r="A56" s="255" t="s">
        <v>463</v>
      </c>
      <c r="B56" s="256" t="s">
        <v>464</v>
      </c>
      <c r="C56" s="257">
        <f t="shared" si="3"/>
        <v>45688</v>
      </c>
      <c r="D56" s="256" t="s">
        <v>342</v>
      </c>
      <c r="E56" s="256" t="s">
        <v>465</v>
      </c>
      <c r="F56" s="256" t="s">
        <v>344</v>
      </c>
      <c r="G56" s="256" t="s">
        <v>344</v>
      </c>
      <c r="H56" s="258">
        <v>4816.45</v>
      </c>
      <c r="I56" s="259" t="s">
        <v>182</v>
      </c>
      <c r="J56" s="254" t="s">
        <v>466</v>
      </c>
      <c r="K56" s="254" t="s">
        <v>467</v>
      </c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  <c r="AE56" s="254"/>
    </row>
    <row r="57" spans="1:31" ht="15.75" customHeight="1" outlineLevel="3">
      <c r="A57" s="255" t="s">
        <v>468</v>
      </c>
      <c r="B57" s="256" t="s">
        <v>464</v>
      </c>
      <c r="C57" s="257">
        <f t="shared" si="3"/>
        <v>45688</v>
      </c>
      <c r="D57" s="256" t="s">
        <v>342</v>
      </c>
      <c r="E57" s="256" t="s">
        <v>469</v>
      </c>
      <c r="F57" s="256" t="s">
        <v>344</v>
      </c>
      <c r="G57" s="256" t="s">
        <v>344</v>
      </c>
      <c r="H57" s="258">
        <v>4260.3599999999997</v>
      </c>
      <c r="I57" s="259" t="s">
        <v>182</v>
      </c>
      <c r="J57" s="254" t="s">
        <v>466</v>
      </c>
      <c r="K57" s="254" t="s">
        <v>470</v>
      </c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  <c r="AE57" s="254"/>
    </row>
    <row r="58" spans="1:31" ht="15.75" customHeight="1" outlineLevel="3">
      <c r="A58" s="255" t="s">
        <v>468</v>
      </c>
      <c r="B58" s="256" t="s">
        <v>357</v>
      </c>
      <c r="C58" s="257">
        <f t="shared" si="3"/>
        <v>45716</v>
      </c>
      <c r="D58" s="256" t="s">
        <v>342</v>
      </c>
      <c r="E58" s="256" t="s">
        <v>471</v>
      </c>
      <c r="F58" s="256" t="s">
        <v>344</v>
      </c>
      <c r="G58" s="256" t="s">
        <v>344</v>
      </c>
      <c r="H58" s="258">
        <v>270.05</v>
      </c>
      <c r="I58" s="259" t="s">
        <v>182</v>
      </c>
      <c r="J58" s="254" t="s">
        <v>466</v>
      </c>
      <c r="K58" s="254" t="s">
        <v>472</v>
      </c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</row>
    <row r="59" spans="1:31" ht="15.75" customHeight="1" outlineLevel="3">
      <c r="A59" s="255" t="s">
        <v>463</v>
      </c>
      <c r="B59" s="256" t="s">
        <v>359</v>
      </c>
      <c r="C59" s="257">
        <f t="shared" si="3"/>
        <v>45747</v>
      </c>
      <c r="D59" s="256" t="s">
        <v>392</v>
      </c>
      <c r="E59" s="256" t="s">
        <v>465</v>
      </c>
      <c r="F59" s="256" t="s">
        <v>344</v>
      </c>
      <c r="G59" s="256" t="s">
        <v>344</v>
      </c>
      <c r="H59" s="258">
        <v>4648.68</v>
      </c>
      <c r="I59" s="259" t="s">
        <v>182</v>
      </c>
      <c r="J59" s="254" t="s">
        <v>466</v>
      </c>
      <c r="K59" s="254" t="s">
        <v>473</v>
      </c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  <c r="AE59" s="254"/>
    </row>
    <row r="60" spans="1:31" ht="15.75" customHeight="1" outlineLevel="3">
      <c r="A60" s="255" t="s">
        <v>474</v>
      </c>
      <c r="B60" s="256" t="s">
        <v>475</v>
      </c>
      <c r="C60" s="257">
        <f t="shared" si="3"/>
        <v>45777</v>
      </c>
      <c r="D60" s="256" t="s">
        <v>342</v>
      </c>
      <c r="E60" s="256" t="s">
        <v>476</v>
      </c>
      <c r="F60" s="256" t="s">
        <v>344</v>
      </c>
      <c r="G60" s="256" t="s">
        <v>344</v>
      </c>
      <c r="H60" s="258">
        <v>6300</v>
      </c>
      <c r="I60" s="259" t="s">
        <v>182</v>
      </c>
      <c r="J60" s="254" t="s">
        <v>466</v>
      </c>
      <c r="K60" s="254" t="s">
        <v>477</v>
      </c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</row>
    <row r="61" spans="1:31" ht="15.75" customHeight="1" outlineLevel="3">
      <c r="A61" s="255" t="s">
        <v>463</v>
      </c>
      <c r="B61" s="256" t="s">
        <v>478</v>
      </c>
      <c r="C61" s="257">
        <f t="shared" si="3"/>
        <v>45808</v>
      </c>
      <c r="D61" s="256" t="s">
        <v>342</v>
      </c>
      <c r="E61" s="256" t="s">
        <v>465</v>
      </c>
      <c r="F61" s="256" t="s">
        <v>344</v>
      </c>
      <c r="G61" s="256" t="s">
        <v>344</v>
      </c>
      <c r="H61" s="258">
        <v>3703.88</v>
      </c>
      <c r="I61" s="259" t="s">
        <v>182</v>
      </c>
      <c r="J61" s="254" t="s">
        <v>466</v>
      </c>
      <c r="K61" s="254" t="s">
        <v>479</v>
      </c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</row>
    <row r="62" spans="1:31" ht="15.75" customHeight="1" outlineLevel="3">
      <c r="A62" s="255" t="s">
        <v>480</v>
      </c>
      <c r="B62" s="256" t="s">
        <v>481</v>
      </c>
      <c r="C62" s="257">
        <f t="shared" si="3"/>
        <v>45838</v>
      </c>
      <c r="D62" s="256" t="s">
        <v>382</v>
      </c>
      <c r="E62" s="256" t="s">
        <v>482</v>
      </c>
      <c r="F62" s="256" t="s">
        <v>344</v>
      </c>
      <c r="G62" s="256" t="s">
        <v>344</v>
      </c>
      <c r="H62" s="258">
        <v>1662.14</v>
      </c>
      <c r="I62" s="259" t="s">
        <v>182</v>
      </c>
      <c r="J62" s="254" t="s">
        <v>466</v>
      </c>
      <c r="K62" s="254" t="s">
        <v>483</v>
      </c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</row>
    <row r="63" spans="1:31" ht="15.75" customHeight="1" outlineLevel="3">
      <c r="A63" s="255" t="s">
        <v>463</v>
      </c>
      <c r="B63" s="256" t="s">
        <v>484</v>
      </c>
      <c r="C63" s="257">
        <f t="shared" si="3"/>
        <v>45838</v>
      </c>
      <c r="D63" s="256" t="s">
        <v>342</v>
      </c>
      <c r="E63" s="256" t="s">
        <v>485</v>
      </c>
      <c r="F63" s="256" t="s">
        <v>344</v>
      </c>
      <c r="G63" s="256" t="s">
        <v>344</v>
      </c>
      <c r="H63" s="258">
        <v>250</v>
      </c>
      <c r="I63" s="259" t="s">
        <v>182</v>
      </c>
      <c r="J63" s="254" t="s">
        <v>466</v>
      </c>
      <c r="K63" s="254" t="s">
        <v>486</v>
      </c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</row>
    <row r="64" spans="1:31" ht="15.75" customHeight="1" outlineLevel="3">
      <c r="A64" s="255" t="s">
        <v>468</v>
      </c>
      <c r="B64" s="256" t="s">
        <v>487</v>
      </c>
      <c r="C64" s="257">
        <f t="shared" si="3"/>
        <v>45838</v>
      </c>
      <c r="D64" s="256" t="s">
        <v>342</v>
      </c>
      <c r="E64" s="256" t="s">
        <v>469</v>
      </c>
      <c r="F64" s="256" t="s">
        <v>344</v>
      </c>
      <c r="G64" s="256" t="s">
        <v>344</v>
      </c>
      <c r="H64" s="258">
        <v>55.75</v>
      </c>
      <c r="I64" s="259" t="s">
        <v>182</v>
      </c>
      <c r="J64" s="254" t="s">
        <v>466</v>
      </c>
      <c r="K64" s="254" t="s">
        <v>488</v>
      </c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</row>
    <row r="65" spans="1:31" ht="15.75" customHeight="1" outlineLevel="3">
      <c r="A65" s="255" t="s">
        <v>468</v>
      </c>
      <c r="B65" s="256" t="s">
        <v>457</v>
      </c>
      <c r="C65" s="257">
        <f t="shared" si="3"/>
        <v>45900</v>
      </c>
      <c r="D65" s="256" t="s">
        <v>342</v>
      </c>
      <c r="E65" s="256" t="s">
        <v>489</v>
      </c>
      <c r="F65" s="256" t="s">
        <v>344</v>
      </c>
      <c r="G65" s="256" t="s">
        <v>344</v>
      </c>
      <c r="H65" s="258">
        <v>484.88</v>
      </c>
      <c r="I65" s="259" t="s">
        <v>182</v>
      </c>
      <c r="J65" s="254" t="s">
        <v>466</v>
      </c>
      <c r="K65" s="254" t="s">
        <v>490</v>
      </c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  <c r="AD65" s="254"/>
      <c r="AE65" s="254"/>
    </row>
    <row r="66" spans="1:31" ht="15.75" customHeight="1" outlineLevel="3">
      <c r="A66" s="255" t="s">
        <v>468</v>
      </c>
      <c r="B66" s="256" t="s">
        <v>491</v>
      </c>
      <c r="C66" s="257">
        <f t="shared" si="3"/>
        <v>45930</v>
      </c>
      <c r="D66" s="256" t="s">
        <v>342</v>
      </c>
      <c r="E66" s="256" t="s">
        <v>492</v>
      </c>
      <c r="F66" s="256" t="s">
        <v>344</v>
      </c>
      <c r="G66" s="256" t="s">
        <v>344</v>
      </c>
      <c r="H66" s="258">
        <v>300</v>
      </c>
      <c r="I66" s="259" t="s">
        <v>182</v>
      </c>
      <c r="J66" s="254" t="s">
        <v>466</v>
      </c>
      <c r="K66" s="254" t="s">
        <v>493</v>
      </c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  <c r="AD66" s="254"/>
      <c r="AE66" s="254"/>
    </row>
    <row r="67" spans="1:31" ht="15.75" customHeight="1" outlineLevel="3">
      <c r="A67" s="255" t="s">
        <v>468</v>
      </c>
      <c r="B67" s="256" t="s">
        <v>494</v>
      </c>
      <c r="C67" s="257">
        <f t="shared" si="3"/>
        <v>45961</v>
      </c>
      <c r="D67" s="256" t="s">
        <v>342</v>
      </c>
      <c r="E67" s="256" t="s">
        <v>469</v>
      </c>
      <c r="F67" s="256" t="s">
        <v>344</v>
      </c>
      <c r="G67" s="256" t="s">
        <v>344</v>
      </c>
      <c r="H67" s="258">
        <v>2627.05</v>
      </c>
      <c r="I67" s="259" t="s">
        <v>182</v>
      </c>
      <c r="J67" s="254" t="s">
        <v>466</v>
      </c>
      <c r="K67" s="254" t="s">
        <v>495</v>
      </c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  <c r="AD67" s="254"/>
      <c r="AE67" s="254"/>
    </row>
    <row r="68" spans="1:31" ht="15.75" customHeight="1" outlineLevel="3">
      <c r="A68" s="255" t="s">
        <v>439</v>
      </c>
      <c r="B68" s="256" t="s">
        <v>496</v>
      </c>
      <c r="C68" s="257">
        <f t="shared" si="3"/>
        <v>45991</v>
      </c>
      <c r="D68" s="256" t="s">
        <v>342</v>
      </c>
      <c r="E68" s="256" t="s">
        <v>497</v>
      </c>
      <c r="F68" s="256" t="s">
        <v>344</v>
      </c>
      <c r="G68" s="256" t="s">
        <v>344</v>
      </c>
      <c r="H68" s="258">
        <v>3800</v>
      </c>
      <c r="I68" s="259" t="s">
        <v>182</v>
      </c>
      <c r="J68" s="254" t="s">
        <v>466</v>
      </c>
      <c r="K68" s="254" t="s">
        <v>498</v>
      </c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  <c r="AD68" s="254"/>
      <c r="AE68" s="254"/>
    </row>
    <row r="69" spans="1:31" ht="15.75" customHeight="1" outlineLevel="2">
      <c r="A69" s="255" t="s">
        <v>474</v>
      </c>
      <c r="B69" s="256" t="s">
        <v>444</v>
      </c>
      <c r="C69" s="257">
        <f t="shared" si="3"/>
        <v>45991</v>
      </c>
      <c r="D69" s="256" t="s">
        <v>342</v>
      </c>
      <c r="E69" s="256" t="s">
        <v>476</v>
      </c>
      <c r="F69" s="256" t="s">
        <v>344</v>
      </c>
      <c r="G69" s="256" t="s">
        <v>344</v>
      </c>
      <c r="H69" s="258">
        <v>900</v>
      </c>
      <c r="I69" s="259" t="s">
        <v>182</v>
      </c>
      <c r="J69" s="254" t="s">
        <v>466</v>
      </c>
      <c r="K69" s="254" t="s">
        <v>499</v>
      </c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  <c r="AD69" s="254"/>
      <c r="AE69" s="254"/>
    </row>
    <row r="70" spans="1:31" ht="15.75" customHeight="1" outlineLevel="2">
      <c r="A70" s="255" t="s">
        <v>468</v>
      </c>
      <c r="B70" s="256" t="s">
        <v>500</v>
      </c>
      <c r="C70" s="257">
        <f t="shared" si="3"/>
        <v>45991</v>
      </c>
      <c r="D70" s="256" t="s">
        <v>342</v>
      </c>
      <c r="E70" s="256" t="s">
        <v>469</v>
      </c>
      <c r="F70" s="256" t="s">
        <v>344</v>
      </c>
      <c r="G70" s="256" t="s">
        <v>344</v>
      </c>
      <c r="H70" s="258">
        <v>1384.49</v>
      </c>
      <c r="I70" s="259" t="s">
        <v>182</v>
      </c>
      <c r="J70" s="254" t="s">
        <v>466</v>
      </c>
      <c r="K70" s="254" t="s">
        <v>501</v>
      </c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  <c r="AD70" s="254"/>
      <c r="AE70" s="254"/>
    </row>
    <row r="71" spans="1:31" ht="15.75" customHeight="1" outlineLevel="3">
      <c r="A71" s="255" t="s">
        <v>468</v>
      </c>
      <c r="B71" s="256" t="s">
        <v>502</v>
      </c>
      <c r="C71" s="257">
        <f t="shared" si="3"/>
        <v>46022</v>
      </c>
      <c r="D71" s="256" t="s">
        <v>342</v>
      </c>
      <c r="E71" s="256" t="s">
        <v>503</v>
      </c>
      <c r="F71" s="256" t="s">
        <v>344</v>
      </c>
      <c r="G71" s="256" t="s">
        <v>344</v>
      </c>
      <c r="H71" s="258">
        <v>909.14</v>
      </c>
      <c r="I71" s="259" t="s">
        <v>182</v>
      </c>
      <c r="J71" s="254" t="s">
        <v>466</v>
      </c>
      <c r="K71" s="254" t="s">
        <v>504</v>
      </c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  <c r="AD71" s="254"/>
      <c r="AE71" s="254"/>
    </row>
    <row r="72" spans="1:31" ht="15.75" customHeight="1" outlineLevel="3">
      <c r="A72" s="255" t="s">
        <v>468</v>
      </c>
      <c r="B72" s="256" t="s">
        <v>505</v>
      </c>
      <c r="C72" s="257">
        <f t="shared" si="3"/>
        <v>46022</v>
      </c>
      <c r="D72" s="256" t="s">
        <v>342</v>
      </c>
      <c r="E72" s="256" t="s">
        <v>469</v>
      </c>
      <c r="F72" s="256" t="s">
        <v>344</v>
      </c>
      <c r="G72" s="256" t="s">
        <v>344</v>
      </c>
      <c r="H72" s="258">
        <v>4411.71</v>
      </c>
      <c r="I72" s="259" t="s">
        <v>182</v>
      </c>
      <c r="J72" s="254" t="s">
        <v>466</v>
      </c>
      <c r="K72" s="254" t="s">
        <v>506</v>
      </c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</row>
    <row r="73" spans="1:31" ht="15.75" customHeight="1" outlineLevel="3">
      <c r="A73" s="255"/>
      <c r="B73" s="256" t="s">
        <v>505</v>
      </c>
      <c r="C73" s="257">
        <f t="shared" si="3"/>
        <v>46022</v>
      </c>
      <c r="D73" s="256"/>
      <c r="E73" s="256"/>
      <c r="F73" s="256"/>
      <c r="G73" s="256"/>
      <c r="H73" s="258">
        <v>6161.43</v>
      </c>
      <c r="I73" s="259" t="s">
        <v>182</v>
      </c>
      <c r="J73" s="254" t="s">
        <v>364</v>
      </c>
      <c r="K73" s="254" t="s">
        <v>344</v>
      </c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</row>
    <row r="74" spans="1:31" ht="15.75" customHeight="1" outlineLevel="2">
      <c r="A74" s="255" t="s">
        <v>507</v>
      </c>
      <c r="B74" s="256"/>
      <c r="C74" s="257"/>
      <c r="D74" s="256"/>
      <c r="E74" s="256"/>
      <c r="F74" s="256"/>
      <c r="G74" s="256"/>
      <c r="H74" s="258"/>
      <c r="I74" s="260" t="s">
        <v>121</v>
      </c>
      <c r="J74" s="254" t="s">
        <v>364</v>
      </c>
      <c r="K74" s="254" t="s">
        <v>344</v>
      </c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</row>
    <row r="75" spans="1:31" ht="15.75" customHeight="1" outlineLevel="2">
      <c r="A75" s="255" t="s">
        <v>508</v>
      </c>
      <c r="B75" s="256"/>
      <c r="C75" s="257"/>
      <c r="D75" s="256"/>
      <c r="E75" s="256"/>
      <c r="F75" s="256"/>
      <c r="G75" s="256"/>
      <c r="H75" s="258"/>
      <c r="I75" s="260" t="s">
        <v>121</v>
      </c>
      <c r="J75" s="254" t="s">
        <v>364</v>
      </c>
      <c r="K75" s="254" t="s">
        <v>344</v>
      </c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  <c r="AD75" s="254"/>
      <c r="AE75" s="254"/>
    </row>
    <row r="76" spans="1:31" ht="15.75" customHeight="1" outlineLevel="3">
      <c r="A76" s="255"/>
      <c r="B76" s="256"/>
      <c r="C76" s="257"/>
      <c r="D76" s="256"/>
      <c r="E76" s="256"/>
      <c r="F76" s="256"/>
      <c r="G76" s="256"/>
      <c r="H76" s="258"/>
      <c r="I76" s="260" t="s">
        <v>121</v>
      </c>
      <c r="J76" s="254" t="s">
        <v>364</v>
      </c>
      <c r="K76" s="254" t="s">
        <v>344</v>
      </c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  <c r="AD76" s="254"/>
      <c r="AE76" s="254"/>
    </row>
    <row r="77" spans="1:31" ht="15.75" customHeight="1" outlineLevel="3">
      <c r="A77" s="255" t="s">
        <v>509</v>
      </c>
      <c r="B77" s="256" t="s">
        <v>359</v>
      </c>
      <c r="C77" s="257">
        <f t="shared" ref="C77:C82" si="4">EOMONTH(B77,0)</f>
        <v>45747</v>
      </c>
      <c r="D77" s="256" t="s">
        <v>392</v>
      </c>
      <c r="E77" s="256" t="s">
        <v>510</v>
      </c>
      <c r="F77" s="256" t="s">
        <v>344</v>
      </c>
      <c r="G77" s="256" t="s">
        <v>344</v>
      </c>
      <c r="H77" s="258">
        <v>2124.39</v>
      </c>
      <c r="I77" s="259" t="s">
        <v>182</v>
      </c>
      <c r="J77" s="254" t="s">
        <v>511</v>
      </c>
      <c r="K77" s="254" t="s">
        <v>512</v>
      </c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  <c r="AD77" s="254"/>
      <c r="AE77" s="254"/>
    </row>
    <row r="78" spans="1:31" ht="15.75" customHeight="1" outlineLevel="3">
      <c r="A78" s="255" t="s">
        <v>509</v>
      </c>
      <c r="B78" s="256" t="s">
        <v>513</v>
      </c>
      <c r="C78" s="257">
        <f t="shared" si="4"/>
        <v>45777</v>
      </c>
      <c r="D78" s="256" t="s">
        <v>392</v>
      </c>
      <c r="E78" s="256" t="s">
        <v>510</v>
      </c>
      <c r="F78" s="256" t="s">
        <v>344</v>
      </c>
      <c r="G78" s="256" t="s">
        <v>344</v>
      </c>
      <c r="H78" s="258">
        <v>50</v>
      </c>
      <c r="I78" s="259" t="s">
        <v>182</v>
      </c>
      <c r="J78" s="254" t="s">
        <v>511</v>
      </c>
      <c r="K78" s="254" t="s">
        <v>514</v>
      </c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</row>
    <row r="79" spans="1:31" ht="15.75" customHeight="1" outlineLevel="3">
      <c r="A79" s="255" t="s">
        <v>509</v>
      </c>
      <c r="B79" s="256" t="s">
        <v>515</v>
      </c>
      <c r="C79" s="257">
        <f t="shared" si="4"/>
        <v>45777</v>
      </c>
      <c r="D79" s="256" t="s">
        <v>342</v>
      </c>
      <c r="E79" s="256" t="s">
        <v>510</v>
      </c>
      <c r="F79" s="256" t="s">
        <v>344</v>
      </c>
      <c r="G79" s="256" t="s">
        <v>344</v>
      </c>
      <c r="H79" s="258">
        <v>592.91</v>
      </c>
      <c r="I79" s="259" t="s">
        <v>182</v>
      </c>
      <c r="J79" s="254" t="s">
        <v>511</v>
      </c>
      <c r="K79" s="254" t="s">
        <v>516</v>
      </c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</row>
    <row r="80" spans="1:31" ht="15.75" customHeight="1" outlineLevel="3">
      <c r="A80" s="255" t="s">
        <v>509</v>
      </c>
      <c r="B80" s="256" t="s">
        <v>517</v>
      </c>
      <c r="C80" s="257">
        <f t="shared" si="4"/>
        <v>45808</v>
      </c>
      <c r="D80" s="256" t="s">
        <v>342</v>
      </c>
      <c r="E80" s="256" t="s">
        <v>510</v>
      </c>
      <c r="F80" s="256" t="s">
        <v>344</v>
      </c>
      <c r="G80" s="256" t="s">
        <v>344</v>
      </c>
      <c r="H80" s="258">
        <v>8</v>
      </c>
      <c r="I80" s="259" t="s">
        <v>182</v>
      </c>
      <c r="J80" s="254" t="s">
        <v>511</v>
      </c>
      <c r="K80" s="254" t="s">
        <v>518</v>
      </c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  <c r="AD80" s="254"/>
      <c r="AE80" s="254"/>
    </row>
    <row r="81" spans="1:31" ht="15.75" customHeight="1" outlineLevel="3">
      <c r="A81" s="255" t="s">
        <v>509</v>
      </c>
      <c r="B81" s="256" t="s">
        <v>365</v>
      </c>
      <c r="C81" s="257">
        <f t="shared" si="4"/>
        <v>45808</v>
      </c>
      <c r="D81" s="256" t="s">
        <v>342</v>
      </c>
      <c r="E81" s="256" t="s">
        <v>510</v>
      </c>
      <c r="F81" s="256" t="s">
        <v>344</v>
      </c>
      <c r="G81" s="256" t="s">
        <v>344</v>
      </c>
      <c r="H81" s="258">
        <v>491</v>
      </c>
      <c r="I81" s="259" t="s">
        <v>182</v>
      </c>
      <c r="J81" s="254" t="s">
        <v>511</v>
      </c>
      <c r="K81" s="254" t="s">
        <v>519</v>
      </c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  <c r="AD81" s="254"/>
      <c r="AE81" s="254"/>
    </row>
    <row r="82" spans="1:31" ht="15.75" customHeight="1" outlineLevel="3">
      <c r="A82" s="255" t="s">
        <v>509</v>
      </c>
      <c r="B82" s="256" t="s">
        <v>390</v>
      </c>
      <c r="C82" s="257">
        <f t="shared" si="4"/>
        <v>46022</v>
      </c>
      <c r="D82" s="256" t="s">
        <v>382</v>
      </c>
      <c r="E82" s="256" t="s">
        <v>520</v>
      </c>
      <c r="F82" s="256" t="s">
        <v>344</v>
      </c>
      <c r="G82" s="256" t="s">
        <v>344</v>
      </c>
      <c r="H82" s="258">
        <v>219</v>
      </c>
      <c r="I82" s="260" t="s">
        <v>121</v>
      </c>
      <c r="J82" s="254" t="e">
        <v>#N/A</v>
      </c>
      <c r="K82" s="254" t="s">
        <v>521</v>
      </c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  <c r="AD82" s="254"/>
      <c r="AE82" s="254"/>
    </row>
    <row r="83" spans="1:31" ht="15.75" customHeight="1" outlineLevel="3">
      <c r="A83" s="255"/>
      <c r="B83" s="256"/>
      <c r="C83" s="256"/>
      <c r="D83" s="256"/>
      <c r="E83" s="256"/>
      <c r="F83" s="256"/>
      <c r="G83" s="256"/>
      <c r="H83" s="258"/>
      <c r="I83" s="263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  <c r="AD83" s="254"/>
      <c r="AE83" s="254"/>
    </row>
    <row r="84" spans="1:31" ht="15.75" customHeight="1" outlineLevel="3">
      <c r="A84" s="255" t="s">
        <v>522</v>
      </c>
      <c r="B84" s="256"/>
      <c r="C84" s="264">
        <v>45808</v>
      </c>
      <c r="D84" s="256"/>
      <c r="E84" s="256"/>
      <c r="F84" s="256"/>
      <c r="G84" s="256"/>
      <c r="H84" s="258">
        <v>30000</v>
      </c>
      <c r="I84" s="259" t="s">
        <v>182</v>
      </c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  <c r="AD84" s="254"/>
      <c r="AE84" s="254"/>
    </row>
    <row r="85" spans="1:31" ht="15.75" customHeight="1" outlineLevel="3">
      <c r="A85" s="252"/>
      <c r="B85" s="252"/>
      <c r="C85" s="252"/>
      <c r="D85" s="252"/>
      <c r="E85" s="252"/>
      <c r="F85" s="252"/>
      <c r="G85" s="252"/>
      <c r="H85" s="265"/>
      <c r="I85" s="265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</row>
    <row r="86" spans="1:31" ht="15.75" customHeight="1" outlineLevel="3">
      <c r="A86" s="252"/>
      <c r="B86" s="252"/>
      <c r="C86" s="252"/>
      <c r="D86" s="252"/>
      <c r="E86" s="252"/>
      <c r="F86" s="252"/>
      <c r="G86" s="252"/>
      <c r="H86" s="252"/>
      <c r="I86" s="252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  <c r="AD86" s="254"/>
      <c r="AE86" s="254"/>
    </row>
    <row r="87" spans="1:31" ht="15.75" customHeight="1" outlineLevel="3">
      <c r="A87" s="252"/>
      <c r="B87" s="252"/>
      <c r="C87" s="252"/>
      <c r="D87" s="252"/>
      <c r="E87" s="252"/>
      <c r="F87" s="252"/>
      <c r="G87" s="252"/>
      <c r="H87" s="252"/>
      <c r="I87" s="252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  <c r="AD87" s="254"/>
      <c r="AE87" s="254"/>
    </row>
    <row r="88" spans="1:31" ht="15.75" customHeight="1">
      <c r="B88" s="266"/>
      <c r="C88" s="266"/>
      <c r="D88" s="267"/>
      <c r="E88" s="252"/>
      <c r="F88" s="252"/>
      <c r="G88" s="252"/>
      <c r="H88" s="252"/>
      <c r="I88" s="252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</row>
    <row r="89" spans="1:31" ht="15.75" customHeight="1">
      <c r="A89" s="269"/>
      <c r="B89" s="270"/>
      <c r="C89" s="270"/>
      <c r="D89" s="269" t="s">
        <v>182</v>
      </c>
      <c r="E89" s="269" t="s">
        <v>353</v>
      </c>
      <c r="F89" s="269"/>
      <c r="G89" s="269" t="s">
        <v>195</v>
      </c>
      <c r="H89" s="269"/>
      <c r="I89" s="269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  <c r="AA89" s="270"/>
      <c r="AB89" s="270"/>
      <c r="AC89" s="270"/>
      <c r="AD89" s="270"/>
      <c r="AE89" s="270"/>
    </row>
    <row r="90" spans="1:31" ht="15.75" customHeight="1">
      <c r="A90" s="271">
        <v>45688</v>
      </c>
      <c r="B90" s="252"/>
      <c r="C90" s="252"/>
      <c r="D90" s="252">
        <f t="shared" ref="D90:D101" si="5">SUMIFS(H:H,I:I,$D$89,$C:$C,$A90)</f>
        <v>9076.81</v>
      </c>
      <c r="E90" s="252">
        <f t="shared" ref="E90:E101" si="6">SUMIFS(H:H,I:I,$E$89,$C:$C,$A90)</f>
        <v>566.69000000000005</v>
      </c>
      <c r="F90" s="252"/>
      <c r="G90" s="252">
        <f t="shared" ref="G90:G101" si="7">SUM(D90:E90)</f>
        <v>9643.5</v>
      </c>
      <c r="H90" s="252"/>
      <c r="I90" s="252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</row>
    <row r="91" spans="1:31" ht="15.75" customHeight="1">
      <c r="A91" s="271">
        <f t="shared" ref="A91:A101" si="8">EOMONTH(A90,1)</f>
        <v>45716</v>
      </c>
      <c r="B91" s="252"/>
      <c r="C91" s="252"/>
      <c r="D91" s="252">
        <f t="shared" si="5"/>
        <v>5638.05</v>
      </c>
      <c r="E91" s="252">
        <f t="shared" si="6"/>
        <v>566.69000000000005</v>
      </c>
      <c r="F91" s="252"/>
      <c r="G91" s="252">
        <f t="shared" si="7"/>
        <v>6204.74</v>
      </c>
      <c r="H91" s="252"/>
      <c r="I91" s="252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</row>
    <row r="92" spans="1:31" ht="15.75" customHeight="1">
      <c r="A92" s="271">
        <f t="shared" si="8"/>
        <v>45747</v>
      </c>
      <c r="B92" s="252"/>
      <c r="C92" s="252"/>
      <c r="D92" s="252">
        <f t="shared" si="5"/>
        <v>17672.07</v>
      </c>
      <c r="E92" s="252">
        <f t="shared" si="6"/>
        <v>566.69000000000005</v>
      </c>
      <c r="F92" s="252"/>
      <c r="G92" s="252">
        <f t="shared" si="7"/>
        <v>18238.759999999998</v>
      </c>
      <c r="H92" s="252"/>
      <c r="I92" s="252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</row>
    <row r="93" spans="1:31" ht="15.75" customHeight="1">
      <c r="A93" s="271">
        <f t="shared" si="8"/>
        <v>45777</v>
      </c>
      <c r="B93" s="252"/>
      <c r="C93" s="252"/>
      <c r="D93" s="252">
        <f t="shared" si="5"/>
        <v>6942.91</v>
      </c>
      <c r="E93" s="252">
        <f t="shared" si="6"/>
        <v>566.69000000000005</v>
      </c>
      <c r="F93" s="252"/>
      <c r="G93" s="252">
        <f t="shared" si="7"/>
        <v>7509.6</v>
      </c>
      <c r="H93" s="252"/>
      <c r="I93" s="252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  <c r="AE93" s="268"/>
    </row>
    <row r="94" spans="1:31" ht="15.75" customHeight="1">
      <c r="A94" s="271">
        <f t="shared" si="8"/>
        <v>45808</v>
      </c>
      <c r="B94" s="252"/>
      <c r="C94" s="252"/>
      <c r="D94" s="252">
        <f t="shared" si="5"/>
        <v>34366.25</v>
      </c>
      <c r="E94" s="252">
        <f t="shared" si="6"/>
        <v>24566.69</v>
      </c>
      <c r="F94" s="252"/>
      <c r="G94" s="252">
        <f t="shared" si="7"/>
        <v>58932.94</v>
      </c>
      <c r="H94" s="252"/>
      <c r="I94" s="252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</row>
    <row r="95" spans="1:31" ht="15.75" customHeight="1">
      <c r="A95" s="271">
        <f t="shared" si="8"/>
        <v>45838</v>
      </c>
      <c r="B95" s="252"/>
      <c r="C95" s="252"/>
      <c r="D95" s="252">
        <f t="shared" si="5"/>
        <v>1967.89</v>
      </c>
      <c r="E95" s="252">
        <f t="shared" si="6"/>
        <v>566.69000000000005</v>
      </c>
      <c r="F95" s="252"/>
      <c r="G95" s="252">
        <f t="shared" si="7"/>
        <v>2534.58</v>
      </c>
      <c r="H95" s="252"/>
      <c r="I95" s="252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</row>
    <row r="96" spans="1:31" ht="15.75" customHeight="1">
      <c r="A96" s="271">
        <f t="shared" si="8"/>
        <v>45869</v>
      </c>
      <c r="B96" s="252"/>
      <c r="C96" s="252"/>
      <c r="D96" s="252">
        <f t="shared" si="5"/>
        <v>99</v>
      </c>
      <c r="E96" s="252">
        <f t="shared" si="6"/>
        <v>682.2</v>
      </c>
      <c r="F96" s="252"/>
      <c r="G96" s="252">
        <f t="shared" si="7"/>
        <v>781.2</v>
      </c>
      <c r="H96" s="252"/>
      <c r="I96" s="252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  <c r="AE96" s="268"/>
    </row>
    <row r="97" spans="1:31" ht="15.75" customHeight="1">
      <c r="A97" s="271">
        <f t="shared" si="8"/>
        <v>45900</v>
      </c>
      <c r="B97" s="252"/>
      <c r="C97" s="252"/>
      <c r="D97" s="252">
        <f t="shared" si="5"/>
        <v>484.88</v>
      </c>
      <c r="E97" s="252">
        <f t="shared" si="6"/>
        <v>566.69000000000005</v>
      </c>
      <c r="F97" s="252"/>
      <c r="G97" s="252">
        <f t="shared" si="7"/>
        <v>1051.5700000000002</v>
      </c>
      <c r="H97" s="252"/>
      <c r="I97" s="252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</row>
    <row r="98" spans="1:31" ht="15.75" customHeight="1">
      <c r="A98" s="271">
        <f t="shared" si="8"/>
        <v>45930</v>
      </c>
      <c r="B98" s="252"/>
      <c r="C98" s="252"/>
      <c r="D98" s="252">
        <f t="shared" si="5"/>
        <v>5692.58</v>
      </c>
      <c r="E98" s="252">
        <f t="shared" si="6"/>
        <v>566.69000000000005</v>
      </c>
      <c r="F98" s="252"/>
      <c r="G98" s="252">
        <f t="shared" si="7"/>
        <v>6259.27</v>
      </c>
      <c r="H98" s="252"/>
      <c r="I98" s="252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</row>
    <row r="99" spans="1:31" ht="15.75" customHeight="1">
      <c r="A99" s="271">
        <f t="shared" si="8"/>
        <v>45961</v>
      </c>
      <c r="B99" s="252"/>
      <c r="C99" s="252"/>
      <c r="D99" s="252">
        <f t="shared" si="5"/>
        <v>2627.05</v>
      </c>
      <c r="E99" s="252">
        <f t="shared" si="6"/>
        <v>566.69000000000005</v>
      </c>
      <c r="F99" s="252"/>
      <c r="G99" s="252">
        <f t="shared" si="7"/>
        <v>3193.7400000000002</v>
      </c>
      <c r="H99" s="252"/>
      <c r="I99" s="252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</row>
    <row r="100" spans="1:31" ht="15.75" customHeight="1">
      <c r="A100" s="271">
        <f t="shared" si="8"/>
        <v>45991</v>
      </c>
      <c r="B100" s="252"/>
      <c r="C100" s="252"/>
      <c r="D100" s="252">
        <f t="shared" si="5"/>
        <v>6484.49</v>
      </c>
      <c r="E100" s="252">
        <f t="shared" si="6"/>
        <v>566.69000000000005</v>
      </c>
      <c r="F100" s="252"/>
      <c r="G100" s="252">
        <f t="shared" si="7"/>
        <v>7051.18</v>
      </c>
      <c r="H100" s="252"/>
      <c r="I100" s="252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</row>
    <row r="101" spans="1:31" ht="15.75" customHeight="1">
      <c r="A101" s="271">
        <f t="shared" si="8"/>
        <v>46022</v>
      </c>
      <c r="B101" s="252"/>
      <c r="C101" s="252"/>
      <c r="D101" s="252">
        <f t="shared" si="5"/>
        <v>11482.28</v>
      </c>
      <c r="E101" s="252">
        <f t="shared" si="6"/>
        <v>566.69000000000005</v>
      </c>
      <c r="F101" s="252"/>
      <c r="G101" s="252">
        <f t="shared" si="7"/>
        <v>12048.970000000001</v>
      </c>
      <c r="H101" s="252"/>
      <c r="I101" s="252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</row>
    <row r="102" spans="1:31" ht="15.75" customHeight="1">
      <c r="A102" s="271"/>
      <c r="B102" s="252"/>
      <c r="C102" s="252"/>
      <c r="D102" s="252"/>
      <c r="E102" s="252"/>
      <c r="F102" s="252"/>
      <c r="G102" s="252"/>
      <c r="H102" s="252"/>
      <c r="I102" s="252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</row>
    <row r="103" spans="1:31" ht="15.75" customHeight="1">
      <c r="A103" s="271"/>
      <c r="B103" s="252"/>
      <c r="C103" s="252"/>
      <c r="D103" s="252"/>
      <c r="E103" s="252"/>
      <c r="F103" s="252"/>
      <c r="G103" s="252"/>
      <c r="H103" s="252"/>
      <c r="I103" s="252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</row>
    <row r="104" spans="1:31" ht="15.7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</row>
    <row r="105" spans="1:31" ht="15.7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</row>
    <row r="106" spans="1:31" ht="15.7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</row>
    <row r="107" spans="1:31" ht="15.7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  <c r="AE107" s="268"/>
    </row>
    <row r="108" spans="1:31" ht="15.7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  <c r="AE108" s="268"/>
    </row>
    <row r="109" spans="1:31" ht="15.7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</row>
    <row r="110" spans="1:31" ht="15.7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</row>
    <row r="111" spans="1:31" ht="15.7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</row>
    <row r="112" spans="1:31" ht="15.7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</row>
    <row r="113" spans="1:31" ht="15.7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</row>
    <row r="114" spans="1:31" ht="15.7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</row>
    <row r="115" spans="1:31" ht="15.7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</row>
    <row r="116" spans="1:31" ht="15.7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  <c r="AE116" s="268"/>
    </row>
    <row r="117" spans="1:31" ht="15.7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  <c r="AE117" s="268"/>
    </row>
    <row r="118" spans="1:31" ht="15.7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</row>
    <row r="119" spans="1:31" ht="15.7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</row>
    <row r="120" spans="1:31" ht="15.7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  <c r="AE120" s="268"/>
    </row>
    <row r="121" spans="1:31" ht="15.7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</row>
    <row r="122" spans="1:31" ht="15.7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</row>
    <row r="123" spans="1:31" ht="15.7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</row>
    <row r="124" spans="1:31" ht="15.7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  <c r="AE124" s="268"/>
    </row>
    <row r="125" spans="1:31" ht="15.7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</row>
    <row r="126" spans="1:31" ht="15.7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</row>
    <row r="127" spans="1:31" ht="15.7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</row>
    <row r="128" spans="1:31" ht="15.7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</row>
    <row r="129" spans="1:31" ht="15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</row>
    <row r="130" spans="1:31" ht="15.7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</row>
    <row r="131" spans="1:31" ht="15.7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</row>
    <row r="132" spans="1:31" ht="15.7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</row>
    <row r="133" spans="1:31" ht="15.7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</row>
    <row r="134" spans="1:31" ht="15.7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</row>
    <row r="135" spans="1:31" ht="15.7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</row>
    <row r="136" spans="1:31" ht="15.7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</row>
    <row r="137" spans="1:31" ht="15.7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</row>
    <row r="138" spans="1:31" ht="15.7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</row>
    <row r="139" spans="1:31" ht="15.7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</row>
    <row r="140" spans="1:31" ht="15.7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</row>
    <row r="141" spans="1:31" ht="15.7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</row>
    <row r="142" spans="1:31" ht="15.7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</row>
    <row r="143" spans="1:31" ht="15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</row>
    <row r="144" spans="1:31" ht="15.7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</row>
    <row r="145" spans="1:31" ht="15.7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</row>
    <row r="146" spans="1:31" ht="15.7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</row>
    <row r="147" spans="1:31" ht="15.7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</row>
    <row r="148" spans="1:31" ht="15.7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</row>
    <row r="149" spans="1:31" ht="15.7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</row>
    <row r="150" spans="1:31" ht="15.7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</row>
    <row r="151" spans="1:31" ht="15.7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  <c r="AE151" s="268"/>
    </row>
    <row r="152" spans="1:31" ht="15.7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  <c r="AE152" s="268"/>
    </row>
    <row r="153" spans="1:31" ht="15.7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</row>
    <row r="154" spans="1:31" ht="15.7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  <c r="AE154" s="268"/>
    </row>
    <row r="155" spans="1:31" ht="15.7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  <c r="AE155" s="268"/>
    </row>
    <row r="156" spans="1:31" ht="15.7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  <c r="AE156" s="268"/>
    </row>
    <row r="157" spans="1:31" ht="15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</row>
    <row r="158" spans="1:31" ht="15.7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</row>
    <row r="159" spans="1:31" ht="15.7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  <c r="AD159" s="268"/>
      <c r="AE159" s="268"/>
    </row>
    <row r="160" spans="1:31" ht="15.7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</row>
    <row r="161" spans="1:31" ht="15.7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  <c r="AE161" s="268"/>
    </row>
    <row r="162" spans="1:31" ht="15.7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</row>
    <row r="163" spans="1:31" ht="15.7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  <c r="AE163" s="268"/>
    </row>
    <row r="164" spans="1:31" ht="15.7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  <c r="AE164" s="268"/>
    </row>
    <row r="165" spans="1:31" ht="15.7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  <c r="AE165" s="268"/>
    </row>
    <row r="166" spans="1:31" ht="15.7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</row>
    <row r="167" spans="1:31" ht="15.7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  <c r="AE167" s="268"/>
    </row>
    <row r="168" spans="1:31" ht="15.7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  <c r="AE168" s="268"/>
    </row>
    <row r="169" spans="1:31" ht="15.7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  <c r="AE169" s="268"/>
    </row>
    <row r="170" spans="1:31" ht="15.7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  <c r="AE170" s="268"/>
    </row>
    <row r="171" spans="1:31" ht="15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268"/>
      <c r="AE171" s="268"/>
    </row>
    <row r="172" spans="1:31" ht="15.7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  <c r="AD172" s="268"/>
      <c r="AE172" s="268"/>
    </row>
    <row r="173" spans="1:31" ht="15.7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  <c r="AE173" s="268"/>
    </row>
    <row r="174" spans="1:31" ht="15.7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  <c r="AD174" s="268"/>
      <c r="AE174" s="268"/>
    </row>
    <row r="175" spans="1:31" ht="15.7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  <c r="AD175" s="268"/>
      <c r="AE175" s="268"/>
    </row>
    <row r="176" spans="1:31" ht="15.7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</row>
    <row r="177" spans="1:31" ht="15.7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  <c r="AE177" s="268"/>
    </row>
    <row r="178" spans="1:31" ht="15.7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  <c r="AE178" s="268"/>
    </row>
    <row r="179" spans="1:31" ht="15.7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</row>
    <row r="180" spans="1:31" ht="15.7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  <c r="AD180" s="268"/>
      <c r="AE180" s="268"/>
    </row>
    <row r="181" spans="1:31" ht="15.7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  <c r="AD181" s="268"/>
      <c r="AE181" s="268"/>
    </row>
    <row r="182" spans="1:31" ht="15.7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  <c r="AD182" s="268"/>
      <c r="AE182" s="268"/>
    </row>
    <row r="183" spans="1:31" ht="15.7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  <c r="AD183" s="268"/>
      <c r="AE183" s="268"/>
    </row>
    <row r="184" spans="1:31" ht="15.7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  <c r="AE184" s="268"/>
    </row>
    <row r="185" spans="1:31" ht="15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  <c r="AD185" s="268"/>
      <c r="AE185" s="268"/>
    </row>
    <row r="186" spans="1:31" ht="15.7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  <c r="AD186" s="268"/>
      <c r="AE186" s="268"/>
    </row>
    <row r="187" spans="1:31" ht="15.7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268"/>
      <c r="AE187" s="268"/>
    </row>
    <row r="188" spans="1:31" ht="15.7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</row>
    <row r="189" spans="1:31" ht="15.7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  <c r="AD189" s="268"/>
      <c r="AE189" s="268"/>
    </row>
    <row r="190" spans="1:31" ht="15.7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  <c r="AD190" s="268"/>
      <c r="AE190" s="268"/>
    </row>
    <row r="191" spans="1:31" ht="15.7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  <c r="AD191" s="268"/>
      <c r="AE191" s="268"/>
    </row>
    <row r="192" spans="1:31" ht="15.7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  <c r="AD192" s="268"/>
      <c r="AE192" s="268"/>
    </row>
    <row r="193" spans="1:31" ht="15.7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  <c r="AD193" s="268"/>
      <c r="AE193" s="268"/>
    </row>
    <row r="194" spans="1:31" ht="15.7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  <c r="AD194" s="268"/>
      <c r="AE194" s="268"/>
    </row>
    <row r="195" spans="1:31" ht="15.7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</row>
    <row r="196" spans="1:31" ht="15.7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  <c r="AD196" s="268"/>
      <c r="AE196" s="268"/>
    </row>
    <row r="197" spans="1:31" ht="15.7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  <c r="AD197" s="268"/>
      <c r="AE197" s="268"/>
    </row>
    <row r="198" spans="1:31" ht="15.7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</row>
    <row r="199" spans="1:31" ht="15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</row>
    <row r="200" spans="1:31" ht="15.7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</row>
    <row r="201" spans="1:31" ht="15.7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  <c r="AE201" s="268"/>
    </row>
    <row r="202" spans="1:31" ht="15.7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  <c r="AE202" s="268"/>
    </row>
    <row r="203" spans="1:31" ht="15.7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  <c r="AD203" s="268"/>
      <c r="AE203" s="268"/>
    </row>
    <row r="204" spans="1:31" ht="15.7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  <c r="AE204" s="268"/>
    </row>
    <row r="205" spans="1:31" ht="15.7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  <c r="AD205" s="268"/>
      <c r="AE205" s="268"/>
    </row>
    <row r="206" spans="1:31" ht="15.7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  <c r="AD206" s="268"/>
      <c r="AE206" s="268"/>
    </row>
    <row r="207" spans="1:31" ht="15.7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  <c r="AD207" s="268"/>
      <c r="AE207" s="268"/>
    </row>
    <row r="208" spans="1:31" ht="15.7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  <c r="AD208" s="268"/>
      <c r="AE208" s="268"/>
    </row>
    <row r="209" spans="1:31" ht="15.7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  <c r="AD209" s="268"/>
      <c r="AE209" s="268"/>
    </row>
    <row r="210" spans="1:31" ht="15.7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  <c r="AD210" s="268"/>
      <c r="AE210" s="268"/>
    </row>
    <row r="211" spans="1:31" ht="15.7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  <c r="AE211" s="268"/>
    </row>
    <row r="212" spans="1:31" ht="15.7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  <c r="AD212" s="268"/>
      <c r="AE212" s="268"/>
    </row>
    <row r="213" spans="1:31" ht="15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  <c r="AE213" s="268"/>
    </row>
    <row r="214" spans="1:31" ht="15.7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  <c r="AE214" s="268"/>
    </row>
    <row r="215" spans="1:31" ht="15.7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  <c r="AE215" s="268"/>
    </row>
    <row r="216" spans="1:31" ht="15.7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  <c r="AD216" s="268"/>
      <c r="AE216" s="268"/>
    </row>
    <row r="217" spans="1:31" ht="15.7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  <c r="AE217" s="268"/>
    </row>
    <row r="218" spans="1:31" ht="15.7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  <c r="AE218" s="268"/>
    </row>
    <row r="219" spans="1:31" ht="15.7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  <c r="AE219" s="268"/>
    </row>
    <row r="220" spans="1:31" ht="15.7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  <c r="AE220" s="268"/>
    </row>
    <row r="221" spans="1:31" ht="15.7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  <c r="AE221" s="268"/>
    </row>
    <row r="222" spans="1:31" ht="15.7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  <c r="AE222" s="268"/>
    </row>
    <row r="223" spans="1:31" ht="15.7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</row>
    <row r="224" spans="1:31" ht="15.7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</row>
    <row r="225" spans="1:31" ht="15.7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  <c r="AE225" s="268"/>
    </row>
    <row r="226" spans="1:31" ht="15.7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  <c r="AD226" s="268"/>
      <c r="AE226" s="268"/>
    </row>
    <row r="227" spans="1:31" ht="15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  <c r="AE227" s="268"/>
    </row>
    <row r="228" spans="1:31" ht="15.7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</row>
    <row r="229" spans="1:31" ht="15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</row>
    <row r="230" spans="1:31" ht="15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  <c r="AE230" s="268"/>
    </row>
    <row r="231" spans="1:31" ht="15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</row>
    <row r="232" spans="1:31" ht="15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  <c r="AE232" s="268"/>
    </row>
    <row r="233" spans="1:31" ht="15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  <c r="AD233" s="268"/>
      <c r="AE233" s="268"/>
    </row>
    <row r="234" spans="1:31" ht="15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  <c r="AE234" s="268"/>
    </row>
    <row r="235" spans="1:31" ht="15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</row>
    <row r="236" spans="1:31" ht="15.75" customHeight="1">
      <c r="A236" s="252"/>
      <c r="B236" s="252"/>
      <c r="C236" s="252"/>
      <c r="D236" s="252"/>
      <c r="E236" s="252"/>
      <c r="F236" s="252"/>
      <c r="G236" s="252"/>
      <c r="H236" s="252"/>
      <c r="I236" s="252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  <c r="AE236" s="268"/>
    </row>
    <row r="237" spans="1:31" ht="15.75" customHeight="1">
      <c r="A237" s="252"/>
      <c r="B237" s="252"/>
      <c r="C237" s="252"/>
      <c r="D237" s="252"/>
      <c r="E237" s="252"/>
      <c r="F237" s="252"/>
      <c r="G237" s="252"/>
      <c r="H237" s="252"/>
      <c r="I237" s="252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</row>
    <row r="238" spans="1:31" ht="15.75" customHeight="1">
      <c r="A238" s="252"/>
      <c r="B238" s="252"/>
      <c r="C238" s="252"/>
      <c r="D238" s="252"/>
      <c r="E238" s="252"/>
      <c r="F238" s="252"/>
      <c r="G238" s="252"/>
      <c r="H238" s="252"/>
      <c r="I238" s="252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  <c r="AE238" s="268"/>
    </row>
    <row r="239" spans="1:31" ht="15.75" customHeight="1">
      <c r="A239" s="252"/>
      <c r="B239" s="252"/>
      <c r="C239" s="252"/>
      <c r="D239" s="252"/>
      <c r="E239" s="252"/>
      <c r="F239" s="252"/>
      <c r="G239" s="252"/>
      <c r="H239" s="252"/>
      <c r="I239" s="252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  <c r="AD239" s="268"/>
      <c r="AE239" s="268"/>
    </row>
    <row r="240" spans="1:31" ht="15.75" customHeight="1">
      <c r="A240" s="252"/>
      <c r="B240" s="252"/>
      <c r="C240" s="252"/>
      <c r="D240" s="252"/>
      <c r="E240" s="252"/>
      <c r="F240" s="252"/>
      <c r="G240" s="252"/>
      <c r="H240" s="252"/>
      <c r="I240" s="252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  <c r="AD240" s="268"/>
      <c r="AE240" s="268"/>
    </row>
    <row r="241" spans="1:31" ht="15.75" customHeight="1">
      <c r="A241" s="252"/>
      <c r="B241" s="252"/>
      <c r="C241" s="252"/>
      <c r="D241" s="252"/>
      <c r="E241" s="252"/>
      <c r="F241" s="252"/>
      <c r="G241" s="252"/>
      <c r="H241" s="252"/>
      <c r="I241" s="252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  <c r="AD241" s="268"/>
      <c r="AE241" s="268"/>
    </row>
    <row r="242" spans="1:31" ht="15.75" customHeight="1">
      <c r="A242" s="252"/>
      <c r="B242" s="252"/>
      <c r="C242" s="252"/>
      <c r="D242" s="252"/>
      <c r="E242" s="252"/>
      <c r="F242" s="252"/>
      <c r="G242" s="252"/>
      <c r="H242" s="252"/>
      <c r="I242" s="252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68"/>
    </row>
    <row r="243" spans="1:31" ht="15.75" customHeight="1">
      <c r="A243" s="252"/>
      <c r="B243" s="252"/>
      <c r="C243" s="252"/>
      <c r="D243" s="252"/>
      <c r="E243" s="252"/>
      <c r="F243" s="252"/>
      <c r="G243" s="252"/>
      <c r="H243" s="252"/>
      <c r="I243" s="252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68"/>
    </row>
    <row r="244" spans="1:31" ht="15.75" customHeight="1">
      <c r="A244" s="252"/>
      <c r="B244" s="252"/>
      <c r="C244" s="252"/>
      <c r="D244" s="252"/>
      <c r="E244" s="252"/>
      <c r="F244" s="252"/>
      <c r="G244" s="252"/>
      <c r="H244" s="252"/>
      <c r="I244" s="252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  <c r="AD244" s="268"/>
      <c r="AE244" s="268"/>
    </row>
    <row r="245" spans="1:31" ht="15.75" customHeight="1">
      <c r="A245" s="252"/>
      <c r="B245" s="252"/>
      <c r="C245" s="252"/>
      <c r="D245" s="252"/>
      <c r="E245" s="252"/>
      <c r="F245" s="252"/>
      <c r="G245" s="252"/>
      <c r="H245" s="252"/>
      <c r="I245" s="252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68"/>
    </row>
    <row r="246" spans="1:31" ht="15.75" customHeight="1">
      <c r="A246" s="252"/>
      <c r="B246" s="252"/>
      <c r="C246" s="252"/>
      <c r="D246" s="252"/>
      <c r="E246" s="252"/>
      <c r="F246" s="252"/>
      <c r="G246" s="252"/>
      <c r="H246" s="252"/>
      <c r="I246" s="252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  <c r="AD246" s="268"/>
      <c r="AE246" s="268"/>
    </row>
    <row r="247" spans="1:31" ht="15.75" customHeight="1">
      <c r="A247" s="252"/>
      <c r="B247" s="252"/>
      <c r="C247" s="252"/>
      <c r="D247" s="252"/>
      <c r="E247" s="252"/>
      <c r="F247" s="252"/>
      <c r="G247" s="252"/>
      <c r="H247" s="252"/>
      <c r="I247" s="252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  <c r="AD247" s="268"/>
      <c r="AE247" s="268"/>
    </row>
    <row r="248" spans="1:31" ht="15.75" customHeight="1">
      <c r="A248" s="252"/>
      <c r="B248" s="252"/>
      <c r="C248" s="252"/>
      <c r="D248" s="252"/>
      <c r="E248" s="252"/>
      <c r="F248" s="252"/>
      <c r="G248" s="252"/>
      <c r="H248" s="252"/>
      <c r="I248" s="252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  <c r="AD248" s="268"/>
      <c r="AE248" s="268"/>
    </row>
    <row r="249" spans="1:31" ht="15.75" customHeight="1">
      <c r="A249" s="252"/>
      <c r="B249" s="252"/>
      <c r="C249" s="252"/>
      <c r="D249" s="252"/>
      <c r="E249" s="252"/>
      <c r="F249" s="252"/>
      <c r="G249" s="252"/>
      <c r="H249" s="252"/>
      <c r="I249" s="252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  <c r="AD249" s="268"/>
      <c r="AE249" s="268"/>
    </row>
    <row r="250" spans="1:31" ht="15.75" customHeight="1">
      <c r="A250" s="252"/>
      <c r="B250" s="252"/>
      <c r="C250" s="252"/>
      <c r="D250" s="252"/>
      <c r="E250" s="252"/>
      <c r="F250" s="252"/>
      <c r="G250" s="252"/>
      <c r="H250" s="252"/>
      <c r="I250" s="252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  <c r="AD250" s="268"/>
      <c r="AE250" s="268"/>
    </row>
    <row r="251" spans="1:31" ht="15.75" customHeight="1">
      <c r="A251" s="252"/>
      <c r="B251" s="252"/>
      <c r="C251" s="252"/>
      <c r="D251" s="252"/>
      <c r="E251" s="252"/>
      <c r="F251" s="252"/>
      <c r="G251" s="252"/>
      <c r="H251" s="252"/>
      <c r="I251" s="252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  <c r="AD251" s="268"/>
      <c r="AE251" s="268"/>
    </row>
    <row r="252" spans="1:31" ht="15.75" customHeight="1">
      <c r="A252" s="252"/>
      <c r="B252" s="252"/>
      <c r="C252" s="252"/>
      <c r="D252" s="252"/>
      <c r="E252" s="252"/>
      <c r="F252" s="252"/>
      <c r="G252" s="252"/>
      <c r="H252" s="252"/>
      <c r="I252" s="252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  <c r="AD252" s="268"/>
      <c r="AE252" s="268"/>
    </row>
    <row r="253" spans="1:31" ht="15.75" customHeight="1">
      <c r="A253" s="252"/>
      <c r="B253" s="252"/>
      <c r="C253" s="252"/>
      <c r="D253" s="252"/>
      <c r="E253" s="252"/>
      <c r="F253" s="252"/>
      <c r="G253" s="252"/>
      <c r="H253" s="252"/>
      <c r="I253" s="252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  <c r="AD253" s="268"/>
      <c r="AE253" s="268"/>
    </row>
    <row r="254" spans="1:31" ht="15.75" customHeight="1">
      <c r="A254" s="252"/>
      <c r="B254" s="252"/>
      <c r="C254" s="252"/>
      <c r="D254" s="252"/>
      <c r="E254" s="252"/>
      <c r="F254" s="252"/>
      <c r="G254" s="252"/>
      <c r="H254" s="252"/>
      <c r="I254" s="252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  <c r="AD254" s="268"/>
      <c r="AE254" s="268"/>
    </row>
    <row r="255" spans="1:31" ht="15.75" customHeight="1">
      <c r="A255" s="252"/>
      <c r="B255" s="252"/>
      <c r="C255" s="252"/>
      <c r="D255" s="252"/>
      <c r="E255" s="252"/>
      <c r="F255" s="252"/>
      <c r="G255" s="252"/>
      <c r="H255" s="252"/>
      <c r="I255" s="252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  <c r="AD255" s="268"/>
      <c r="AE255" s="268"/>
    </row>
    <row r="256" spans="1:31" ht="15.75" customHeight="1">
      <c r="A256" s="252"/>
      <c r="B256" s="252"/>
      <c r="C256" s="252"/>
      <c r="D256" s="252"/>
      <c r="E256" s="252"/>
      <c r="F256" s="252"/>
      <c r="G256" s="252"/>
      <c r="H256" s="252"/>
      <c r="I256" s="252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  <c r="AD256" s="268"/>
      <c r="AE256" s="268"/>
    </row>
    <row r="257" spans="1:31" ht="15.75" customHeight="1">
      <c r="A257" s="252"/>
      <c r="B257" s="252"/>
      <c r="C257" s="252"/>
      <c r="D257" s="252"/>
      <c r="E257" s="252"/>
      <c r="F257" s="252"/>
      <c r="G257" s="252"/>
      <c r="H257" s="252"/>
      <c r="I257" s="252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</row>
    <row r="258" spans="1:31" ht="15.75" customHeight="1">
      <c r="A258" s="252"/>
      <c r="B258" s="252"/>
      <c r="C258" s="252"/>
      <c r="D258" s="252"/>
      <c r="E258" s="252"/>
      <c r="F258" s="252"/>
      <c r="G258" s="252"/>
      <c r="H258" s="252"/>
      <c r="I258" s="252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  <c r="AD258" s="268"/>
      <c r="AE258" s="268"/>
    </row>
    <row r="259" spans="1:31" ht="15.75" customHeight="1">
      <c r="A259" s="252"/>
      <c r="B259" s="252"/>
      <c r="C259" s="252"/>
      <c r="D259" s="252"/>
      <c r="E259" s="252"/>
      <c r="F259" s="252"/>
      <c r="G259" s="252"/>
      <c r="H259" s="252"/>
      <c r="I259" s="252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  <c r="AD259" s="268"/>
      <c r="AE259" s="268"/>
    </row>
    <row r="260" spans="1:31" ht="15.75" customHeight="1">
      <c r="A260" s="252"/>
      <c r="B260" s="252"/>
      <c r="C260" s="252"/>
      <c r="D260" s="252"/>
      <c r="E260" s="252"/>
      <c r="F260" s="252"/>
      <c r="G260" s="252"/>
      <c r="H260" s="252"/>
      <c r="I260" s="252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  <c r="AD260" s="268"/>
      <c r="AE260" s="268"/>
    </row>
    <row r="261" spans="1:31" ht="15.75" customHeight="1">
      <c r="A261" s="252"/>
      <c r="B261" s="252"/>
      <c r="C261" s="252"/>
      <c r="D261" s="252"/>
      <c r="E261" s="252"/>
      <c r="F261" s="252"/>
      <c r="G261" s="252"/>
      <c r="H261" s="252"/>
      <c r="I261" s="252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  <c r="AD261" s="268"/>
      <c r="AE261" s="268"/>
    </row>
    <row r="262" spans="1:31" ht="15.75" customHeight="1">
      <c r="A262" s="252"/>
      <c r="B262" s="252"/>
      <c r="C262" s="252"/>
      <c r="D262" s="252"/>
      <c r="E262" s="252"/>
      <c r="F262" s="252"/>
      <c r="G262" s="252"/>
      <c r="H262" s="252"/>
      <c r="I262" s="252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</row>
    <row r="263" spans="1:31" ht="15.75" customHeight="1">
      <c r="A263" s="252"/>
      <c r="B263" s="252"/>
      <c r="C263" s="252"/>
      <c r="D263" s="252"/>
      <c r="E263" s="252"/>
      <c r="F263" s="252"/>
      <c r="G263" s="252"/>
      <c r="H263" s="252"/>
      <c r="I263" s="252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  <c r="AD263" s="268"/>
      <c r="AE263" s="268"/>
    </row>
    <row r="264" spans="1:31" ht="15.75" customHeight="1">
      <c r="A264" s="252"/>
      <c r="B264" s="252"/>
      <c r="C264" s="252"/>
      <c r="D264" s="252"/>
      <c r="E264" s="252"/>
      <c r="F264" s="252"/>
      <c r="G264" s="252"/>
      <c r="H264" s="252"/>
      <c r="I264" s="252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68"/>
    </row>
    <row r="265" spans="1:31" ht="15.75" customHeight="1">
      <c r="A265" s="252"/>
      <c r="B265" s="252"/>
      <c r="C265" s="252"/>
      <c r="D265" s="252"/>
      <c r="E265" s="252"/>
      <c r="F265" s="252"/>
      <c r="G265" s="252"/>
      <c r="H265" s="252"/>
      <c r="I265" s="252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  <c r="AD265" s="268"/>
      <c r="AE265" s="268"/>
    </row>
    <row r="266" spans="1:31" ht="15.75" customHeight="1">
      <c r="A266" s="252"/>
      <c r="B266" s="252"/>
      <c r="C266" s="252"/>
      <c r="D266" s="252"/>
      <c r="E266" s="252"/>
      <c r="F266" s="252"/>
      <c r="G266" s="252"/>
      <c r="H266" s="252"/>
      <c r="I266" s="252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  <c r="AD266" s="268"/>
      <c r="AE266" s="268"/>
    </row>
    <row r="267" spans="1:31" ht="15.75" customHeight="1">
      <c r="A267" s="252"/>
      <c r="B267" s="252"/>
      <c r="C267" s="252"/>
      <c r="D267" s="252"/>
      <c r="E267" s="252"/>
      <c r="F267" s="252"/>
      <c r="G267" s="252"/>
      <c r="H267" s="252"/>
      <c r="I267" s="252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</row>
    <row r="268" spans="1:31" ht="15.75" customHeight="1">
      <c r="A268" s="252"/>
      <c r="B268" s="252"/>
      <c r="C268" s="252"/>
      <c r="D268" s="252"/>
      <c r="E268" s="252"/>
      <c r="F268" s="252"/>
      <c r="G268" s="252"/>
      <c r="H268" s="252"/>
      <c r="I268" s="252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68"/>
    </row>
    <row r="269" spans="1:31" ht="15.75" customHeight="1">
      <c r="A269" s="252"/>
      <c r="B269" s="252"/>
      <c r="C269" s="252"/>
      <c r="D269" s="252"/>
      <c r="E269" s="252"/>
      <c r="F269" s="252"/>
      <c r="G269" s="252"/>
      <c r="H269" s="252"/>
      <c r="I269" s="252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68"/>
    </row>
    <row r="270" spans="1:31" ht="15.75" customHeight="1">
      <c r="A270" s="252"/>
      <c r="B270" s="252"/>
      <c r="C270" s="252"/>
      <c r="D270" s="252"/>
      <c r="E270" s="252"/>
      <c r="F270" s="252"/>
      <c r="G270" s="252"/>
      <c r="H270" s="252"/>
      <c r="I270" s="252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68"/>
    </row>
    <row r="271" spans="1:31" ht="15.75" customHeight="1">
      <c r="A271" s="252"/>
      <c r="B271" s="252"/>
      <c r="C271" s="252"/>
      <c r="D271" s="252"/>
      <c r="E271" s="252"/>
      <c r="F271" s="252"/>
      <c r="G271" s="252"/>
      <c r="H271" s="252"/>
      <c r="I271" s="252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68"/>
    </row>
    <row r="272" spans="1:31" ht="15.75" customHeight="1">
      <c r="A272" s="252"/>
      <c r="B272" s="252"/>
      <c r="C272" s="252"/>
      <c r="D272" s="252"/>
      <c r="E272" s="252"/>
      <c r="F272" s="252"/>
      <c r="G272" s="252"/>
      <c r="H272" s="252"/>
      <c r="I272" s="252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68"/>
    </row>
    <row r="273" spans="1:31" ht="15.75" customHeight="1">
      <c r="A273" s="252"/>
      <c r="B273" s="252"/>
      <c r="C273" s="252"/>
      <c r="D273" s="252"/>
      <c r="E273" s="252"/>
      <c r="F273" s="252"/>
      <c r="G273" s="252"/>
      <c r="H273" s="252"/>
      <c r="I273" s="252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</row>
    <row r="274" spans="1:31" ht="15.75" customHeight="1">
      <c r="A274" s="252"/>
      <c r="B274" s="252"/>
      <c r="C274" s="252"/>
      <c r="D274" s="252"/>
      <c r="E274" s="252"/>
      <c r="F274" s="252"/>
      <c r="G274" s="252"/>
      <c r="H274" s="252"/>
      <c r="I274" s="252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  <c r="AA274" s="268"/>
      <c r="AB274" s="268"/>
      <c r="AC274" s="268"/>
      <c r="AD274" s="268"/>
      <c r="AE274" s="268"/>
    </row>
    <row r="275" spans="1:31" ht="15.75" customHeight="1">
      <c r="A275" s="252"/>
      <c r="B275" s="252"/>
      <c r="C275" s="252"/>
      <c r="D275" s="252"/>
      <c r="E275" s="252"/>
      <c r="F275" s="252"/>
      <c r="G275" s="252"/>
      <c r="H275" s="252"/>
      <c r="I275" s="252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  <c r="AA275" s="268"/>
      <c r="AB275" s="268"/>
      <c r="AC275" s="268"/>
      <c r="AD275" s="268"/>
      <c r="AE275" s="268"/>
    </row>
    <row r="276" spans="1:31" ht="15.75" customHeight="1">
      <c r="A276" s="252"/>
      <c r="B276" s="252"/>
      <c r="C276" s="252"/>
      <c r="D276" s="252"/>
      <c r="E276" s="252"/>
      <c r="F276" s="252"/>
      <c r="G276" s="252"/>
      <c r="H276" s="252"/>
      <c r="I276" s="252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  <c r="AA276" s="268"/>
      <c r="AB276" s="268"/>
      <c r="AC276" s="268"/>
      <c r="AD276" s="268"/>
      <c r="AE276" s="268"/>
    </row>
    <row r="277" spans="1:31" ht="15.75" customHeight="1">
      <c r="A277" s="252"/>
      <c r="B277" s="252"/>
      <c r="C277" s="252"/>
      <c r="D277" s="252"/>
      <c r="E277" s="252"/>
      <c r="F277" s="252"/>
      <c r="G277" s="252"/>
      <c r="H277" s="252"/>
      <c r="I277" s="252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  <c r="AA277" s="268"/>
      <c r="AB277" s="268"/>
      <c r="AC277" s="268"/>
      <c r="AD277" s="268"/>
      <c r="AE277" s="268"/>
    </row>
    <row r="278" spans="1:31" ht="15.75" customHeight="1">
      <c r="A278" s="252"/>
      <c r="B278" s="252"/>
      <c r="C278" s="252"/>
      <c r="D278" s="252"/>
      <c r="E278" s="252"/>
      <c r="F278" s="252"/>
      <c r="G278" s="252"/>
      <c r="H278" s="252"/>
      <c r="I278" s="252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</row>
    <row r="279" spans="1:31" ht="15.75" customHeight="1">
      <c r="A279" s="252"/>
      <c r="B279" s="252"/>
      <c r="C279" s="252"/>
      <c r="D279" s="252"/>
      <c r="E279" s="252"/>
      <c r="F279" s="252"/>
      <c r="G279" s="252"/>
      <c r="H279" s="252"/>
      <c r="I279" s="252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  <c r="AA279" s="268"/>
      <c r="AB279" s="268"/>
      <c r="AC279" s="268"/>
      <c r="AD279" s="268"/>
      <c r="AE279" s="268"/>
    </row>
    <row r="280" spans="1:31" ht="15.75" customHeight="1">
      <c r="A280" s="252"/>
      <c r="B280" s="252"/>
      <c r="C280" s="252"/>
      <c r="D280" s="252"/>
      <c r="E280" s="252"/>
      <c r="F280" s="252"/>
      <c r="G280" s="252"/>
      <c r="H280" s="252"/>
      <c r="I280" s="252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  <c r="AA280" s="268"/>
      <c r="AB280" s="268"/>
      <c r="AC280" s="268"/>
      <c r="AD280" s="268"/>
      <c r="AE280" s="268"/>
    </row>
    <row r="281" spans="1:31" ht="15.75" customHeight="1">
      <c r="A281" s="252"/>
      <c r="B281" s="252"/>
      <c r="C281" s="252"/>
      <c r="D281" s="252"/>
      <c r="E281" s="252"/>
      <c r="F281" s="252"/>
      <c r="G281" s="252"/>
      <c r="H281" s="252"/>
      <c r="I281" s="252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  <c r="AA281" s="268"/>
      <c r="AB281" s="268"/>
      <c r="AC281" s="268"/>
      <c r="AD281" s="268"/>
      <c r="AE281" s="268"/>
    </row>
    <row r="282" spans="1:31" ht="15.75" customHeight="1">
      <c r="A282" s="252"/>
      <c r="B282" s="252"/>
      <c r="C282" s="252"/>
      <c r="D282" s="252"/>
      <c r="E282" s="252"/>
      <c r="F282" s="252"/>
      <c r="G282" s="252"/>
      <c r="H282" s="252"/>
      <c r="I282" s="252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  <c r="AA282" s="268"/>
      <c r="AB282" s="268"/>
      <c r="AC282" s="268"/>
      <c r="AD282" s="268"/>
      <c r="AE282" s="268"/>
    </row>
    <row r="283" spans="1:31" ht="15.75" customHeight="1">
      <c r="A283" s="252"/>
      <c r="B283" s="252"/>
      <c r="C283" s="252"/>
      <c r="D283" s="252"/>
      <c r="E283" s="252"/>
      <c r="F283" s="252"/>
      <c r="G283" s="252"/>
      <c r="H283" s="252"/>
      <c r="I283" s="252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  <c r="AA283" s="268"/>
      <c r="AB283" s="268"/>
      <c r="AC283" s="268"/>
      <c r="AD283" s="268"/>
      <c r="AE283" s="268"/>
    </row>
    <row r="284" spans="1:31" ht="15.75" customHeight="1">
      <c r="A284" s="252"/>
      <c r="B284" s="252"/>
      <c r="C284" s="252"/>
      <c r="D284" s="252"/>
      <c r="E284" s="252"/>
      <c r="F284" s="252"/>
      <c r="G284" s="252"/>
      <c r="H284" s="252"/>
      <c r="I284" s="252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  <c r="AA284" s="268"/>
      <c r="AB284" s="268"/>
      <c r="AC284" s="268"/>
      <c r="AD284" s="268"/>
      <c r="AE284" s="268"/>
    </row>
    <row r="285" spans="1:31" ht="15.75" customHeight="1">
      <c r="A285" s="252"/>
      <c r="B285" s="252"/>
      <c r="C285" s="252"/>
      <c r="D285" s="252"/>
      <c r="E285" s="252"/>
      <c r="F285" s="252"/>
      <c r="G285" s="252"/>
      <c r="H285" s="252"/>
      <c r="I285" s="252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  <c r="AA285" s="268"/>
      <c r="AB285" s="268"/>
      <c r="AC285" s="268"/>
      <c r="AD285" s="268"/>
      <c r="AE285" s="268"/>
    </row>
    <row r="286" spans="1:31" ht="15.75" customHeight="1">
      <c r="A286" s="252"/>
      <c r="B286" s="252"/>
      <c r="C286" s="252"/>
      <c r="D286" s="252"/>
      <c r="E286" s="252"/>
      <c r="F286" s="252"/>
      <c r="G286" s="252"/>
      <c r="H286" s="252"/>
      <c r="I286" s="252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  <c r="AA286" s="268"/>
      <c r="AB286" s="268"/>
      <c r="AC286" s="268"/>
      <c r="AD286" s="268"/>
      <c r="AE286" s="268"/>
    </row>
    <row r="287" spans="1:31" ht="15.75" customHeight="1">
      <c r="A287" s="252"/>
      <c r="B287" s="252"/>
      <c r="C287" s="252"/>
      <c r="D287" s="252"/>
      <c r="E287" s="252"/>
      <c r="F287" s="252"/>
      <c r="G287" s="252"/>
      <c r="H287" s="252"/>
      <c r="I287" s="252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  <c r="AA287" s="268"/>
      <c r="AB287" s="268"/>
      <c r="AC287" s="268"/>
      <c r="AD287" s="268"/>
      <c r="AE287" s="268"/>
    </row>
    <row r="288" spans="1:31" ht="15.75" customHeight="1">
      <c r="A288" s="252"/>
      <c r="B288" s="252"/>
      <c r="C288" s="252"/>
      <c r="D288" s="252"/>
      <c r="E288" s="252"/>
      <c r="F288" s="252"/>
      <c r="G288" s="252"/>
      <c r="H288" s="252"/>
      <c r="I288" s="252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  <c r="AA288" s="268"/>
      <c r="AB288" s="268"/>
      <c r="AC288" s="268"/>
      <c r="AD288" s="268"/>
      <c r="AE288" s="268"/>
    </row>
    <row r="289" spans="1:31" ht="15.75" customHeight="1">
      <c r="A289" s="252"/>
      <c r="B289" s="252"/>
      <c r="C289" s="252"/>
      <c r="D289" s="252"/>
      <c r="E289" s="252"/>
      <c r="F289" s="252"/>
      <c r="G289" s="252"/>
      <c r="H289" s="252"/>
      <c r="I289" s="252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  <c r="AA289" s="268"/>
      <c r="AB289" s="268"/>
      <c r="AC289" s="268"/>
      <c r="AD289" s="268"/>
      <c r="AE289" s="268"/>
    </row>
    <row r="290" spans="1:31" ht="15.75" customHeight="1">
      <c r="A290" s="252"/>
      <c r="B290" s="252"/>
      <c r="C290" s="252"/>
      <c r="D290" s="252"/>
      <c r="E290" s="252"/>
      <c r="F290" s="252"/>
      <c r="G290" s="252"/>
      <c r="H290" s="252"/>
      <c r="I290" s="252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  <c r="AA290" s="268"/>
      <c r="AB290" s="268"/>
      <c r="AC290" s="268"/>
      <c r="AD290" s="268"/>
      <c r="AE290" s="268"/>
    </row>
    <row r="291" spans="1:31" ht="15.75" customHeight="1">
      <c r="A291" s="252"/>
      <c r="B291" s="252"/>
      <c r="C291" s="252"/>
      <c r="D291" s="252"/>
      <c r="E291" s="252"/>
      <c r="F291" s="252"/>
      <c r="G291" s="252"/>
      <c r="H291" s="252"/>
      <c r="I291" s="252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  <c r="AA291" s="268"/>
      <c r="AB291" s="268"/>
      <c r="AC291" s="268"/>
      <c r="AD291" s="268"/>
      <c r="AE291" s="268"/>
    </row>
    <row r="292" spans="1:31" ht="15.75" customHeight="1">
      <c r="A292" s="252"/>
      <c r="B292" s="252"/>
      <c r="C292" s="252"/>
      <c r="D292" s="252"/>
      <c r="E292" s="252"/>
      <c r="F292" s="252"/>
      <c r="G292" s="252"/>
      <c r="H292" s="252"/>
      <c r="I292" s="252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  <c r="AA292" s="268"/>
      <c r="AB292" s="268"/>
      <c r="AC292" s="268"/>
      <c r="AD292" s="268"/>
      <c r="AE292" s="268"/>
    </row>
    <row r="293" spans="1:31" ht="15.75" customHeight="1">
      <c r="A293" s="252"/>
      <c r="B293" s="252"/>
      <c r="C293" s="252"/>
      <c r="D293" s="252"/>
      <c r="E293" s="252"/>
      <c r="F293" s="252"/>
      <c r="G293" s="252"/>
      <c r="H293" s="252"/>
      <c r="I293" s="252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  <c r="AA293" s="268"/>
      <c r="AB293" s="268"/>
      <c r="AC293" s="268"/>
      <c r="AD293" s="268"/>
      <c r="AE293" s="268"/>
    </row>
    <row r="294" spans="1:31" ht="15.75" customHeight="1">
      <c r="A294" s="252"/>
      <c r="B294" s="252"/>
      <c r="C294" s="252"/>
      <c r="D294" s="252"/>
      <c r="E294" s="252"/>
      <c r="F294" s="252"/>
      <c r="G294" s="252"/>
      <c r="H294" s="252"/>
      <c r="I294" s="252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  <c r="AA294" s="268"/>
      <c r="AB294" s="268"/>
      <c r="AC294" s="268"/>
      <c r="AD294" s="268"/>
      <c r="AE294" s="268"/>
    </row>
    <row r="295" spans="1:31" ht="15.75" customHeight="1">
      <c r="A295" s="252"/>
      <c r="B295" s="252"/>
      <c r="C295" s="252"/>
      <c r="D295" s="252"/>
      <c r="E295" s="252"/>
      <c r="F295" s="252"/>
      <c r="G295" s="252"/>
      <c r="H295" s="252"/>
      <c r="I295" s="252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  <c r="AA295" s="268"/>
      <c r="AB295" s="268"/>
      <c r="AC295" s="268"/>
      <c r="AD295" s="268"/>
      <c r="AE295" s="268"/>
    </row>
    <row r="296" spans="1:31" ht="15.75" customHeight="1">
      <c r="A296" s="252"/>
      <c r="B296" s="252"/>
      <c r="C296" s="252"/>
      <c r="D296" s="252"/>
      <c r="E296" s="252"/>
      <c r="F296" s="252"/>
      <c r="G296" s="252"/>
      <c r="H296" s="252"/>
      <c r="I296" s="252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  <c r="AA296" s="268"/>
      <c r="AB296" s="268"/>
      <c r="AC296" s="268"/>
      <c r="AD296" s="268"/>
      <c r="AE296" s="268"/>
    </row>
    <row r="297" spans="1:31" ht="15.75" customHeight="1">
      <c r="A297" s="252"/>
      <c r="B297" s="252"/>
      <c r="C297" s="252"/>
      <c r="D297" s="252"/>
      <c r="E297" s="252"/>
      <c r="F297" s="252"/>
      <c r="G297" s="252"/>
      <c r="H297" s="252"/>
      <c r="I297" s="252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  <c r="AA297" s="268"/>
      <c r="AB297" s="268"/>
      <c r="AC297" s="268"/>
      <c r="AD297" s="268"/>
      <c r="AE297" s="268"/>
    </row>
    <row r="298" spans="1:31" ht="15.75" customHeight="1">
      <c r="A298" s="252"/>
      <c r="B298" s="252"/>
      <c r="C298" s="252"/>
      <c r="D298" s="252"/>
      <c r="E298" s="252"/>
      <c r="F298" s="252"/>
      <c r="G298" s="252"/>
      <c r="H298" s="252"/>
      <c r="I298" s="252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  <c r="AA298" s="268"/>
      <c r="AB298" s="268"/>
      <c r="AC298" s="268"/>
      <c r="AD298" s="268"/>
      <c r="AE298" s="268"/>
    </row>
    <row r="299" spans="1:31" ht="15.75" customHeight="1">
      <c r="A299" s="252"/>
      <c r="B299" s="252"/>
      <c r="C299" s="252"/>
      <c r="D299" s="252"/>
      <c r="E299" s="252"/>
      <c r="F299" s="252"/>
      <c r="G299" s="252"/>
      <c r="H299" s="252"/>
      <c r="I299" s="252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  <c r="AA299" s="268"/>
      <c r="AB299" s="268"/>
      <c r="AC299" s="268"/>
      <c r="AD299" s="268"/>
      <c r="AE299" s="268"/>
    </row>
    <row r="300" spans="1:31" ht="15.75" customHeight="1">
      <c r="A300" s="252"/>
      <c r="B300" s="252"/>
      <c r="C300" s="252"/>
      <c r="D300" s="252"/>
      <c r="E300" s="252"/>
      <c r="F300" s="252"/>
      <c r="G300" s="252"/>
      <c r="H300" s="252"/>
      <c r="I300" s="252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  <c r="AA300" s="268"/>
      <c r="AB300" s="268"/>
      <c r="AC300" s="268"/>
      <c r="AD300" s="268"/>
      <c r="AE300" s="268"/>
    </row>
    <row r="301" spans="1:31" ht="15.75" customHeight="1">
      <c r="A301" s="252"/>
      <c r="B301" s="252"/>
      <c r="C301" s="252"/>
      <c r="D301" s="252"/>
      <c r="E301" s="252"/>
      <c r="F301" s="252"/>
      <c r="G301" s="252"/>
      <c r="H301" s="252"/>
      <c r="I301" s="252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  <c r="AA301" s="268"/>
      <c r="AB301" s="268"/>
      <c r="AC301" s="268"/>
      <c r="AD301" s="268"/>
      <c r="AE301" s="268"/>
    </row>
    <row r="302" spans="1:31" ht="15.75" customHeight="1">
      <c r="A302" s="252"/>
      <c r="B302" s="252"/>
      <c r="C302" s="252"/>
      <c r="D302" s="252"/>
      <c r="E302" s="252"/>
      <c r="F302" s="252"/>
      <c r="G302" s="252"/>
      <c r="H302" s="252"/>
      <c r="I302" s="252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  <c r="AA302" s="268"/>
      <c r="AB302" s="268"/>
      <c r="AC302" s="268"/>
      <c r="AD302" s="268"/>
      <c r="AE302" s="268"/>
    </row>
    <row r="303" spans="1:31" ht="15.75" customHeight="1">
      <c r="A303" s="252"/>
      <c r="B303" s="252"/>
      <c r="C303" s="252"/>
      <c r="D303" s="252"/>
      <c r="E303" s="252"/>
      <c r="F303" s="252"/>
      <c r="G303" s="252"/>
      <c r="H303" s="252"/>
      <c r="I303" s="252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  <c r="AA303" s="268"/>
      <c r="AB303" s="268"/>
      <c r="AC303" s="268"/>
      <c r="AD303" s="268"/>
      <c r="AE303" s="268"/>
    </row>
    <row r="304" spans="1:31" ht="15.75" customHeight="1">
      <c r="A304" s="252"/>
      <c r="B304" s="252"/>
      <c r="C304" s="252"/>
      <c r="D304" s="252"/>
      <c r="E304" s="252"/>
      <c r="F304" s="252"/>
      <c r="G304" s="252"/>
      <c r="H304" s="252"/>
      <c r="I304" s="252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  <c r="AA304" s="268"/>
      <c r="AB304" s="268"/>
      <c r="AC304" s="268"/>
      <c r="AD304" s="268"/>
      <c r="AE304" s="268"/>
    </row>
    <row r="305" spans="1:31" ht="15.75" customHeight="1">
      <c r="A305" s="252"/>
      <c r="B305" s="252"/>
      <c r="C305" s="252"/>
      <c r="D305" s="252"/>
      <c r="E305" s="252"/>
      <c r="F305" s="252"/>
      <c r="G305" s="252"/>
      <c r="H305" s="252"/>
      <c r="I305" s="252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  <c r="AA305" s="268"/>
      <c r="AB305" s="268"/>
      <c r="AC305" s="268"/>
      <c r="AD305" s="268"/>
      <c r="AE305" s="268"/>
    </row>
    <row r="306" spans="1:31" ht="15.75" customHeight="1">
      <c r="A306" s="252"/>
      <c r="B306" s="252"/>
      <c r="C306" s="252"/>
      <c r="D306" s="252"/>
      <c r="E306" s="252"/>
      <c r="F306" s="252"/>
      <c r="G306" s="252"/>
      <c r="H306" s="252"/>
      <c r="I306" s="252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  <c r="AA306" s="268"/>
      <c r="AB306" s="268"/>
      <c r="AC306" s="268"/>
      <c r="AD306" s="268"/>
      <c r="AE306" s="268"/>
    </row>
    <row r="307" spans="1:31" ht="15.75" customHeight="1">
      <c r="A307" s="252"/>
      <c r="B307" s="252"/>
      <c r="C307" s="252"/>
      <c r="D307" s="252"/>
      <c r="E307" s="252"/>
      <c r="F307" s="252"/>
      <c r="G307" s="252"/>
      <c r="H307" s="252"/>
      <c r="I307" s="252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  <c r="AA307" s="268"/>
      <c r="AB307" s="268"/>
      <c r="AC307" s="268"/>
      <c r="AD307" s="268"/>
      <c r="AE307" s="268"/>
    </row>
    <row r="308" spans="1:31" ht="15.75" customHeight="1">
      <c r="A308" s="252"/>
      <c r="B308" s="252"/>
      <c r="C308" s="252"/>
      <c r="D308" s="252"/>
      <c r="E308" s="252"/>
      <c r="F308" s="252"/>
      <c r="G308" s="252"/>
      <c r="H308" s="252"/>
      <c r="I308" s="252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  <c r="AA308" s="268"/>
      <c r="AB308" s="268"/>
      <c r="AC308" s="268"/>
      <c r="AD308" s="268"/>
      <c r="AE308" s="268"/>
    </row>
    <row r="309" spans="1:31" ht="15.75" customHeight="1">
      <c r="A309" s="252"/>
      <c r="B309" s="252"/>
      <c r="C309" s="252"/>
      <c r="D309" s="252"/>
      <c r="E309" s="252"/>
      <c r="F309" s="252"/>
      <c r="G309" s="252"/>
      <c r="H309" s="252"/>
      <c r="I309" s="252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  <c r="AA309" s="268"/>
      <c r="AB309" s="268"/>
      <c r="AC309" s="268"/>
      <c r="AD309" s="268"/>
      <c r="AE309" s="268"/>
    </row>
    <row r="310" spans="1:31" ht="15.75" customHeight="1">
      <c r="A310" s="252"/>
      <c r="B310" s="252"/>
      <c r="C310" s="252"/>
      <c r="D310" s="252"/>
      <c r="E310" s="252"/>
      <c r="F310" s="252"/>
      <c r="G310" s="252"/>
      <c r="H310" s="252"/>
      <c r="I310" s="252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  <c r="AA310" s="268"/>
      <c r="AB310" s="268"/>
      <c r="AC310" s="268"/>
      <c r="AD310" s="268"/>
      <c r="AE310" s="268"/>
    </row>
    <row r="311" spans="1:31" ht="15.75" customHeight="1">
      <c r="A311" s="252"/>
      <c r="B311" s="252"/>
      <c r="C311" s="252"/>
      <c r="D311" s="252"/>
      <c r="E311" s="252"/>
      <c r="F311" s="252"/>
      <c r="G311" s="252"/>
      <c r="H311" s="252"/>
      <c r="I311" s="252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  <c r="AA311" s="268"/>
      <c r="AB311" s="268"/>
      <c r="AC311" s="268"/>
      <c r="AD311" s="268"/>
      <c r="AE311" s="268"/>
    </row>
    <row r="312" spans="1:31" ht="15.75" customHeight="1">
      <c r="A312" s="252"/>
      <c r="B312" s="252"/>
      <c r="C312" s="252"/>
      <c r="D312" s="252"/>
      <c r="E312" s="252"/>
      <c r="F312" s="252"/>
      <c r="G312" s="252"/>
      <c r="H312" s="252"/>
      <c r="I312" s="252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  <c r="AA312" s="268"/>
      <c r="AB312" s="268"/>
      <c r="AC312" s="268"/>
      <c r="AD312" s="268"/>
      <c r="AE312" s="268"/>
    </row>
    <row r="313" spans="1:31" ht="15.75" customHeight="1">
      <c r="A313" s="252"/>
      <c r="B313" s="252"/>
      <c r="C313" s="252"/>
      <c r="D313" s="252"/>
      <c r="E313" s="252"/>
      <c r="F313" s="252"/>
      <c r="G313" s="252"/>
      <c r="H313" s="252"/>
      <c r="I313" s="252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  <c r="AA313" s="268"/>
      <c r="AB313" s="268"/>
      <c r="AC313" s="268"/>
      <c r="AD313" s="268"/>
      <c r="AE313" s="268"/>
    </row>
    <row r="314" spans="1:31" ht="15.75" customHeight="1">
      <c r="A314" s="252"/>
      <c r="B314" s="252"/>
      <c r="C314" s="252"/>
      <c r="D314" s="252"/>
      <c r="E314" s="252"/>
      <c r="F314" s="252"/>
      <c r="G314" s="252"/>
      <c r="H314" s="252"/>
      <c r="I314" s="252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  <c r="AA314" s="268"/>
      <c r="AB314" s="268"/>
      <c r="AC314" s="268"/>
      <c r="AD314" s="268"/>
      <c r="AE314" s="268"/>
    </row>
    <row r="315" spans="1:31" ht="15.75" customHeight="1">
      <c r="A315" s="252"/>
      <c r="B315" s="252"/>
      <c r="C315" s="252"/>
      <c r="D315" s="252"/>
      <c r="E315" s="252"/>
      <c r="F315" s="252"/>
      <c r="G315" s="252"/>
      <c r="H315" s="252"/>
      <c r="I315" s="252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  <c r="AA315" s="268"/>
      <c r="AB315" s="268"/>
      <c r="AC315" s="268"/>
      <c r="AD315" s="268"/>
      <c r="AE315" s="268"/>
    </row>
    <row r="316" spans="1:31" ht="15.75" customHeight="1">
      <c r="A316" s="252"/>
      <c r="B316" s="252"/>
      <c r="C316" s="252"/>
      <c r="D316" s="252"/>
      <c r="E316" s="252"/>
      <c r="F316" s="252"/>
      <c r="G316" s="252"/>
      <c r="H316" s="252"/>
      <c r="I316" s="252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  <c r="AA316" s="268"/>
      <c r="AB316" s="268"/>
      <c r="AC316" s="268"/>
      <c r="AD316" s="268"/>
      <c r="AE316" s="268"/>
    </row>
    <row r="317" spans="1:31" ht="15.75" customHeight="1">
      <c r="A317" s="252"/>
      <c r="B317" s="252"/>
      <c r="C317" s="252"/>
      <c r="D317" s="252"/>
      <c r="E317" s="252"/>
      <c r="F317" s="252"/>
      <c r="G317" s="252"/>
      <c r="H317" s="252"/>
      <c r="I317" s="252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  <c r="AA317" s="268"/>
      <c r="AB317" s="268"/>
      <c r="AC317" s="268"/>
      <c r="AD317" s="268"/>
      <c r="AE317" s="268"/>
    </row>
    <row r="318" spans="1:31" ht="15.75" customHeight="1">
      <c r="A318" s="252"/>
      <c r="B318" s="252"/>
      <c r="C318" s="252"/>
      <c r="D318" s="252"/>
      <c r="E318" s="252"/>
      <c r="F318" s="252"/>
      <c r="G318" s="252"/>
      <c r="H318" s="252"/>
      <c r="I318" s="252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  <c r="AA318" s="268"/>
      <c r="AB318" s="268"/>
      <c r="AC318" s="268"/>
      <c r="AD318" s="268"/>
      <c r="AE318" s="268"/>
    </row>
    <row r="319" spans="1:31" ht="15.75" customHeight="1">
      <c r="A319" s="252"/>
      <c r="B319" s="252"/>
      <c r="C319" s="252"/>
      <c r="D319" s="252"/>
      <c r="E319" s="252"/>
      <c r="F319" s="252"/>
      <c r="G319" s="252"/>
      <c r="H319" s="252"/>
      <c r="I319" s="252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  <c r="AA319" s="268"/>
      <c r="AB319" s="268"/>
      <c r="AC319" s="268"/>
      <c r="AD319" s="268"/>
      <c r="AE319" s="268"/>
    </row>
    <row r="320" spans="1:31" ht="15.75" customHeight="1">
      <c r="A320" s="252"/>
      <c r="B320" s="252"/>
      <c r="C320" s="252"/>
      <c r="D320" s="252"/>
      <c r="E320" s="252"/>
      <c r="F320" s="252"/>
      <c r="G320" s="252"/>
      <c r="H320" s="252"/>
      <c r="I320" s="252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  <c r="AA320" s="268"/>
      <c r="AB320" s="268"/>
      <c r="AC320" s="268"/>
      <c r="AD320" s="268"/>
      <c r="AE320" s="268"/>
    </row>
    <row r="321" spans="1:31" ht="15.75" customHeight="1">
      <c r="A321" s="252"/>
      <c r="B321" s="252"/>
      <c r="C321" s="252"/>
      <c r="D321" s="252"/>
      <c r="E321" s="252"/>
      <c r="F321" s="252"/>
      <c r="G321" s="252"/>
      <c r="H321" s="252"/>
      <c r="I321" s="252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  <c r="AA321" s="268"/>
      <c r="AB321" s="268"/>
      <c r="AC321" s="268"/>
      <c r="AD321" s="268"/>
      <c r="AE321" s="268"/>
    </row>
    <row r="322" spans="1:31" ht="15.75" customHeight="1">
      <c r="A322" s="252"/>
      <c r="B322" s="252"/>
      <c r="C322" s="252"/>
      <c r="D322" s="252"/>
      <c r="E322" s="252"/>
      <c r="F322" s="252"/>
      <c r="G322" s="252"/>
      <c r="H322" s="252"/>
      <c r="I322" s="252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  <c r="AA322" s="268"/>
      <c r="AB322" s="268"/>
      <c r="AC322" s="268"/>
      <c r="AD322" s="268"/>
      <c r="AE322" s="268"/>
    </row>
    <row r="323" spans="1:31" ht="15.75" customHeight="1">
      <c r="A323" s="252"/>
      <c r="B323" s="252"/>
      <c r="C323" s="252"/>
      <c r="D323" s="252"/>
      <c r="E323" s="252"/>
      <c r="F323" s="252"/>
      <c r="G323" s="252"/>
      <c r="H323" s="252"/>
      <c r="I323" s="252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  <c r="AA323" s="268"/>
      <c r="AB323" s="268"/>
      <c r="AC323" s="268"/>
      <c r="AD323" s="268"/>
      <c r="AE323" s="268"/>
    </row>
    <row r="324" spans="1:31" ht="15.75" customHeight="1">
      <c r="A324" s="252"/>
      <c r="B324" s="252"/>
      <c r="C324" s="252"/>
      <c r="D324" s="252"/>
      <c r="E324" s="252"/>
      <c r="F324" s="252"/>
      <c r="G324" s="252"/>
      <c r="H324" s="252"/>
      <c r="I324" s="252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  <c r="AA324" s="268"/>
      <c r="AB324" s="268"/>
      <c r="AC324" s="268"/>
      <c r="AD324" s="268"/>
      <c r="AE324" s="268"/>
    </row>
    <row r="325" spans="1:31" ht="15.75" customHeight="1">
      <c r="A325" s="252"/>
      <c r="B325" s="252"/>
      <c r="C325" s="252"/>
      <c r="D325" s="252"/>
      <c r="E325" s="252"/>
      <c r="F325" s="252"/>
      <c r="G325" s="252"/>
      <c r="H325" s="252"/>
      <c r="I325" s="252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  <c r="AA325" s="268"/>
      <c r="AB325" s="268"/>
      <c r="AC325" s="268"/>
      <c r="AD325" s="268"/>
      <c r="AE325" s="268"/>
    </row>
    <row r="326" spans="1:31" ht="15.75" customHeight="1">
      <c r="A326" s="252"/>
      <c r="B326" s="252"/>
      <c r="C326" s="252"/>
      <c r="D326" s="252"/>
      <c r="E326" s="252"/>
      <c r="F326" s="252"/>
      <c r="G326" s="252"/>
      <c r="H326" s="252"/>
      <c r="I326" s="252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  <c r="AA326" s="268"/>
      <c r="AB326" s="268"/>
      <c r="AC326" s="268"/>
      <c r="AD326" s="268"/>
      <c r="AE326" s="268"/>
    </row>
    <row r="327" spans="1:31" ht="15.75" customHeight="1">
      <c r="A327" s="252"/>
      <c r="B327" s="252"/>
      <c r="C327" s="252"/>
      <c r="D327" s="252"/>
      <c r="E327" s="252"/>
      <c r="F327" s="252"/>
      <c r="G327" s="252"/>
      <c r="H327" s="252"/>
      <c r="I327" s="252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  <c r="AA327" s="268"/>
      <c r="AB327" s="268"/>
      <c r="AC327" s="268"/>
      <c r="AD327" s="268"/>
      <c r="AE327" s="268"/>
    </row>
    <row r="328" spans="1:31" ht="15.75" customHeight="1">
      <c r="A328" s="252"/>
      <c r="B328" s="252"/>
      <c r="C328" s="252"/>
      <c r="D328" s="252"/>
      <c r="E328" s="252"/>
      <c r="F328" s="252"/>
      <c r="G328" s="252"/>
      <c r="H328" s="252"/>
      <c r="I328" s="252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  <c r="AA328" s="268"/>
      <c r="AB328" s="268"/>
      <c r="AC328" s="268"/>
      <c r="AD328" s="268"/>
      <c r="AE328" s="268"/>
    </row>
    <row r="329" spans="1:31" ht="15.75" customHeight="1">
      <c r="A329" s="252"/>
      <c r="B329" s="252"/>
      <c r="C329" s="252"/>
      <c r="D329" s="252"/>
      <c r="E329" s="252"/>
      <c r="F329" s="252"/>
      <c r="G329" s="252"/>
      <c r="H329" s="252"/>
      <c r="I329" s="252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  <c r="AA329" s="268"/>
      <c r="AB329" s="268"/>
      <c r="AC329" s="268"/>
      <c r="AD329" s="268"/>
      <c r="AE329" s="268"/>
    </row>
    <row r="330" spans="1:31" ht="15.75" customHeight="1">
      <c r="A330" s="252"/>
      <c r="B330" s="252"/>
      <c r="C330" s="252"/>
      <c r="D330" s="252"/>
      <c r="E330" s="252"/>
      <c r="F330" s="252"/>
      <c r="G330" s="252"/>
      <c r="H330" s="252"/>
      <c r="I330" s="252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  <c r="AA330" s="268"/>
      <c r="AB330" s="268"/>
      <c r="AC330" s="268"/>
      <c r="AD330" s="268"/>
      <c r="AE330" s="268"/>
    </row>
    <row r="331" spans="1:31" ht="15.75" customHeight="1">
      <c r="A331" s="252"/>
      <c r="B331" s="252"/>
      <c r="C331" s="252"/>
      <c r="D331" s="252"/>
      <c r="E331" s="252"/>
      <c r="F331" s="252"/>
      <c r="G331" s="252"/>
      <c r="H331" s="252"/>
      <c r="I331" s="252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  <c r="AA331" s="268"/>
      <c r="AB331" s="268"/>
      <c r="AC331" s="268"/>
      <c r="AD331" s="268"/>
      <c r="AE331" s="268"/>
    </row>
    <row r="332" spans="1:31" ht="15.75" customHeight="1">
      <c r="A332" s="252"/>
      <c r="B332" s="252"/>
      <c r="C332" s="252"/>
      <c r="D332" s="252"/>
      <c r="E332" s="252"/>
      <c r="F332" s="252"/>
      <c r="G332" s="252"/>
      <c r="H332" s="252"/>
      <c r="I332" s="252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  <c r="AA332" s="268"/>
      <c r="AB332" s="268"/>
      <c r="AC332" s="268"/>
      <c r="AD332" s="268"/>
      <c r="AE332" s="268"/>
    </row>
    <row r="333" spans="1:31" ht="15.75" customHeight="1">
      <c r="A333" s="252"/>
      <c r="B333" s="252"/>
      <c r="C333" s="252"/>
      <c r="D333" s="252"/>
      <c r="E333" s="252"/>
      <c r="F333" s="252"/>
      <c r="G333" s="252"/>
      <c r="H333" s="252"/>
      <c r="I333" s="252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  <c r="AA333" s="268"/>
      <c r="AB333" s="268"/>
      <c r="AC333" s="268"/>
      <c r="AD333" s="268"/>
      <c r="AE333" s="268"/>
    </row>
    <row r="334" spans="1:31" ht="15.75" customHeight="1">
      <c r="A334" s="252"/>
      <c r="B334" s="252"/>
      <c r="C334" s="252"/>
      <c r="D334" s="252"/>
      <c r="E334" s="252"/>
      <c r="F334" s="252"/>
      <c r="G334" s="252"/>
      <c r="H334" s="252"/>
      <c r="I334" s="252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  <c r="AA334" s="268"/>
      <c r="AB334" s="268"/>
      <c r="AC334" s="268"/>
      <c r="AD334" s="268"/>
      <c r="AE334" s="268"/>
    </row>
    <row r="335" spans="1:31" ht="15.75" customHeight="1">
      <c r="A335" s="252"/>
      <c r="B335" s="252"/>
      <c r="C335" s="252"/>
      <c r="D335" s="252"/>
      <c r="E335" s="252"/>
      <c r="F335" s="252"/>
      <c r="G335" s="252"/>
      <c r="H335" s="252"/>
      <c r="I335" s="252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  <c r="AA335" s="268"/>
      <c r="AB335" s="268"/>
      <c r="AC335" s="268"/>
      <c r="AD335" s="268"/>
      <c r="AE335" s="268"/>
    </row>
    <row r="336" spans="1:31" ht="15.75" customHeight="1">
      <c r="A336" s="252"/>
      <c r="B336" s="252"/>
      <c r="C336" s="252"/>
      <c r="D336" s="252"/>
      <c r="E336" s="252"/>
      <c r="F336" s="252"/>
      <c r="G336" s="252"/>
      <c r="H336" s="252"/>
      <c r="I336" s="252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  <c r="AA336" s="268"/>
      <c r="AB336" s="268"/>
      <c r="AC336" s="268"/>
      <c r="AD336" s="268"/>
      <c r="AE336" s="268"/>
    </row>
    <row r="337" spans="1:31" ht="15.75" customHeight="1">
      <c r="A337" s="252"/>
      <c r="B337" s="252"/>
      <c r="C337" s="252"/>
      <c r="D337" s="252"/>
      <c r="E337" s="252"/>
      <c r="F337" s="252"/>
      <c r="G337" s="252"/>
      <c r="H337" s="252"/>
      <c r="I337" s="252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  <c r="AA337" s="268"/>
      <c r="AB337" s="268"/>
      <c r="AC337" s="268"/>
      <c r="AD337" s="268"/>
      <c r="AE337" s="268"/>
    </row>
    <row r="338" spans="1:31" ht="15.75" customHeight="1">
      <c r="A338" s="252"/>
      <c r="B338" s="252"/>
      <c r="C338" s="252"/>
      <c r="D338" s="252"/>
      <c r="E338" s="252"/>
      <c r="F338" s="252"/>
      <c r="G338" s="252"/>
      <c r="H338" s="252"/>
      <c r="I338" s="252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  <c r="AA338" s="268"/>
      <c r="AB338" s="268"/>
      <c r="AC338" s="268"/>
      <c r="AD338" s="268"/>
      <c r="AE338" s="268"/>
    </row>
    <row r="339" spans="1:31" ht="15.75" customHeight="1">
      <c r="A339" s="252"/>
      <c r="B339" s="252"/>
      <c r="C339" s="252"/>
      <c r="D339" s="252"/>
      <c r="E339" s="252"/>
      <c r="F339" s="252"/>
      <c r="G339" s="252"/>
      <c r="H339" s="252"/>
      <c r="I339" s="252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  <c r="AA339" s="268"/>
      <c r="AB339" s="268"/>
      <c r="AC339" s="268"/>
      <c r="AD339" s="268"/>
      <c r="AE339" s="268"/>
    </row>
    <row r="340" spans="1:31" ht="15.75" customHeight="1">
      <c r="A340" s="252"/>
      <c r="B340" s="252"/>
      <c r="C340" s="252"/>
      <c r="D340" s="252"/>
      <c r="E340" s="252"/>
      <c r="F340" s="252"/>
      <c r="G340" s="252"/>
      <c r="H340" s="252"/>
      <c r="I340" s="252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  <c r="AA340" s="268"/>
      <c r="AB340" s="268"/>
      <c r="AC340" s="268"/>
      <c r="AD340" s="268"/>
      <c r="AE340" s="268"/>
    </row>
    <row r="341" spans="1:31" ht="15.75" customHeight="1">
      <c r="A341" s="252"/>
      <c r="B341" s="252"/>
      <c r="C341" s="252"/>
      <c r="D341" s="252"/>
      <c r="E341" s="252"/>
      <c r="F341" s="252"/>
      <c r="G341" s="252"/>
      <c r="H341" s="252"/>
      <c r="I341" s="252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  <c r="AA341" s="268"/>
      <c r="AB341" s="268"/>
      <c r="AC341" s="268"/>
      <c r="AD341" s="268"/>
      <c r="AE341" s="268"/>
    </row>
    <row r="342" spans="1:31" ht="15.75" customHeight="1">
      <c r="A342" s="252"/>
      <c r="B342" s="252"/>
      <c r="C342" s="252"/>
      <c r="D342" s="252"/>
      <c r="E342" s="252"/>
      <c r="F342" s="252"/>
      <c r="G342" s="252"/>
      <c r="H342" s="252"/>
      <c r="I342" s="252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  <c r="AA342" s="268"/>
      <c r="AB342" s="268"/>
      <c r="AC342" s="268"/>
      <c r="AD342" s="268"/>
      <c r="AE342" s="268"/>
    </row>
    <row r="343" spans="1:31" ht="15.75" customHeight="1">
      <c r="A343" s="252"/>
      <c r="B343" s="252"/>
      <c r="C343" s="252"/>
      <c r="D343" s="252"/>
      <c r="E343" s="252"/>
      <c r="F343" s="252"/>
      <c r="G343" s="252"/>
      <c r="H343" s="252"/>
      <c r="I343" s="252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  <c r="AA343" s="268"/>
      <c r="AB343" s="268"/>
      <c r="AC343" s="268"/>
      <c r="AD343" s="268"/>
      <c r="AE343" s="268"/>
    </row>
    <row r="344" spans="1:31" ht="15.75" customHeight="1">
      <c r="A344" s="252"/>
      <c r="B344" s="252"/>
      <c r="C344" s="252"/>
      <c r="D344" s="252"/>
      <c r="E344" s="252"/>
      <c r="F344" s="252"/>
      <c r="G344" s="252"/>
      <c r="H344" s="252"/>
      <c r="I344" s="252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  <c r="AA344" s="268"/>
      <c r="AB344" s="268"/>
      <c r="AC344" s="268"/>
      <c r="AD344" s="268"/>
      <c r="AE344" s="268"/>
    </row>
    <row r="345" spans="1:31" ht="15.75" customHeight="1">
      <c r="A345" s="252"/>
      <c r="B345" s="252"/>
      <c r="C345" s="252"/>
      <c r="D345" s="252"/>
      <c r="E345" s="252"/>
      <c r="F345" s="252"/>
      <c r="G345" s="252"/>
      <c r="H345" s="252"/>
      <c r="I345" s="252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  <c r="AA345" s="268"/>
      <c r="AB345" s="268"/>
      <c r="AC345" s="268"/>
      <c r="AD345" s="268"/>
      <c r="AE345" s="268"/>
    </row>
    <row r="346" spans="1:31" ht="15.75" customHeight="1">
      <c r="A346" s="252"/>
      <c r="B346" s="252"/>
      <c r="C346" s="252"/>
      <c r="D346" s="252"/>
      <c r="E346" s="252"/>
      <c r="F346" s="252"/>
      <c r="G346" s="252"/>
      <c r="H346" s="252"/>
      <c r="I346" s="252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  <c r="AA346" s="268"/>
      <c r="AB346" s="268"/>
      <c r="AC346" s="268"/>
      <c r="AD346" s="268"/>
      <c r="AE346" s="268"/>
    </row>
    <row r="347" spans="1:31" ht="15.75" customHeight="1">
      <c r="A347" s="252"/>
      <c r="B347" s="252"/>
      <c r="C347" s="252"/>
      <c r="D347" s="252"/>
      <c r="E347" s="252"/>
      <c r="F347" s="252"/>
      <c r="G347" s="252"/>
      <c r="H347" s="252"/>
      <c r="I347" s="252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  <c r="AA347" s="268"/>
      <c r="AB347" s="268"/>
      <c r="AC347" s="268"/>
      <c r="AD347" s="268"/>
      <c r="AE347" s="268"/>
    </row>
    <row r="348" spans="1:31" ht="15.75" customHeight="1">
      <c r="A348" s="252"/>
      <c r="B348" s="252"/>
      <c r="C348" s="252"/>
      <c r="D348" s="252"/>
      <c r="E348" s="252"/>
      <c r="F348" s="252"/>
      <c r="G348" s="252"/>
      <c r="H348" s="252"/>
      <c r="I348" s="252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  <c r="AA348" s="268"/>
      <c r="AB348" s="268"/>
      <c r="AC348" s="268"/>
      <c r="AD348" s="268"/>
      <c r="AE348" s="268"/>
    </row>
    <row r="349" spans="1:31" ht="15.75" customHeight="1">
      <c r="A349" s="252"/>
      <c r="B349" s="252"/>
      <c r="C349" s="252"/>
      <c r="D349" s="252"/>
      <c r="E349" s="252"/>
      <c r="F349" s="252"/>
      <c r="G349" s="252"/>
      <c r="H349" s="252"/>
      <c r="I349" s="252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  <c r="AA349" s="268"/>
      <c r="AB349" s="268"/>
      <c r="AC349" s="268"/>
      <c r="AD349" s="268"/>
      <c r="AE349" s="268"/>
    </row>
    <row r="350" spans="1:31" ht="15.75" customHeight="1">
      <c r="A350" s="252"/>
      <c r="B350" s="252"/>
      <c r="C350" s="252"/>
      <c r="D350" s="252"/>
      <c r="E350" s="252"/>
      <c r="F350" s="252"/>
      <c r="G350" s="252"/>
      <c r="H350" s="252"/>
      <c r="I350" s="252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  <c r="AA350" s="268"/>
      <c r="AB350" s="268"/>
      <c r="AC350" s="268"/>
      <c r="AD350" s="268"/>
      <c r="AE350" s="268"/>
    </row>
    <row r="351" spans="1:31" ht="15.75" customHeight="1">
      <c r="A351" s="252"/>
      <c r="B351" s="252"/>
      <c r="C351" s="252"/>
      <c r="D351" s="252"/>
      <c r="E351" s="252"/>
      <c r="F351" s="252"/>
      <c r="G351" s="252"/>
      <c r="H351" s="252"/>
      <c r="I351" s="252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  <c r="AA351" s="268"/>
      <c r="AB351" s="268"/>
      <c r="AC351" s="268"/>
      <c r="AD351" s="268"/>
      <c r="AE351" s="268"/>
    </row>
    <row r="352" spans="1:31" ht="15.75" customHeight="1">
      <c r="A352" s="252"/>
      <c r="B352" s="252"/>
      <c r="C352" s="252"/>
      <c r="D352" s="252"/>
      <c r="E352" s="252"/>
      <c r="F352" s="252"/>
      <c r="G352" s="252"/>
      <c r="H352" s="252"/>
      <c r="I352" s="252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  <c r="AA352" s="268"/>
      <c r="AB352" s="268"/>
      <c r="AC352" s="268"/>
      <c r="AD352" s="268"/>
      <c r="AE352" s="268"/>
    </row>
    <row r="353" spans="1:31" ht="15.75" customHeight="1">
      <c r="A353" s="252"/>
      <c r="B353" s="252"/>
      <c r="C353" s="252"/>
      <c r="D353" s="252"/>
      <c r="E353" s="252"/>
      <c r="F353" s="252"/>
      <c r="G353" s="252"/>
      <c r="H353" s="252"/>
      <c r="I353" s="252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  <c r="AA353" s="268"/>
      <c r="AB353" s="268"/>
      <c r="AC353" s="268"/>
      <c r="AD353" s="268"/>
      <c r="AE353" s="268"/>
    </row>
    <row r="354" spans="1:31" ht="15.75" customHeight="1">
      <c r="A354" s="252"/>
      <c r="B354" s="252"/>
      <c r="C354" s="252"/>
      <c r="D354" s="252"/>
      <c r="E354" s="252"/>
      <c r="F354" s="252"/>
      <c r="G354" s="252"/>
      <c r="H354" s="252"/>
      <c r="I354" s="252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  <c r="AA354" s="268"/>
      <c r="AB354" s="268"/>
      <c r="AC354" s="268"/>
      <c r="AD354" s="268"/>
      <c r="AE354" s="268"/>
    </row>
    <row r="355" spans="1:31" ht="15.75" customHeight="1">
      <c r="A355" s="252"/>
      <c r="B355" s="252"/>
      <c r="C355" s="252"/>
      <c r="D355" s="252"/>
      <c r="E355" s="252"/>
      <c r="F355" s="252"/>
      <c r="G355" s="252"/>
      <c r="H355" s="252"/>
      <c r="I355" s="252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  <c r="AA355" s="268"/>
      <c r="AB355" s="268"/>
      <c r="AC355" s="268"/>
      <c r="AD355" s="268"/>
      <c r="AE355" s="268"/>
    </row>
    <row r="356" spans="1:31" ht="15.75" customHeight="1">
      <c r="A356" s="252"/>
      <c r="B356" s="252"/>
      <c r="C356" s="252"/>
      <c r="D356" s="252"/>
      <c r="E356" s="252"/>
      <c r="F356" s="252"/>
      <c r="G356" s="252"/>
      <c r="H356" s="252"/>
      <c r="I356" s="252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  <c r="AA356" s="268"/>
      <c r="AB356" s="268"/>
      <c r="AC356" s="268"/>
      <c r="AD356" s="268"/>
      <c r="AE356" s="268"/>
    </row>
    <row r="357" spans="1:31" ht="15.75" customHeight="1">
      <c r="A357" s="252"/>
      <c r="B357" s="252"/>
      <c r="C357" s="252"/>
      <c r="D357" s="252"/>
      <c r="E357" s="252"/>
      <c r="F357" s="252"/>
      <c r="G357" s="252"/>
      <c r="H357" s="252"/>
      <c r="I357" s="252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  <c r="AA357" s="268"/>
      <c r="AB357" s="268"/>
      <c r="AC357" s="268"/>
      <c r="AD357" s="268"/>
      <c r="AE357" s="268"/>
    </row>
    <row r="358" spans="1:31" ht="15.75" customHeight="1">
      <c r="A358" s="252"/>
      <c r="B358" s="252"/>
      <c r="C358" s="252"/>
      <c r="D358" s="252"/>
      <c r="E358" s="252"/>
      <c r="F358" s="252"/>
      <c r="G358" s="252"/>
      <c r="H358" s="252"/>
      <c r="I358" s="252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  <c r="AA358" s="268"/>
      <c r="AB358" s="268"/>
      <c r="AC358" s="268"/>
      <c r="AD358" s="268"/>
      <c r="AE358" s="268"/>
    </row>
    <row r="359" spans="1:31" ht="15.75" customHeight="1">
      <c r="A359" s="252"/>
      <c r="B359" s="252"/>
      <c r="C359" s="252"/>
      <c r="D359" s="252"/>
      <c r="E359" s="252"/>
      <c r="F359" s="252"/>
      <c r="G359" s="252"/>
      <c r="H359" s="252"/>
      <c r="I359" s="252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  <c r="AA359" s="268"/>
      <c r="AB359" s="268"/>
      <c r="AC359" s="268"/>
      <c r="AD359" s="268"/>
      <c r="AE359" s="268"/>
    </row>
    <row r="360" spans="1:31" ht="15.75" customHeight="1">
      <c r="A360" s="252"/>
      <c r="B360" s="252"/>
      <c r="C360" s="252"/>
      <c r="D360" s="252"/>
      <c r="E360" s="252"/>
      <c r="F360" s="252"/>
      <c r="G360" s="252"/>
      <c r="H360" s="252"/>
      <c r="I360" s="252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  <c r="AA360" s="268"/>
      <c r="AB360" s="268"/>
      <c r="AC360" s="268"/>
      <c r="AD360" s="268"/>
      <c r="AE360" s="268"/>
    </row>
    <row r="361" spans="1:31" ht="15.75" customHeight="1">
      <c r="A361" s="252"/>
      <c r="B361" s="252"/>
      <c r="C361" s="252"/>
      <c r="D361" s="252"/>
      <c r="E361" s="252"/>
      <c r="F361" s="252"/>
      <c r="G361" s="252"/>
      <c r="H361" s="252"/>
      <c r="I361" s="252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  <c r="AA361" s="268"/>
      <c r="AB361" s="268"/>
      <c r="AC361" s="268"/>
      <c r="AD361" s="268"/>
      <c r="AE361" s="268"/>
    </row>
    <row r="362" spans="1:31" ht="15.75" customHeight="1">
      <c r="A362" s="252"/>
      <c r="B362" s="252"/>
      <c r="C362" s="252"/>
      <c r="D362" s="252"/>
      <c r="E362" s="252"/>
      <c r="F362" s="252"/>
      <c r="G362" s="252"/>
      <c r="H362" s="252"/>
      <c r="I362" s="252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  <c r="AA362" s="268"/>
      <c r="AB362" s="268"/>
      <c r="AC362" s="268"/>
      <c r="AD362" s="268"/>
      <c r="AE362" s="268"/>
    </row>
    <row r="363" spans="1:31" ht="15.75" customHeight="1">
      <c r="A363" s="252"/>
      <c r="B363" s="252"/>
      <c r="C363" s="252"/>
      <c r="D363" s="252"/>
      <c r="E363" s="252"/>
      <c r="F363" s="252"/>
      <c r="G363" s="252"/>
      <c r="H363" s="252"/>
      <c r="I363" s="252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  <c r="AA363" s="268"/>
      <c r="AB363" s="268"/>
      <c r="AC363" s="268"/>
      <c r="AD363" s="268"/>
      <c r="AE363" s="268"/>
    </row>
    <row r="364" spans="1:31" ht="15.75" customHeight="1">
      <c r="A364" s="252"/>
      <c r="B364" s="252"/>
      <c r="C364" s="252"/>
      <c r="D364" s="252"/>
      <c r="E364" s="252"/>
      <c r="F364" s="252"/>
      <c r="G364" s="252"/>
      <c r="H364" s="252"/>
      <c r="I364" s="252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  <c r="AA364" s="268"/>
      <c r="AB364" s="268"/>
      <c r="AC364" s="268"/>
      <c r="AD364" s="268"/>
      <c r="AE364" s="268"/>
    </row>
    <row r="365" spans="1:31" ht="15.75" customHeight="1">
      <c r="A365" s="252"/>
      <c r="B365" s="252"/>
      <c r="C365" s="252"/>
      <c r="D365" s="252"/>
      <c r="E365" s="252"/>
      <c r="F365" s="252"/>
      <c r="G365" s="252"/>
      <c r="H365" s="252"/>
      <c r="I365" s="252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  <c r="AA365" s="268"/>
      <c r="AB365" s="268"/>
      <c r="AC365" s="268"/>
      <c r="AD365" s="268"/>
      <c r="AE365" s="268"/>
    </row>
    <row r="366" spans="1:31" ht="15.75" customHeight="1">
      <c r="A366" s="252"/>
      <c r="B366" s="252"/>
      <c r="C366" s="252"/>
      <c r="D366" s="252"/>
      <c r="E366" s="252"/>
      <c r="F366" s="252"/>
      <c r="G366" s="252"/>
      <c r="H366" s="252"/>
      <c r="I366" s="252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  <c r="AA366" s="268"/>
      <c r="AB366" s="268"/>
      <c r="AC366" s="268"/>
      <c r="AD366" s="268"/>
      <c r="AE366" s="268"/>
    </row>
    <row r="367" spans="1:31" ht="15.75" customHeight="1">
      <c r="A367" s="252"/>
      <c r="B367" s="252"/>
      <c r="C367" s="252"/>
      <c r="D367" s="252"/>
      <c r="E367" s="252"/>
      <c r="F367" s="252"/>
      <c r="G367" s="252"/>
      <c r="H367" s="252"/>
      <c r="I367" s="252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  <c r="AA367" s="268"/>
      <c r="AB367" s="268"/>
      <c r="AC367" s="268"/>
      <c r="AD367" s="268"/>
      <c r="AE367" s="268"/>
    </row>
    <row r="368" spans="1:31" ht="15.75" customHeight="1">
      <c r="A368" s="252"/>
      <c r="B368" s="252"/>
      <c r="C368" s="252"/>
      <c r="D368" s="252"/>
      <c r="E368" s="252"/>
      <c r="F368" s="252"/>
      <c r="G368" s="252"/>
      <c r="H368" s="252"/>
      <c r="I368" s="252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  <c r="AA368" s="268"/>
      <c r="AB368" s="268"/>
      <c r="AC368" s="268"/>
      <c r="AD368" s="268"/>
      <c r="AE368" s="268"/>
    </row>
    <row r="369" spans="1:31" ht="15.75" customHeight="1">
      <c r="A369" s="252"/>
      <c r="B369" s="252"/>
      <c r="C369" s="252"/>
      <c r="D369" s="252"/>
      <c r="E369" s="252"/>
      <c r="F369" s="252"/>
      <c r="G369" s="252"/>
      <c r="H369" s="252"/>
      <c r="I369" s="252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  <c r="AA369" s="268"/>
      <c r="AB369" s="268"/>
      <c r="AC369" s="268"/>
      <c r="AD369" s="268"/>
      <c r="AE369" s="268"/>
    </row>
    <row r="370" spans="1:31" ht="15.75" customHeight="1">
      <c r="A370" s="252"/>
      <c r="B370" s="252"/>
      <c r="C370" s="252"/>
      <c r="D370" s="252"/>
      <c r="E370" s="252"/>
      <c r="F370" s="252"/>
      <c r="G370" s="252"/>
      <c r="H370" s="252"/>
      <c r="I370" s="252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  <c r="AA370" s="268"/>
      <c r="AB370" s="268"/>
      <c r="AC370" s="268"/>
      <c r="AD370" s="268"/>
      <c r="AE370" s="268"/>
    </row>
    <row r="371" spans="1:31" ht="15.75" customHeight="1">
      <c r="A371" s="252"/>
      <c r="B371" s="252"/>
      <c r="C371" s="252"/>
      <c r="D371" s="252"/>
      <c r="E371" s="252"/>
      <c r="F371" s="252"/>
      <c r="G371" s="252"/>
      <c r="H371" s="252"/>
      <c r="I371" s="252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  <c r="AA371" s="268"/>
      <c r="AB371" s="268"/>
      <c r="AC371" s="268"/>
      <c r="AD371" s="268"/>
      <c r="AE371" s="268"/>
    </row>
    <row r="372" spans="1:31" ht="15.75" customHeight="1">
      <c r="A372" s="252"/>
      <c r="B372" s="252"/>
      <c r="C372" s="252"/>
      <c r="D372" s="252"/>
      <c r="E372" s="252"/>
      <c r="F372" s="252"/>
      <c r="G372" s="252"/>
      <c r="H372" s="252"/>
      <c r="I372" s="252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  <c r="AA372" s="268"/>
      <c r="AB372" s="268"/>
      <c r="AC372" s="268"/>
      <c r="AD372" s="268"/>
      <c r="AE372" s="268"/>
    </row>
    <row r="373" spans="1:31" ht="15.75" customHeight="1">
      <c r="A373" s="252"/>
      <c r="B373" s="252"/>
      <c r="C373" s="252"/>
      <c r="D373" s="252"/>
      <c r="E373" s="252"/>
      <c r="F373" s="252"/>
      <c r="G373" s="252"/>
      <c r="H373" s="252"/>
      <c r="I373" s="252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  <c r="AA373" s="268"/>
      <c r="AB373" s="268"/>
      <c r="AC373" s="268"/>
      <c r="AD373" s="268"/>
      <c r="AE373" s="268"/>
    </row>
    <row r="374" spans="1:31" ht="15.75" customHeight="1">
      <c r="A374" s="252"/>
      <c r="B374" s="252"/>
      <c r="C374" s="252"/>
      <c r="D374" s="252"/>
      <c r="E374" s="252"/>
      <c r="F374" s="252"/>
      <c r="G374" s="252"/>
      <c r="H374" s="252"/>
      <c r="I374" s="252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  <c r="AA374" s="268"/>
      <c r="AB374" s="268"/>
      <c r="AC374" s="268"/>
      <c r="AD374" s="268"/>
      <c r="AE374" s="268"/>
    </row>
    <row r="375" spans="1:31" ht="15.75" customHeight="1">
      <c r="A375" s="252"/>
      <c r="B375" s="252"/>
      <c r="C375" s="252"/>
      <c r="D375" s="252"/>
      <c r="E375" s="252"/>
      <c r="F375" s="252"/>
      <c r="G375" s="252"/>
      <c r="H375" s="252"/>
      <c r="I375" s="252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  <c r="AA375" s="268"/>
      <c r="AB375" s="268"/>
      <c r="AC375" s="268"/>
      <c r="AD375" s="268"/>
      <c r="AE375" s="268"/>
    </row>
    <row r="376" spans="1:31" ht="15.75" customHeight="1">
      <c r="A376" s="252"/>
      <c r="B376" s="252"/>
      <c r="C376" s="252"/>
      <c r="D376" s="252"/>
      <c r="E376" s="252"/>
      <c r="F376" s="252"/>
      <c r="G376" s="252"/>
      <c r="H376" s="252"/>
      <c r="I376" s="252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  <c r="AA376" s="268"/>
      <c r="AB376" s="268"/>
      <c r="AC376" s="268"/>
      <c r="AD376" s="268"/>
      <c r="AE376" s="268"/>
    </row>
    <row r="377" spans="1:31" ht="15.75" customHeight="1">
      <c r="A377" s="252"/>
      <c r="B377" s="252"/>
      <c r="C377" s="252"/>
      <c r="D377" s="252"/>
      <c r="E377" s="252"/>
      <c r="F377" s="252"/>
      <c r="G377" s="252"/>
      <c r="H377" s="252"/>
      <c r="I377" s="252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  <c r="AA377" s="268"/>
      <c r="AB377" s="268"/>
      <c r="AC377" s="268"/>
      <c r="AD377" s="268"/>
      <c r="AE377" s="268"/>
    </row>
    <row r="378" spans="1:31" ht="15.75" customHeight="1">
      <c r="A378" s="252"/>
      <c r="B378" s="252"/>
      <c r="C378" s="252"/>
      <c r="D378" s="252"/>
      <c r="E378" s="252"/>
      <c r="F378" s="252"/>
      <c r="G378" s="252"/>
      <c r="H378" s="252"/>
      <c r="I378" s="252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  <c r="AA378" s="268"/>
      <c r="AB378" s="268"/>
      <c r="AC378" s="268"/>
      <c r="AD378" s="268"/>
      <c r="AE378" s="268"/>
    </row>
    <row r="379" spans="1:31" ht="15.75" customHeight="1">
      <c r="A379" s="252"/>
      <c r="B379" s="252"/>
      <c r="C379" s="252"/>
      <c r="D379" s="252"/>
      <c r="E379" s="252"/>
      <c r="F379" s="252"/>
      <c r="G379" s="252"/>
      <c r="H379" s="252"/>
      <c r="I379" s="252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  <c r="AA379" s="268"/>
      <c r="AB379" s="268"/>
      <c r="AC379" s="268"/>
      <c r="AD379" s="268"/>
      <c r="AE379" s="268"/>
    </row>
    <row r="380" spans="1:31" ht="15.75" customHeight="1">
      <c r="A380" s="252"/>
      <c r="B380" s="252"/>
      <c r="C380" s="252"/>
      <c r="D380" s="252"/>
      <c r="E380" s="252"/>
      <c r="F380" s="252"/>
      <c r="G380" s="252"/>
      <c r="H380" s="252"/>
      <c r="I380" s="252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  <c r="AA380" s="268"/>
      <c r="AB380" s="268"/>
      <c r="AC380" s="268"/>
      <c r="AD380" s="268"/>
      <c r="AE380" s="268"/>
    </row>
    <row r="381" spans="1:31" ht="15.75" customHeight="1">
      <c r="A381" s="252"/>
      <c r="B381" s="252"/>
      <c r="C381" s="252"/>
      <c r="D381" s="252"/>
      <c r="E381" s="252"/>
      <c r="F381" s="252"/>
      <c r="G381" s="252"/>
      <c r="H381" s="252"/>
      <c r="I381" s="252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  <c r="AA381" s="268"/>
      <c r="AB381" s="268"/>
      <c r="AC381" s="268"/>
      <c r="AD381" s="268"/>
      <c r="AE381" s="268"/>
    </row>
    <row r="382" spans="1:31" ht="15.75" customHeight="1">
      <c r="A382" s="252"/>
      <c r="B382" s="252"/>
      <c r="C382" s="252"/>
      <c r="D382" s="252"/>
      <c r="E382" s="252"/>
      <c r="F382" s="252"/>
      <c r="G382" s="252"/>
      <c r="H382" s="252"/>
      <c r="I382" s="252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  <c r="AA382" s="268"/>
      <c r="AB382" s="268"/>
      <c r="AC382" s="268"/>
      <c r="AD382" s="268"/>
      <c r="AE382" s="268"/>
    </row>
    <row r="383" spans="1:31" ht="15.75" customHeight="1">
      <c r="A383" s="252"/>
      <c r="B383" s="252"/>
      <c r="C383" s="252"/>
      <c r="D383" s="252"/>
      <c r="E383" s="252"/>
      <c r="F383" s="252"/>
      <c r="G383" s="252"/>
      <c r="H383" s="252"/>
      <c r="I383" s="252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  <c r="AA383" s="268"/>
      <c r="AB383" s="268"/>
      <c r="AC383" s="268"/>
      <c r="AD383" s="268"/>
      <c r="AE383" s="268"/>
    </row>
    <row r="384" spans="1:31" ht="15.75" customHeight="1">
      <c r="A384" s="252"/>
      <c r="B384" s="252"/>
      <c r="C384" s="252"/>
      <c r="D384" s="252"/>
      <c r="E384" s="252"/>
      <c r="F384" s="252"/>
      <c r="G384" s="252"/>
      <c r="H384" s="252"/>
      <c r="I384" s="252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  <c r="AA384" s="268"/>
      <c r="AB384" s="268"/>
      <c r="AC384" s="268"/>
      <c r="AD384" s="268"/>
      <c r="AE384" s="268"/>
    </row>
    <row r="385" spans="1:31" ht="15.75" customHeight="1">
      <c r="A385" s="252"/>
      <c r="B385" s="252"/>
      <c r="C385" s="252"/>
      <c r="D385" s="252"/>
      <c r="E385" s="252"/>
      <c r="F385" s="252"/>
      <c r="G385" s="252"/>
      <c r="H385" s="252"/>
      <c r="I385" s="252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  <c r="AA385" s="268"/>
      <c r="AB385" s="268"/>
      <c r="AC385" s="268"/>
      <c r="AD385" s="268"/>
      <c r="AE385" s="268"/>
    </row>
    <row r="386" spans="1:31" ht="15.75" customHeight="1">
      <c r="A386" s="252"/>
      <c r="B386" s="252"/>
      <c r="C386" s="252"/>
      <c r="D386" s="252"/>
      <c r="E386" s="252"/>
      <c r="F386" s="252"/>
      <c r="G386" s="252"/>
      <c r="H386" s="252"/>
      <c r="I386" s="252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  <c r="AA386" s="268"/>
      <c r="AB386" s="268"/>
      <c r="AC386" s="268"/>
      <c r="AD386" s="268"/>
      <c r="AE386" s="268"/>
    </row>
    <row r="387" spans="1:31" ht="15.75" customHeight="1">
      <c r="A387" s="252"/>
      <c r="B387" s="252"/>
      <c r="C387" s="252"/>
      <c r="D387" s="252"/>
      <c r="E387" s="252"/>
      <c r="F387" s="252"/>
      <c r="G387" s="252"/>
      <c r="H387" s="252"/>
      <c r="I387" s="252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  <c r="AA387" s="268"/>
      <c r="AB387" s="268"/>
      <c r="AC387" s="268"/>
      <c r="AD387" s="268"/>
      <c r="AE387" s="268"/>
    </row>
    <row r="388" spans="1:31" ht="15.75" customHeight="1">
      <c r="A388" s="252"/>
      <c r="B388" s="252"/>
      <c r="C388" s="252"/>
      <c r="D388" s="252"/>
      <c r="E388" s="252"/>
      <c r="F388" s="252"/>
      <c r="G388" s="252"/>
      <c r="H388" s="252"/>
      <c r="I388" s="252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  <c r="AA388" s="268"/>
      <c r="AB388" s="268"/>
      <c r="AC388" s="268"/>
      <c r="AD388" s="268"/>
      <c r="AE388" s="268"/>
    </row>
    <row r="389" spans="1:31" ht="15.75" customHeight="1">
      <c r="A389" s="252"/>
      <c r="B389" s="252"/>
      <c r="C389" s="252"/>
      <c r="D389" s="252"/>
      <c r="E389" s="252"/>
      <c r="F389" s="252"/>
      <c r="G389" s="252"/>
      <c r="H389" s="252"/>
      <c r="I389" s="252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  <c r="AA389" s="268"/>
      <c r="AB389" s="268"/>
      <c r="AC389" s="268"/>
      <c r="AD389" s="268"/>
      <c r="AE389" s="268"/>
    </row>
    <row r="390" spans="1:31" ht="15.75" customHeight="1">
      <c r="A390" s="252"/>
      <c r="B390" s="252"/>
      <c r="C390" s="252"/>
      <c r="D390" s="252"/>
      <c r="E390" s="252"/>
      <c r="F390" s="252"/>
      <c r="G390" s="252"/>
      <c r="H390" s="252"/>
      <c r="I390" s="252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  <c r="AA390" s="268"/>
      <c r="AB390" s="268"/>
      <c r="AC390" s="268"/>
      <c r="AD390" s="268"/>
      <c r="AE390" s="268"/>
    </row>
    <row r="391" spans="1:31" ht="15.75" customHeight="1">
      <c r="A391" s="252"/>
      <c r="B391" s="252"/>
      <c r="C391" s="252"/>
      <c r="D391" s="252"/>
      <c r="E391" s="252"/>
      <c r="F391" s="252"/>
      <c r="G391" s="252"/>
      <c r="H391" s="252"/>
      <c r="I391" s="252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  <c r="AA391" s="268"/>
      <c r="AB391" s="268"/>
      <c r="AC391" s="268"/>
      <c r="AD391" s="268"/>
      <c r="AE391" s="268"/>
    </row>
    <row r="392" spans="1:31" ht="15.75" customHeight="1">
      <c r="A392" s="252"/>
      <c r="B392" s="252"/>
      <c r="C392" s="252"/>
      <c r="D392" s="252"/>
      <c r="E392" s="252"/>
      <c r="F392" s="252"/>
      <c r="G392" s="252"/>
      <c r="H392" s="252"/>
      <c r="I392" s="252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  <c r="AA392" s="268"/>
      <c r="AB392" s="268"/>
      <c r="AC392" s="268"/>
      <c r="AD392" s="268"/>
      <c r="AE392" s="268"/>
    </row>
    <row r="393" spans="1:31" ht="15.75" customHeight="1">
      <c r="A393" s="252"/>
      <c r="B393" s="252"/>
      <c r="C393" s="252"/>
      <c r="D393" s="252"/>
      <c r="E393" s="252"/>
      <c r="F393" s="252"/>
      <c r="G393" s="252"/>
      <c r="H393" s="252"/>
      <c r="I393" s="252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  <c r="AA393" s="268"/>
      <c r="AB393" s="268"/>
      <c r="AC393" s="268"/>
      <c r="AD393" s="268"/>
      <c r="AE393" s="268"/>
    </row>
    <row r="394" spans="1:31" ht="15.75" customHeight="1">
      <c r="A394" s="252"/>
      <c r="B394" s="252"/>
      <c r="C394" s="252"/>
      <c r="D394" s="252"/>
      <c r="E394" s="252"/>
      <c r="F394" s="252"/>
      <c r="G394" s="252"/>
      <c r="H394" s="252"/>
      <c r="I394" s="252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  <c r="AA394" s="268"/>
      <c r="AB394" s="268"/>
      <c r="AC394" s="268"/>
      <c r="AD394" s="268"/>
      <c r="AE394" s="268"/>
    </row>
    <row r="395" spans="1:31" ht="15.75" customHeight="1">
      <c r="A395" s="252"/>
      <c r="B395" s="252"/>
      <c r="C395" s="252"/>
      <c r="D395" s="252"/>
      <c r="E395" s="252"/>
      <c r="F395" s="252"/>
      <c r="G395" s="252"/>
      <c r="H395" s="252"/>
      <c r="I395" s="252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  <c r="AA395" s="268"/>
      <c r="AB395" s="268"/>
      <c r="AC395" s="268"/>
      <c r="AD395" s="268"/>
      <c r="AE395" s="268"/>
    </row>
    <row r="396" spans="1:31" ht="15.75" customHeight="1">
      <c r="A396" s="252"/>
      <c r="B396" s="252"/>
      <c r="C396" s="252"/>
      <c r="D396" s="252"/>
      <c r="E396" s="252"/>
      <c r="F396" s="252"/>
      <c r="G396" s="252"/>
      <c r="H396" s="252"/>
      <c r="I396" s="252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  <c r="AA396" s="268"/>
      <c r="AB396" s="268"/>
      <c r="AC396" s="268"/>
      <c r="AD396" s="268"/>
      <c r="AE396" s="268"/>
    </row>
    <row r="397" spans="1:31" ht="15.75" customHeight="1">
      <c r="A397" s="252"/>
      <c r="B397" s="252"/>
      <c r="C397" s="252"/>
      <c r="D397" s="252"/>
      <c r="E397" s="252"/>
      <c r="F397" s="252"/>
      <c r="G397" s="252"/>
      <c r="H397" s="252"/>
      <c r="I397" s="252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  <c r="AA397" s="268"/>
      <c r="AB397" s="268"/>
      <c r="AC397" s="268"/>
      <c r="AD397" s="268"/>
      <c r="AE397" s="268"/>
    </row>
    <row r="398" spans="1:31" ht="15.75" customHeight="1">
      <c r="A398" s="252"/>
      <c r="B398" s="252"/>
      <c r="C398" s="252"/>
      <c r="D398" s="252"/>
      <c r="E398" s="252"/>
      <c r="F398" s="252"/>
      <c r="G398" s="252"/>
      <c r="H398" s="252"/>
      <c r="I398" s="252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  <c r="AA398" s="268"/>
      <c r="AB398" s="268"/>
      <c r="AC398" s="268"/>
      <c r="AD398" s="268"/>
      <c r="AE398" s="268"/>
    </row>
    <row r="399" spans="1:31" ht="15.75" customHeight="1">
      <c r="A399" s="252"/>
      <c r="B399" s="252"/>
      <c r="C399" s="252"/>
      <c r="D399" s="252"/>
      <c r="E399" s="252"/>
      <c r="F399" s="252"/>
      <c r="G399" s="252"/>
      <c r="H399" s="252"/>
      <c r="I399" s="252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  <c r="AA399" s="268"/>
      <c r="AB399" s="268"/>
      <c r="AC399" s="268"/>
      <c r="AD399" s="268"/>
      <c r="AE399" s="268"/>
    </row>
    <row r="400" spans="1:31" ht="15.75" customHeight="1">
      <c r="A400" s="252"/>
      <c r="B400" s="252"/>
      <c r="C400" s="252"/>
      <c r="D400" s="252"/>
      <c r="E400" s="252"/>
      <c r="F400" s="252"/>
      <c r="G400" s="252"/>
      <c r="H400" s="252"/>
      <c r="I400" s="252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  <c r="AA400" s="268"/>
      <c r="AB400" s="268"/>
      <c r="AC400" s="268"/>
      <c r="AD400" s="268"/>
      <c r="AE400" s="268"/>
    </row>
    <row r="401" spans="1:31" ht="15.75" customHeight="1">
      <c r="A401" s="252"/>
      <c r="B401" s="252"/>
      <c r="C401" s="252"/>
      <c r="D401" s="252"/>
      <c r="E401" s="252"/>
      <c r="F401" s="252"/>
      <c r="G401" s="252"/>
      <c r="H401" s="252"/>
      <c r="I401" s="252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  <c r="AA401" s="268"/>
      <c r="AB401" s="268"/>
      <c r="AC401" s="268"/>
      <c r="AD401" s="268"/>
      <c r="AE401" s="268"/>
    </row>
    <row r="402" spans="1:31" ht="15.75" customHeight="1">
      <c r="A402" s="252"/>
      <c r="B402" s="252"/>
      <c r="C402" s="252"/>
      <c r="D402" s="252"/>
      <c r="E402" s="252"/>
      <c r="F402" s="252"/>
      <c r="G402" s="252"/>
      <c r="H402" s="252"/>
      <c r="I402" s="252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  <c r="AA402" s="268"/>
      <c r="AB402" s="268"/>
      <c r="AC402" s="268"/>
      <c r="AD402" s="268"/>
      <c r="AE402" s="268"/>
    </row>
    <row r="403" spans="1:31" ht="15.75" customHeight="1">
      <c r="A403" s="252"/>
      <c r="B403" s="252"/>
      <c r="C403" s="252"/>
      <c r="D403" s="252"/>
      <c r="E403" s="252"/>
      <c r="F403" s="252"/>
      <c r="G403" s="252"/>
      <c r="H403" s="252"/>
      <c r="I403" s="252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  <c r="AA403" s="268"/>
      <c r="AB403" s="268"/>
      <c r="AC403" s="268"/>
      <c r="AD403" s="268"/>
      <c r="AE403" s="268"/>
    </row>
    <row r="404" spans="1:31" ht="15.75" customHeight="1">
      <c r="A404" s="252"/>
      <c r="B404" s="252"/>
      <c r="C404" s="252"/>
      <c r="D404" s="252"/>
      <c r="E404" s="252"/>
      <c r="F404" s="252"/>
      <c r="G404" s="252"/>
      <c r="H404" s="252"/>
      <c r="I404" s="252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  <c r="AA404" s="268"/>
      <c r="AB404" s="268"/>
      <c r="AC404" s="268"/>
      <c r="AD404" s="268"/>
      <c r="AE404" s="268"/>
    </row>
    <row r="405" spans="1:31" ht="15.75" customHeight="1">
      <c r="A405" s="252"/>
      <c r="B405" s="252"/>
      <c r="C405" s="252"/>
      <c r="D405" s="252"/>
      <c r="E405" s="252"/>
      <c r="F405" s="252"/>
      <c r="G405" s="252"/>
      <c r="H405" s="252"/>
      <c r="I405" s="252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  <c r="AA405" s="268"/>
      <c r="AB405" s="268"/>
      <c r="AC405" s="268"/>
      <c r="AD405" s="268"/>
      <c r="AE405" s="268"/>
    </row>
    <row r="406" spans="1:31" ht="15.75" customHeight="1">
      <c r="A406" s="252"/>
      <c r="B406" s="252"/>
      <c r="C406" s="252"/>
      <c r="D406" s="252"/>
      <c r="E406" s="252"/>
      <c r="F406" s="252"/>
      <c r="G406" s="252"/>
      <c r="H406" s="252"/>
      <c r="I406" s="252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  <c r="AA406" s="268"/>
      <c r="AB406" s="268"/>
      <c r="AC406" s="268"/>
      <c r="AD406" s="268"/>
      <c r="AE406" s="268"/>
    </row>
    <row r="407" spans="1:31" ht="15.75" customHeight="1">
      <c r="A407" s="252"/>
      <c r="B407" s="252"/>
      <c r="C407" s="252"/>
      <c r="D407" s="252"/>
      <c r="E407" s="252"/>
      <c r="F407" s="252"/>
      <c r="G407" s="252"/>
      <c r="H407" s="252"/>
      <c r="I407" s="252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  <c r="AA407" s="268"/>
      <c r="AB407" s="268"/>
      <c r="AC407" s="268"/>
      <c r="AD407" s="268"/>
      <c r="AE407" s="268"/>
    </row>
    <row r="408" spans="1:31" ht="15.75" customHeight="1">
      <c r="A408" s="252"/>
      <c r="B408" s="252"/>
      <c r="C408" s="252"/>
      <c r="D408" s="252"/>
      <c r="E408" s="252"/>
      <c r="F408" s="252"/>
      <c r="G408" s="252"/>
      <c r="H408" s="252"/>
      <c r="I408" s="252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  <c r="AA408" s="268"/>
      <c r="AB408" s="268"/>
      <c r="AC408" s="268"/>
      <c r="AD408" s="268"/>
      <c r="AE408" s="268"/>
    </row>
    <row r="409" spans="1:31" ht="15.75" customHeight="1">
      <c r="A409" s="252"/>
      <c r="B409" s="252"/>
      <c r="C409" s="252"/>
      <c r="D409" s="252"/>
      <c r="E409" s="252"/>
      <c r="F409" s="252"/>
      <c r="G409" s="252"/>
      <c r="H409" s="252"/>
      <c r="I409" s="252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  <c r="AA409" s="268"/>
      <c r="AB409" s="268"/>
      <c r="AC409" s="268"/>
      <c r="AD409" s="268"/>
      <c r="AE409" s="268"/>
    </row>
    <row r="410" spans="1:31" ht="15.75" customHeight="1">
      <c r="A410" s="252"/>
      <c r="B410" s="252"/>
      <c r="C410" s="252"/>
      <c r="D410" s="252"/>
      <c r="E410" s="252"/>
      <c r="F410" s="252"/>
      <c r="G410" s="252"/>
      <c r="H410" s="252"/>
      <c r="I410" s="252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  <c r="AA410" s="268"/>
      <c r="AB410" s="268"/>
      <c r="AC410" s="268"/>
      <c r="AD410" s="268"/>
      <c r="AE410" s="268"/>
    </row>
    <row r="411" spans="1:31" ht="15.75" customHeight="1">
      <c r="A411" s="252"/>
      <c r="B411" s="252"/>
      <c r="C411" s="252"/>
      <c r="D411" s="252"/>
      <c r="E411" s="252"/>
      <c r="F411" s="252"/>
      <c r="G411" s="252"/>
      <c r="H411" s="252"/>
      <c r="I411" s="252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  <c r="AA411" s="268"/>
      <c r="AB411" s="268"/>
      <c r="AC411" s="268"/>
      <c r="AD411" s="268"/>
      <c r="AE411" s="268"/>
    </row>
    <row r="412" spans="1:31" ht="15.75" customHeight="1">
      <c r="A412" s="252"/>
      <c r="B412" s="252"/>
      <c r="C412" s="252"/>
      <c r="D412" s="252"/>
      <c r="E412" s="252"/>
      <c r="F412" s="252"/>
      <c r="G412" s="252"/>
      <c r="H412" s="252"/>
      <c r="I412" s="252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  <c r="AA412" s="268"/>
      <c r="AB412" s="268"/>
      <c r="AC412" s="268"/>
      <c r="AD412" s="268"/>
      <c r="AE412" s="268"/>
    </row>
    <row r="413" spans="1:31" ht="15.75" customHeight="1">
      <c r="A413" s="252"/>
      <c r="B413" s="252"/>
      <c r="C413" s="252"/>
      <c r="D413" s="252"/>
      <c r="E413" s="252"/>
      <c r="F413" s="252"/>
      <c r="G413" s="252"/>
      <c r="H413" s="252"/>
      <c r="I413" s="252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  <c r="AA413" s="268"/>
      <c r="AB413" s="268"/>
      <c r="AC413" s="268"/>
      <c r="AD413" s="268"/>
      <c r="AE413" s="268"/>
    </row>
    <row r="414" spans="1:31" ht="15.75" customHeight="1">
      <c r="A414" s="252"/>
      <c r="B414" s="252"/>
      <c r="C414" s="252"/>
      <c r="D414" s="252"/>
      <c r="E414" s="252"/>
      <c r="F414" s="252"/>
      <c r="G414" s="252"/>
      <c r="H414" s="252"/>
      <c r="I414" s="252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  <c r="AA414" s="268"/>
      <c r="AB414" s="268"/>
      <c r="AC414" s="268"/>
      <c r="AD414" s="268"/>
      <c r="AE414" s="268"/>
    </row>
    <row r="415" spans="1:31" ht="15.75" customHeight="1">
      <c r="A415" s="252"/>
      <c r="B415" s="252"/>
      <c r="C415" s="252"/>
      <c r="D415" s="252"/>
      <c r="E415" s="252"/>
      <c r="F415" s="252"/>
      <c r="G415" s="252"/>
      <c r="H415" s="252"/>
      <c r="I415" s="252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  <c r="AA415" s="268"/>
      <c r="AB415" s="268"/>
      <c r="AC415" s="268"/>
      <c r="AD415" s="268"/>
      <c r="AE415" s="268"/>
    </row>
    <row r="416" spans="1:31" ht="15.75" customHeight="1">
      <c r="A416" s="252"/>
      <c r="B416" s="252"/>
      <c r="C416" s="252"/>
      <c r="D416" s="252"/>
      <c r="E416" s="252"/>
      <c r="F416" s="252"/>
      <c r="G416" s="252"/>
      <c r="H416" s="252"/>
      <c r="I416" s="252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  <c r="AA416" s="268"/>
      <c r="AB416" s="268"/>
      <c r="AC416" s="268"/>
      <c r="AD416" s="268"/>
      <c r="AE416" s="268"/>
    </row>
    <row r="417" spans="1:31" ht="15.75" customHeight="1">
      <c r="A417" s="252"/>
      <c r="B417" s="252"/>
      <c r="C417" s="252"/>
      <c r="D417" s="252"/>
      <c r="E417" s="252"/>
      <c r="F417" s="252"/>
      <c r="G417" s="252"/>
      <c r="H417" s="252"/>
      <c r="I417" s="252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  <c r="AA417" s="268"/>
      <c r="AB417" s="268"/>
      <c r="AC417" s="268"/>
      <c r="AD417" s="268"/>
      <c r="AE417" s="268"/>
    </row>
    <row r="418" spans="1:31" ht="15.75" customHeight="1">
      <c r="A418" s="252"/>
      <c r="B418" s="252"/>
      <c r="C418" s="252"/>
      <c r="D418" s="252"/>
      <c r="E418" s="252"/>
      <c r="F418" s="252"/>
      <c r="G418" s="252"/>
      <c r="H418" s="252"/>
      <c r="I418" s="252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  <c r="AA418" s="268"/>
      <c r="AB418" s="268"/>
      <c r="AC418" s="268"/>
      <c r="AD418" s="268"/>
      <c r="AE418" s="268"/>
    </row>
    <row r="419" spans="1:31" ht="15.75" customHeight="1">
      <c r="A419" s="252"/>
      <c r="B419" s="252"/>
      <c r="C419" s="252"/>
      <c r="D419" s="252"/>
      <c r="E419" s="252"/>
      <c r="F419" s="252"/>
      <c r="G419" s="252"/>
      <c r="H419" s="252"/>
      <c r="I419" s="252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  <c r="AA419" s="268"/>
      <c r="AB419" s="268"/>
      <c r="AC419" s="268"/>
      <c r="AD419" s="268"/>
      <c r="AE419" s="268"/>
    </row>
    <row r="420" spans="1:31" ht="15.75" customHeight="1">
      <c r="A420" s="252"/>
      <c r="B420" s="252"/>
      <c r="C420" s="252"/>
      <c r="D420" s="252"/>
      <c r="E420" s="252"/>
      <c r="F420" s="252"/>
      <c r="G420" s="252"/>
      <c r="H420" s="252"/>
      <c r="I420" s="252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  <c r="AA420" s="268"/>
      <c r="AB420" s="268"/>
      <c r="AC420" s="268"/>
      <c r="AD420" s="268"/>
      <c r="AE420" s="268"/>
    </row>
    <row r="421" spans="1:31" ht="15.75" customHeight="1">
      <c r="A421" s="252"/>
      <c r="B421" s="252"/>
      <c r="C421" s="252"/>
      <c r="D421" s="252"/>
      <c r="E421" s="252"/>
      <c r="F421" s="252"/>
      <c r="G421" s="252"/>
      <c r="H421" s="252"/>
      <c r="I421" s="252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  <c r="AA421" s="268"/>
      <c r="AB421" s="268"/>
      <c r="AC421" s="268"/>
      <c r="AD421" s="268"/>
      <c r="AE421" s="268"/>
    </row>
    <row r="422" spans="1:31" ht="15.75" customHeight="1">
      <c r="A422" s="252"/>
      <c r="B422" s="252"/>
      <c r="C422" s="252"/>
      <c r="D422" s="252"/>
      <c r="E422" s="252"/>
      <c r="F422" s="252"/>
      <c r="G422" s="252"/>
      <c r="H422" s="252"/>
      <c r="I422" s="252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  <c r="AA422" s="268"/>
      <c r="AB422" s="268"/>
      <c r="AC422" s="268"/>
      <c r="AD422" s="268"/>
      <c r="AE422" s="268"/>
    </row>
    <row r="423" spans="1:31" ht="15.75" customHeight="1">
      <c r="A423" s="252"/>
      <c r="B423" s="252"/>
      <c r="C423" s="252"/>
      <c r="D423" s="252"/>
      <c r="E423" s="252"/>
      <c r="F423" s="252"/>
      <c r="G423" s="252"/>
      <c r="H423" s="252"/>
      <c r="I423" s="252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  <c r="AA423" s="268"/>
      <c r="AB423" s="268"/>
      <c r="AC423" s="268"/>
      <c r="AD423" s="268"/>
      <c r="AE423" s="268"/>
    </row>
    <row r="424" spans="1:31" ht="15.75" customHeight="1">
      <c r="A424" s="252"/>
      <c r="B424" s="252"/>
      <c r="C424" s="252"/>
      <c r="D424" s="252"/>
      <c r="E424" s="252"/>
      <c r="F424" s="252"/>
      <c r="G424" s="252"/>
      <c r="H424" s="252"/>
      <c r="I424" s="252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  <c r="AA424" s="268"/>
      <c r="AB424" s="268"/>
      <c r="AC424" s="268"/>
      <c r="AD424" s="268"/>
      <c r="AE424" s="268"/>
    </row>
    <row r="425" spans="1:31" ht="15.75" customHeight="1">
      <c r="A425" s="252"/>
      <c r="B425" s="252"/>
      <c r="C425" s="252"/>
      <c r="D425" s="252"/>
      <c r="E425" s="252"/>
      <c r="F425" s="252"/>
      <c r="G425" s="252"/>
      <c r="H425" s="252"/>
      <c r="I425" s="252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  <c r="AA425" s="268"/>
      <c r="AB425" s="268"/>
      <c r="AC425" s="268"/>
      <c r="AD425" s="268"/>
      <c r="AE425" s="268"/>
    </row>
    <row r="426" spans="1:31" ht="15.75" customHeight="1">
      <c r="A426" s="252"/>
      <c r="B426" s="252"/>
      <c r="C426" s="252"/>
      <c r="D426" s="252"/>
      <c r="E426" s="252"/>
      <c r="F426" s="252"/>
      <c r="G426" s="252"/>
      <c r="H426" s="252"/>
      <c r="I426" s="252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  <c r="AA426" s="268"/>
      <c r="AB426" s="268"/>
      <c r="AC426" s="268"/>
      <c r="AD426" s="268"/>
      <c r="AE426" s="268"/>
    </row>
    <row r="427" spans="1:31" ht="15.75" customHeight="1">
      <c r="A427" s="252"/>
      <c r="B427" s="252"/>
      <c r="C427" s="252"/>
      <c r="D427" s="252"/>
      <c r="E427" s="252"/>
      <c r="F427" s="252"/>
      <c r="G427" s="252"/>
      <c r="H427" s="252"/>
      <c r="I427" s="252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  <c r="AA427" s="268"/>
      <c r="AB427" s="268"/>
      <c r="AC427" s="268"/>
      <c r="AD427" s="268"/>
      <c r="AE427" s="268"/>
    </row>
    <row r="428" spans="1:31" ht="15.75" customHeight="1">
      <c r="A428" s="252"/>
      <c r="B428" s="252"/>
      <c r="C428" s="252"/>
      <c r="D428" s="252"/>
      <c r="E428" s="252"/>
      <c r="F428" s="252"/>
      <c r="G428" s="252"/>
      <c r="H428" s="252"/>
      <c r="I428" s="252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  <c r="AA428" s="268"/>
      <c r="AB428" s="268"/>
      <c r="AC428" s="268"/>
      <c r="AD428" s="268"/>
      <c r="AE428" s="268"/>
    </row>
    <row r="429" spans="1:31" ht="15.75" customHeight="1">
      <c r="A429" s="252"/>
      <c r="B429" s="252"/>
      <c r="C429" s="252"/>
      <c r="D429" s="252"/>
      <c r="E429" s="252"/>
      <c r="F429" s="252"/>
      <c r="G429" s="252"/>
      <c r="H429" s="252"/>
      <c r="I429" s="252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  <c r="AA429" s="268"/>
      <c r="AB429" s="268"/>
      <c r="AC429" s="268"/>
      <c r="AD429" s="268"/>
      <c r="AE429" s="268"/>
    </row>
    <row r="430" spans="1:31" ht="15.75" customHeight="1">
      <c r="A430" s="252"/>
      <c r="B430" s="252"/>
      <c r="C430" s="252"/>
      <c r="D430" s="252"/>
      <c r="E430" s="252"/>
      <c r="F430" s="252"/>
      <c r="G430" s="252"/>
      <c r="H430" s="252"/>
      <c r="I430" s="252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  <c r="AA430" s="268"/>
      <c r="AB430" s="268"/>
      <c r="AC430" s="268"/>
      <c r="AD430" s="268"/>
      <c r="AE430" s="268"/>
    </row>
    <row r="431" spans="1:31" ht="15.75" customHeight="1">
      <c r="A431" s="252"/>
      <c r="B431" s="252"/>
      <c r="C431" s="252"/>
      <c r="D431" s="252"/>
      <c r="E431" s="252"/>
      <c r="F431" s="252"/>
      <c r="G431" s="252"/>
      <c r="H431" s="252"/>
      <c r="I431" s="252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  <c r="AA431" s="268"/>
      <c r="AB431" s="268"/>
      <c r="AC431" s="268"/>
      <c r="AD431" s="268"/>
      <c r="AE431" s="268"/>
    </row>
    <row r="432" spans="1:31" ht="15.75" customHeight="1">
      <c r="A432" s="252"/>
      <c r="B432" s="252"/>
      <c r="C432" s="252"/>
      <c r="D432" s="252"/>
      <c r="E432" s="252"/>
      <c r="F432" s="252"/>
      <c r="G432" s="252"/>
      <c r="H432" s="252"/>
      <c r="I432" s="252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  <c r="AA432" s="268"/>
      <c r="AB432" s="268"/>
      <c r="AC432" s="268"/>
      <c r="AD432" s="268"/>
      <c r="AE432" s="268"/>
    </row>
    <row r="433" spans="1:31" ht="15.75" customHeight="1">
      <c r="A433" s="252"/>
      <c r="B433" s="252"/>
      <c r="C433" s="252"/>
      <c r="D433" s="252"/>
      <c r="E433" s="252"/>
      <c r="F433" s="252"/>
      <c r="G433" s="252"/>
      <c r="H433" s="252"/>
      <c r="I433" s="252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  <c r="AA433" s="268"/>
      <c r="AB433" s="268"/>
      <c r="AC433" s="268"/>
      <c r="AD433" s="268"/>
      <c r="AE433" s="268"/>
    </row>
    <row r="434" spans="1:31" ht="15.75" customHeight="1">
      <c r="A434" s="252"/>
      <c r="B434" s="252"/>
      <c r="C434" s="252"/>
      <c r="D434" s="252"/>
      <c r="E434" s="252"/>
      <c r="F434" s="252"/>
      <c r="G434" s="252"/>
      <c r="H434" s="252"/>
      <c r="I434" s="252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  <c r="AA434" s="268"/>
      <c r="AB434" s="268"/>
      <c r="AC434" s="268"/>
      <c r="AD434" s="268"/>
      <c r="AE434" s="268"/>
    </row>
    <row r="435" spans="1:31" ht="15.75" customHeight="1">
      <c r="A435" s="252"/>
      <c r="B435" s="252"/>
      <c r="C435" s="252"/>
      <c r="D435" s="252"/>
      <c r="E435" s="252"/>
      <c r="F435" s="252"/>
      <c r="G435" s="252"/>
      <c r="H435" s="252"/>
      <c r="I435" s="252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  <c r="AA435" s="268"/>
      <c r="AB435" s="268"/>
      <c r="AC435" s="268"/>
      <c r="AD435" s="268"/>
      <c r="AE435" s="268"/>
    </row>
    <row r="436" spans="1:31" ht="15.75" customHeight="1">
      <c r="A436" s="252"/>
      <c r="B436" s="252"/>
      <c r="C436" s="252"/>
      <c r="D436" s="252"/>
      <c r="E436" s="252"/>
      <c r="F436" s="252"/>
      <c r="G436" s="252"/>
      <c r="H436" s="252"/>
      <c r="I436" s="252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  <c r="AA436" s="268"/>
      <c r="AB436" s="268"/>
      <c r="AC436" s="268"/>
      <c r="AD436" s="268"/>
      <c r="AE436" s="268"/>
    </row>
    <row r="437" spans="1:31" ht="15.75" customHeight="1">
      <c r="A437" s="252"/>
      <c r="B437" s="252"/>
      <c r="C437" s="252"/>
      <c r="D437" s="252"/>
      <c r="E437" s="252"/>
      <c r="F437" s="252"/>
      <c r="G437" s="252"/>
      <c r="H437" s="252"/>
      <c r="I437" s="252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  <c r="AA437" s="268"/>
      <c r="AB437" s="268"/>
      <c r="AC437" s="268"/>
      <c r="AD437" s="268"/>
      <c r="AE437" s="268"/>
    </row>
    <row r="438" spans="1:31" ht="15.75" customHeight="1">
      <c r="A438" s="252"/>
      <c r="B438" s="252"/>
      <c r="C438" s="252"/>
      <c r="D438" s="252"/>
      <c r="E438" s="252"/>
      <c r="F438" s="252"/>
      <c r="G438" s="252"/>
      <c r="H438" s="252"/>
      <c r="I438" s="252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  <c r="AA438" s="268"/>
      <c r="AB438" s="268"/>
      <c r="AC438" s="268"/>
      <c r="AD438" s="268"/>
      <c r="AE438" s="268"/>
    </row>
    <row r="439" spans="1:31" ht="15.75" customHeight="1">
      <c r="A439" s="252"/>
      <c r="B439" s="252"/>
      <c r="C439" s="252"/>
      <c r="D439" s="252"/>
      <c r="E439" s="252"/>
      <c r="F439" s="252"/>
      <c r="G439" s="252"/>
      <c r="H439" s="252"/>
      <c r="I439" s="252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  <c r="AA439" s="268"/>
      <c r="AB439" s="268"/>
      <c r="AC439" s="268"/>
      <c r="AD439" s="268"/>
      <c r="AE439" s="268"/>
    </row>
    <row r="440" spans="1:31" ht="15.75" customHeight="1">
      <c r="A440" s="252"/>
      <c r="B440" s="252"/>
      <c r="C440" s="252"/>
      <c r="D440" s="252"/>
      <c r="E440" s="252"/>
      <c r="F440" s="252"/>
      <c r="G440" s="252"/>
      <c r="H440" s="252"/>
      <c r="I440" s="252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  <c r="AA440" s="268"/>
      <c r="AB440" s="268"/>
      <c r="AC440" s="268"/>
      <c r="AD440" s="268"/>
      <c r="AE440" s="268"/>
    </row>
    <row r="441" spans="1:31" ht="15.75" customHeight="1">
      <c r="A441" s="252"/>
      <c r="B441" s="252"/>
      <c r="C441" s="252"/>
      <c r="D441" s="252"/>
      <c r="E441" s="252"/>
      <c r="F441" s="252"/>
      <c r="G441" s="252"/>
      <c r="H441" s="252"/>
      <c r="I441" s="252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  <c r="AA441" s="268"/>
      <c r="AB441" s="268"/>
      <c r="AC441" s="268"/>
      <c r="AD441" s="268"/>
      <c r="AE441" s="268"/>
    </row>
    <row r="442" spans="1:31" ht="15.75" customHeight="1">
      <c r="A442" s="252"/>
      <c r="B442" s="252"/>
      <c r="C442" s="252"/>
      <c r="D442" s="252"/>
      <c r="E442" s="252"/>
      <c r="F442" s="252"/>
      <c r="G442" s="252"/>
      <c r="H442" s="252"/>
      <c r="I442" s="252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  <c r="AA442" s="268"/>
      <c r="AB442" s="268"/>
      <c r="AC442" s="268"/>
      <c r="AD442" s="268"/>
      <c r="AE442" s="268"/>
    </row>
    <row r="443" spans="1:31" ht="15.75" customHeight="1">
      <c r="A443" s="252"/>
      <c r="B443" s="252"/>
      <c r="C443" s="252"/>
      <c r="D443" s="252"/>
      <c r="E443" s="252"/>
      <c r="F443" s="252"/>
      <c r="G443" s="252"/>
      <c r="H443" s="252"/>
      <c r="I443" s="252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  <c r="AA443" s="268"/>
      <c r="AB443" s="268"/>
      <c r="AC443" s="268"/>
      <c r="AD443" s="268"/>
      <c r="AE443" s="268"/>
    </row>
    <row r="444" spans="1:31" ht="15.75" customHeight="1">
      <c r="A444" s="252"/>
      <c r="B444" s="252"/>
      <c r="C444" s="252"/>
      <c r="D444" s="252"/>
      <c r="E444" s="252"/>
      <c r="F444" s="252"/>
      <c r="G444" s="252"/>
      <c r="H444" s="252"/>
      <c r="I444" s="252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  <c r="AA444" s="268"/>
      <c r="AB444" s="268"/>
      <c r="AC444" s="268"/>
      <c r="AD444" s="268"/>
      <c r="AE444" s="268"/>
    </row>
    <row r="445" spans="1:31" ht="15.75" customHeight="1">
      <c r="A445" s="252"/>
      <c r="B445" s="252"/>
      <c r="C445" s="252"/>
      <c r="D445" s="252"/>
      <c r="E445" s="252"/>
      <c r="F445" s="252"/>
      <c r="G445" s="252"/>
      <c r="H445" s="252"/>
      <c r="I445" s="252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  <c r="AA445" s="268"/>
      <c r="AB445" s="268"/>
      <c r="AC445" s="268"/>
      <c r="AD445" s="268"/>
      <c r="AE445" s="268"/>
    </row>
    <row r="446" spans="1:31" ht="15.75" customHeight="1">
      <c r="A446" s="252"/>
      <c r="B446" s="252"/>
      <c r="C446" s="252"/>
      <c r="D446" s="252"/>
      <c r="E446" s="252"/>
      <c r="F446" s="252"/>
      <c r="G446" s="252"/>
      <c r="H446" s="252"/>
      <c r="I446" s="252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  <c r="AA446" s="268"/>
      <c r="AB446" s="268"/>
      <c r="AC446" s="268"/>
      <c r="AD446" s="268"/>
      <c r="AE446" s="268"/>
    </row>
    <row r="447" spans="1:31" ht="15.75" customHeight="1">
      <c r="A447" s="252"/>
      <c r="B447" s="252"/>
      <c r="C447" s="252"/>
      <c r="D447" s="252"/>
      <c r="E447" s="252"/>
      <c r="F447" s="252"/>
      <c r="G447" s="252"/>
      <c r="H447" s="252"/>
      <c r="I447" s="252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  <c r="AA447" s="268"/>
      <c r="AB447" s="268"/>
      <c r="AC447" s="268"/>
      <c r="AD447" s="268"/>
      <c r="AE447" s="268"/>
    </row>
    <row r="448" spans="1:31" ht="15.75" customHeight="1">
      <c r="A448" s="252"/>
      <c r="B448" s="252"/>
      <c r="C448" s="252"/>
      <c r="D448" s="252"/>
      <c r="E448" s="252"/>
      <c r="F448" s="252"/>
      <c r="G448" s="252"/>
      <c r="H448" s="252"/>
      <c r="I448" s="252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  <c r="AA448" s="268"/>
      <c r="AB448" s="268"/>
      <c r="AC448" s="268"/>
      <c r="AD448" s="268"/>
      <c r="AE448" s="268"/>
    </row>
    <row r="449" spans="1:31" ht="15.75" customHeight="1">
      <c r="A449" s="252"/>
      <c r="B449" s="252"/>
      <c r="C449" s="252"/>
      <c r="D449" s="252"/>
      <c r="E449" s="252"/>
      <c r="F449" s="252"/>
      <c r="G449" s="252"/>
      <c r="H449" s="252"/>
      <c r="I449" s="252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  <c r="AA449" s="268"/>
      <c r="AB449" s="268"/>
      <c r="AC449" s="268"/>
      <c r="AD449" s="268"/>
      <c r="AE449" s="268"/>
    </row>
    <row r="450" spans="1:31" ht="15.75" customHeight="1">
      <c r="A450" s="252"/>
      <c r="B450" s="252"/>
      <c r="C450" s="252"/>
      <c r="D450" s="252"/>
      <c r="E450" s="252"/>
      <c r="F450" s="252"/>
      <c r="G450" s="252"/>
      <c r="H450" s="252"/>
      <c r="I450" s="252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  <c r="AA450" s="268"/>
      <c r="AB450" s="268"/>
      <c r="AC450" s="268"/>
      <c r="AD450" s="268"/>
      <c r="AE450" s="268"/>
    </row>
    <row r="451" spans="1:31" ht="15.75" customHeight="1">
      <c r="A451" s="252"/>
      <c r="B451" s="252"/>
      <c r="C451" s="252"/>
      <c r="D451" s="252"/>
      <c r="E451" s="252"/>
      <c r="F451" s="252"/>
      <c r="G451" s="252"/>
      <c r="H451" s="252"/>
      <c r="I451" s="252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  <c r="AA451" s="268"/>
      <c r="AB451" s="268"/>
      <c r="AC451" s="268"/>
      <c r="AD451" s="268"/>
      <c r="AE451" s="268"/>
    </row>
    <row r="452" spans="1:31" ht="15.75" customHeight="1">
      <c r="A452" s="252"/>
      <c r="B452" s="252"/>
      <c r="C452" s="252"/>
      <c r="D452" s="252"/>
      <c r="E452" s="252"/>
      <c r="F452" s="252"/>
      <c r="G452" s="252"/>
      <c r="H452" s="252"/>
      <c r="I452" s="252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  <c r="AA452" s="268"/>
      <c r="AB452" s="268"/>
      <c r="AC452" s="268"/>
      <c r="AD452" s="268"/>
      <c r="AE452" s="268"/>
    </row>
    <row r="453" spans="1:31" ht="15.75" customHeight="1">
      <c r="A453" s="252"/>
      <c r="B453" s="252"/>
      <c r="C453" s="252"/>
      <c r="D453" s="252"/>
      <c r="E453" s="252"/>
      <c r="F453" s="252"/>
      <c r="G453" s="252"/>
      <c r="H453" s="252"/>
      <c r="I453" s="252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  <c r="AA453" s="268"/>
      <c r="AB453" s="268"/>
      <c r="AC453" s="268"/>
      <c r="AD453" s="268"/>
      <c r="AE453" s="268"/>
    </row>
    <row r="454" spans="1:31" ht="15.75" customHeight="1">
      <c r="A454" s="252"/>
      <c r="B454" s="252"/>
      <c r="C454" s="252"/>
      <c r="D454" s="252"/>
      <c r="E454" s="252"/>
      <c r="F454" s="252"/>
      <c r="G454" s="252"/>
      <c r="H454" s="252"/>
      <c r="I454" s="252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  <c r="AA454" s="268"/>
      <c r="AB454" s="268"/>
      <c r="AC454" s="268"/>
      <c r="AD454" s="268"/>
      <c r="AE454" s="268"/>
    </row>
    <row r="455" spans="1:31" ht="15.75" customHeight="1">
      <c r="A455" s="252"/>
      <c r="B455" s="252"/>
      <c r="C455" s="252"/>
      <c r="D455" s="252"/>
      <c r="E455" s="252"/>
      <c r="F455" s="252"/>
      <c r="G455" s="252"/>
      <c r="H455" s="252"/>
      <c r="I455" s="252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  <c r="AA455" s="268"/>
      <c r="AB455" s="268"/>
      <c r="AC455" s="268"/>
      <c r="AD455" s="268"/>
      <c r="AE455" s="268"/>
    </row>
    <row r="456" spans="1:31" ht="15.75" customHeight="1">
      <c r="A456" s="252"/>
      <c r="B456" s="252"/>
      <c r="C456" s="252"/>
      <c r="D456" s="252"/>
      <c r="E456" s="252"/>
      <c r="F456" s="252"/>
      <c r="G456" s="252"/>
      <c r="H456" s="252"/>
      <c r="I456" s="252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  <c r="AA456" s="268"/>
      <c r="AB456" s="268"/>
      <c r="AC456" s="268"/>
      <c r="AD456" s="268"/>
      <c r="AE456" s="268"/>
    </row>
    <row r="457" spans="1:31" ht="15.75" customHeight="1">
      <c r="A457" s="252"/>
      <c r="B457" s="252"/>
      <c r="C457" s="252"/>
      <c r="D457" s="252"/>
      <c r="E457" s="252"/>
      <c r="F457" s="252"/>
      <c r="G457" s="252"/>
      <c r="H457" s="252"/>
      <c r="I457" s="252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  <c r="AA457" s="268"/>
      <c r="AB457" s="268"/>
      <c r="AC457" s="268"/>
      <c r="AD457" s="268"/>
      <c r="AE457" s="268"/>
    </row>
    <row r="458" spans="1:31" ht="15.75" customHeight="1">
      <c r="A458" s="252"/>
      <c r="B458" s="252"/>
      <c r="C458" s="252"/>
      <c r="D458" s="252"/>
      <c r="E458" s="252"/>
      <c r="F458" s="252"/>
      <c r="G458" s="252"/>
      <c r="H458" s="252"/>
      <c r="I458" s="252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  <c r="AA458" s="268"/>
      <c r="AB458" s="268"/>
      <c r="AC458" s="268"/>
      <c r="AD458" s="268"/>
      <c r="AE458" s="268"/>
    </row>
    <row r="459" spans="1:31" ht="15.75" customHeight="1">
      <c r="A459" s="252"/>
      <c r="B459" s="252"/>
      <c r="C459" s="252"/>
      <c r="D459" s="252"/>
      <c r="E459" s="252"/>
      <c r="F459" s="252"/>
      <c r="G459" s="252"/>
      <c r="H459" s="252"/>
      <c r="I459" s="252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  <c r="AA459" s="268"/>
      <c r="AB459" s="268"/>
      <c r="AC459" s="268"/>
      <c r="AD459" s="268"/>
      <c r="AE459" s="268"/>
    </row>
    <row r="460" spans="1:31" ht="15.75" customHeight="1">
      <c r="A460" s="252"/>
      <c r="B460" s="252"/>
      <c r="C460" s="252"/>
      <c r="D460" s="252"/>
      <c r="E460" s="252"/>
      <c r="F460" s="252"/>
      <c r="G460" s="252"/>
      <c r="H460" s="252"/>
      <c r="I460" s="252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  <c r="AA460" s="268"/>
      <c r="AB460" s="268"/>
      <c r="AC460" s="268"/>
      <c r="AD460" s="268"/>
      <c r="AE460" s="268"/>
    </row>
    <row r="461" spans="1:31" ht="15.75" customHeight="1">
      <c r="A461" s="252"/>
      <c r="B461" s="252"/>
      <c r="C461" s="252"/>
      <c r="D461" s="252"/>
      <c r="E461" s="252"/>
      <c r="F461" s="252"/>
      <c r="G461" s="252"/>
      <c r="H461" s="252"/>
      <c r="I461" s="252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  <c r="AA461" s="268"/>
      <c r="AB461" s="268"/>
      <c r="AC461" s="268"/>
      <c r="AD461" s="268"/>
      <c r="AE461" s="268"/>
    </row>
    <row r="462" spans="1:31" ht="15.75" customHeight="1">
      <c r="A462" s="252"/>
      <c r="B462" s="252"/>
      <c r="C462" s="252"/>
      <c r="D462" s="252"/>
      <c r="E462" s="252"/>
      <c r="F462" s="252"/>
      <c r="G462" s="252"/>
      <c r="H462" s="252"/>
      <c r="I462" s="252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  <c r="AA462" s="268"/>
      <c r="AB462" s="268"/>
      <c r="AC462" s="268"/>
      <c r="AD462" s="268"/>
      <c r="AE462" s="268"/>
    </row>
    <row r="463" spans="1:31" ht="15.75" customHeight="1">
      <c r="A463" s="252"/>
      <c r="B463" s="252"/>
      <c r="C463" s="252"/>
      <c r="D463" s="252"/>
      <c r="E463" s="252"/>
      <c r="F463" s="252"/>
      <c r="G463" s="252"/>
      <c r="H463" s="252"/>
      <c r="I463" s="252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  <c r="AA463" s="268"/>
      <c r="AB463" s="268"/>
      <c r="AC463" s="268"/>
      <c r="AD463" s="268"/>
      <c r="AE463" s="268"/>
    </row>
    <row r="464" spans="1:31" ht="15.75" customHeight="1">
      <c r="A464" s="252"/>
      <c r="B464" s="252"/>
      <c r="C464" s="252"/>
      <c r="D464" s="252"/>
      <c r="E464" s="252"/>
      <c r="F464" s="252"/>
      <c r="G464" s="252"/>
      <c r="H464" s="252"/>
      <c r="I464" s="252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  <c r="AA464" s="268"/>
      <c r="AB464" s="268"/>
      <c r="AC464" s="268"/>
      <c r="AD464" s="268"/>
      <c r="AE464" s="268"/>
    </row>
    <row r="465" spans="1:31" ht="15.75" customHeight="1">
      <c r="A465" s="252"/>
      <c r="B465" s="252"/>
      <c r="C465" s="252"/>
      <c r="D465" s="252"/>
      <c r="E465" s="252"/>
      <c r="F465" s="252"/>
      <c r="G465" s="252"/>
      <c r="H465" s="252"/>
      <c r="I465" s="252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  <c r="AA465" s="268"/>
      <c r="AB465" s="268"/>
      <c r="AC465" s="268"/>
      <c r="AD465" s="268"/>
      <c r="AE465" s="268"/>
    </row>
    <row r="466" spans="1:31" ht="15.75" customHeight="1">
      <c r="A466" s="252"/>
      <c r="B466" s="252"/>
      <c r="C466" s="252"/>
      <c r="D466" s="252"/>
      <c r="E466" s="252"/>
      <c r="F466" s="252"/>
      <c r="G466" s="252"/>
      <c r="H466" s="252"/>
      <c r="I466" s="252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  <c r="AA466" s="268"/>
      <c r="AB466" s="268"/>
      <c r="AC466" s="268"/>
      <c r="AD466" s="268"/>
      <c r="AE466" s="268"/>
    </row>
    <row r="467" spans="1:31" ht="15.75" customHeight="1">
      <c r="A467" s="252"/>
      <c r="B467" s="252"/>
      <c r="C467" s="252"/>
      <c r="D467" s="252"/>
      <c r="E467" s="252"/>
      <c r="F467" s="252"/>
      <c r="G467" s="252"/>
      <c r="H467" s="252"/>
      <c r="I467" s="252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  <c r="AA467" s="268"/>
      <c r="AB467" s="268"/>
      <c r="AC467" s="268"/>
      <c r="AD467" s="268"/>
      <c r="AE467" s="268"/>
    </row>
    <row r="468" spans="1:31" ht="15.75" customHeight="1">
      <c r="A468" s="252"/>
      <c r="B468" s="252"/>
      <c r="C468" s="252"/>
      <c r="D468" s="252"/>
      <c r="E468" s="252"/>
      <c r="F468" s="252"/>
      <c r="G468" s="252"/>
      <c r="H468" s="252"/>
      <c r="I468" s="252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  <c r="AA468" s="268"/>
      <c r="AB468" s="268"/>
      <c r="AC468" s="268"/>
      <c r="AD468" s="268"/>
      <c r="AE468" s="268"/>
    </row>
    <row r="469" spans="1:31" ht="15.75" customHeight="1">
      <c r="A469" s="252"/>
      <c r="B469" s="252"/>
      <c r="C469" s="252"/>
      <c r="D469" s="252"/>
      <c r="E469" s="252"/>
      <c r="F469" s="252"/>
      <c r="G469" s="252"/>
      <c r="H469" s="252"/>
      <c r="I469" s="252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  <c r="AA469" s="268"/>
      <c r="AB469" s="268"/>
      <c r="AC469" s="268"/>
      <c r="AD469" s="268"/>
      <c r="AE469" s="268"/>
    </row>
    <row r="470" spans="1:31" ht="15.75" customHeight="1">
      <c r="A470" s="252"/>
      <c r="B470" s="252"/>
      <c r="C470" s="252"/>
      <c r="D470" s="252"/>
      <c r="E470" s="252"/>
      <c r="F470" s="252"/>
      <c r="G470" s="252"/>
      <c r="H470" s="252"/>
      <c r="I470" s="252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  <c r="AA470" s="268"/>
      <c r="AB470" s="268"/>
      <c r="AC470" s="268"/>
      <c r="AD470" s="268"/>
      <c r="AE470" s="268"/>
    </row>
    <row r="471" spans="1:31" ht="15.75" customHeight="1">
      <c r="A471" s="252"/>
      <c r="B471" s="252"/>
      <c r="C471" s="252"/>
      <c r="D471" s="252"/>
      <c r="E471" s="252"/>
      <c r="F471" s="252"/>
      <c r="G471" s="252"/>
      <c r="H471" s="252"/>
      <c r="I471" s="252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  <c r="AA471" s="268"/>
      <c r="AB471" s="268"/>
      <c r="AC471" s="268"/>
      <c r="AD471" s="268"/>
      <c r="AE471" s="268"/>
    </row>
    <row r="472" spans="1:31" ht="15.75" customHeight="1">
      <c r="A472" s="252"/>
      <c r="B472" s="252"/>
      <c r="C472" s="252"/>
      <c r="D472" s="252"/>
      <c r="E472" s="252"/>
      <c r="F472" s="252"/>
      <c r="G472" s="252"/>
      <c r="H472" s="252"/>
      <c r="I472" s="252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  <c r="AA472" s="268"/>
      <c r="AB472" s="268"/>
      <c r="AC472" s="268"/>
      <c r="AD472" s="268"/>
      <c r="AE472" s="268"/>
    </row>
    <row r="473" spans="1:31" ht="15.75" customHeight="1">
      <c r="A473" s="252"/>
      <c r="B473" s="252"/>
      <c r="C473" s="252"/>
      <c r="D473" s="252"/>
      <c r="E473" s="252"/>
      <c r="F473" s="252"/>
      <c r="G473" s="252"/>
      <c r="H473" s="252"/>
      <c r="I473" s="252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  <c r="AA473" s="268"/>
      <c r="AB473" s="268"/>
      <c r="AC473" s="268"/>
      <c r="AD473" s="268"/>
      <c r="AE473" s="268"/>
    </row>
    <row r="474" spans="1:31" ht="15.75" customHeight="1">
      <c r="A474" s="252"/>
      <c r="B474" s="252"/>
      <c r="C474" s="252"/>
      <c r="D474" s="252"/>
      <c r="E474" s="252"/>
      <c r="F474" s="252"/>
      <c r="G474" s="252"/>
      <c r="H474" s="252"/>
      <c r="I474" s="252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  <c r="AA474" s="268"/>
      <c r="AB474" s="268"/>
      <c r="AC474" s="268"/>
      <c r="AD474" s="268"/>
      <c r="AE474" s="268"/>
    </row>
    <row r="475" spans="1:31" ht="15.75" customHeight="1">
      <c r="A475" s="252"/>
      <c r="B475" s="252"/>
      <c r="C475" s="252"/>
      <c r="D475" s="252"/>
      <c r="E475" s="252"/>
      <c r="F475" s="252"/>
      <c r="G475" s="252"/>
      <c r="H475" s="252"/>
      <c r="I475" s="252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  <c r="AA475" s="268"/>
      <c r="AB475" s="268"/>
      <c r="AC475" s="268"/>
      <c r="AD475" s="268"/>
      <c r="AE475" s="268"/>
    </row>
    <row r="476" spans="1:31" ht="15.75" customHeight="1">
      <c r="A476" s="252"/>
      <c r="B476" s="252"/>
      <c r="C476" s="252"/>
      <c r="D476" s="252"/>
      <c r="E476" s="252"/>
      <c r="F476" s="252"/>
      <c r="G476" s="252"/>
      <c r="H476" s="252"/>
      <c r="I476" s="252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  <c r="AA476" s="268"/>
      <c r="AB476" s="268"/>
      <c r="AC476" s="268"/>
      <c r="AD476" s="268"/>
      <c r="AE476" s="268"/>
    </row>
    <row r="477" spans="1:31" ht="15.75" customHeight="1">
      <c r="A477" s="252"/>
      <c r="B477" s="252"/>
      <c r="C477" s="252"/>
      <c r="D477" s="252"/>
      <c r="E477" s="252"/>
      <c r="F477" s="252"/>
      <c r="G477" s="252"/>
      <c r="H477" s="252"/>
      <c r="I477" s="252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  <c r="AA477" s="268"/>
      <c r="AB477" s="268"/>
      <c r="AC477" s="268"/>
      <c r="AD477" s="268"/>
      <c r="AE477" s="268"/>
    </row>
    <row r="478" spans="1:31" ht="15.75" customHeight="1">
      <c r="A478" s="252"/>
      <c r="B478" s="252"/>
      <c r="C478" s="252"/>
      <c r="D478" s="252"/>
      <c r="E478" s="252"/>
      <c r="F478" s="252"/>
      <c r="G478" s="252"/>
      <c r="H478" s="252"/>
      <c r="I478" s="252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  <c r="AA478" s="268"/>
      <c r="AB478" s="268"/>
      <c r="AC478" s="268"/>
      <c r="AD478" s="268"/>
      <c r="AE478" s="268"/>
    </row>
    <row r="479" spans="1:31" ht="15.75" customHeight="1">
      <c r="A479" s="252"/>
      <c r="B479" s="252"/>
      <c r="C479" s="252"/>
      <c r="D479" s="252"/>
      <c r="E479" s="252"/>
      <c r="F479" s="252"/>
      <c r="G479" s="252"/>
      <c r="H479" s="252"/>
      <c r="I479" s="252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  <c r="AA479" s="268"/>
      <c r="AB479" s="268"/>
      <c r="AC479" s="268"/>
      <c r="AD479" s="268"/>
      <c r="AE479" s="268"/>
    </row>
    <row r="480" spans="1:31" ht="15.75" customHeight="1">
      <c r="A480" s="252"/>
      <c r="B480" s="252"/>
      <c r="C480" s="252"/>
      <c r="D480" s="252"/>
      <c r="E480" s="252"/>
      <c r="F480" s="252"/>
      <c r="G480" s="252"/>
      <c r="H480" s="252"/>
      <c r="I480" s="252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  <c r="AA480" s="268"/>
      <c r="AB480" s="268"/>
      <c r="AC480" s="268"/>
      <c r="AD480" s="268"/>
      <c r="AE480" s="268"/>
    </row>
    <row r="481" spans="1:31" ht="15.75" customHeight="1">
      <c r="A481" s="252"/>
      <c r="B481" s="252"/>
      <c r="C481" s="252"/>
      <c r="D481" s="252"/>
      <c r="E481" s="252"/>
      <c r="F481" s="252"/>
      <c r="G481" s="252"/>
      <c r="H481" s="252"/>
      <c r="I481" s="252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  <c r="AA481" s="268"/>
      <c r="AB481" s="268"/>
      <c r="AC481" s="268"/>
      <c r="AD481" s="268"/>
      <c r="AE481" s="268"/>
    </row>
    <row r="482" spans="1:31" ht="15.75" customHeight="1">
      <c r="A482" s="252"/>
      <c r="B482" s="252"/>
      <c r="C482" s="252"/>
      <c r="D482" s="252"/>
      <c r="E482" s="252"/>
      <c r="F482" s="252"/>
      <c r="G482" s="252"/>
      <c r="H482" s="252"/>
      <c r="I482" s="252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  <c r="AA482" s="268"/>
      <c r="AB482" s="268"/>
      <c r="AC482" s="268"/>
      <c r="AD482" s="268"/>
      <c r="AE482" s="268"/>
    </row>
    <row r="483" spans="1:31" ht="15.75" customHeight="1">
      <c r="A483" s="252"/>
      <c r="B483" s="252"/>
      <c r="C483" s="252"/>
      <c r="D483" s="252"/>
      <c r="E483" s="252"/>
      <c r="F483" s="252"/>
      <c r="G483" s="252"/>
      <c r="H483" s="252"/>
      <c r="I483" s="252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  <c r="AA483" s="268"/>
      <c r="AB483" s="268"/>
      <c r="AC483" s="268"/>
      <c r="AD483" s="268"/>
      <c r="AE483" s="268"/>
    </row>
    <row r="484" spans="1:31" ht="15.75" customHeight="1">
      <c r="A484" s="252"/>
      <c r="B484" s="252"/>
      <c r="C484" s="252"/>
      <c r="D484" s="252"/>
      <c r="E484" s="252"/>
      <c r="F484" s="252"/>
      <c r="G484" s="252"/>
      <c r="H484" s="252"/>
      <c r="I484" s="252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  <c r="AA484" s="268"/>
      <c r="AB484" s="268"/>
      <c r="AC484" s="268"/>
      <c r="AD484" s="268"/>
      <c r="AE484" s="268"/>
    </row>
    <row r="485" spans="1:31" ht="15.75" customHeight="1">
      <c r="A485" s="252"/>
      <c r="B485" s="252"/>
      <c r="C485" s="252"/>
      <c r="D485" s="252"/>
      <c r="E485" s="252"/>
      <c r="F485" s="252"/>
      <c r="G485" s="252"/>
      <c r="H485" s="252"/>
      <c r="I485" s="252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  <c r="AA485" s="268"/>
      <c r="AB485" s="268"/>
      <c r="AC485" s="268"/>
      <c r="AD485" s="268"/>
      <c r="AE485" s="268"/>
    </row>
    <row r="486" spans="1:31" ht="15.75" customHeight="1">
      <c r="A486" s="252"/>
      <c r="B486" s="252"/>
      <c r="C486" s="252"/>
      <c r="D486" s="252"/>
      <c r="E486" s="252"/>
      <c r="F486" s="252"/>
      <c r="G486" s="252"/>
      <c r="H486" s="252"/>
      <c r="I486" s="252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  <c r="AA486" s="268"/>
      <c r="AB486" s="268"/>
      <c r="AC486" s="268"/>
      <c r="AD486" s="268"/>
      <c r="AE486" s="268"/>
    </row>
    <row r="487" spans="1:31" ht="15.75" customHeight="1">
      <c r="A487" s="252"/>
      <c r="B487" s="252"/>
      <c r="C487" s="252"/>
      <c r="D487" s="252"/>
      <c r="E487" s="252"/>
      <c r="F487" s="252"/>
      <c r="G487" s="252"/>
      <c r="H487" s="252"/>
      <c r="I487" s="252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  <c r="AA487" s="268"/>
      <c r="AB487" s="268"/>
      <c r="AC487" s="268"/>
      <c r="AD487" s="268"/>
      <c r="AE487" s="268"/>
    </row>
    <row r="488" spans="1:31" ht="15.75" customHeight="1">
      <c r="A488" s="252"/>
      <c r="B488" s="252"/>
      <c r="C488" s="252"/>
      <c r="D488" s="252"/>
      <c r="E488" s="252"/>
      <c r="F488" s="252"/>
      <c r="G488" s="252"/>
      <c r="H488" s="252"/>
      <c r="I488" s="252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  <c r="AA488" s="268"/>
      <c r="AB488" s="268"/>
      <c r="AC488" s="268"/>
      <c r="AD488" s="268"/>
      <c r="AE488" s="268"/>
    </row>
    <row r="489" spans="1:31" ht="15.75" customHeight="1">
      <c r="A489" s="252"/>
      <c r="B489" s="252"/>
      <c r="C489" s="252"/>
      <c r="D489" s="252"/>
      <c r="E489" s="252"/>
      <c r="F489" s="252"/>
      <c r="G489" s="252"/>
      <c r="H489" s="252"/>
      <c r="I489" s="252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  <c r="AA489" s="268"/>
      <c r="AB489" s="268"/>
      <c r="AC489" s="268"/>
      <c r="AD489" s="268"/>
      <c r="AE489" s="268"/>
    </row>
    <row r="490" spans="1:31" ht="15.75" customHeight="1">
      <c r="A490" s="252"/>
      <c r="B490" s="252"/>
      <c r="C490" s="252"/>
      <c r="D490" s="252"/>
      <c r="E490" s="252"/>
      <c r="F490" s="252"/>
      <c r="G490" s="252"/>
      <c r="H490" s="252"/>
      <c r="I490" s="252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  <c r="AA490" s="268"/>
      <c r="AB490" s="268"/>
      <c r="AC490" s="268"/>
      <c r="AD490" s="268"/>
      <c r="AE490" s="268"/>
    </row>
    <row r="491" spans="1:31" ht="15.75" customHeight="1">
      <c r="A491" s="252"/>
      <c r="B491" s="252"/>
      <c r="C491" s="252"/>
      <c r="D491" s="252"/>
      <c r="E491" s="252"/>
      <c r="F491" s="252"/>
      <c r="G491" s="252"/>
      <c r="H491" s="252"/>
      <c r="I491" s="252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  <c r="AA491" s="268"/>
      <c r="AB491" s="268"/>
      <c r="AC491" s="268"/>
      <c r="AD491" s="268"/>
      <c r="AE491" s="268"/>
    </row>
    <row r="492" spans="1:31" ht="15.75" customHeight="1">
      <c r="A492" s="252"/>
      <c r="B492" s="252"/>
      <c r="C492" s="252"/>
      <c r="D492" s="252"/>
      <c r="E492" s="252"/>
      <c r="F492" s="252"/>
      <c r="G492" s="252"/>
      <c r="H492" s="252"/>
      <c r="I492" s="252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  <c r="AA492" s="268"/>
      <c r="AB492" s="268"/>
      <c r="AC492" s="268"/>
      <c r="AD492" s="268"/>
      <c r="AE492" s="268"/>
    </row>
    <row r="493" spans="1:31" ht="15.75" customHeight="1">
      <c r="A493" s="252"/>
      <c r="B493" s="252"/>
      <c r="C493" s="252"/>
      <c r="D493" s="252"/>
      <c r="E493" s="252"/>
      <c r="F493" s="252"/>
      <c r="G493" s="252"/>
      <c r="H493" s="252"/>
      <c r="I493" s="252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  <c r="AA493" s="268"/>
      <c r="AB493" s="268"/>
      <c r="AC493" s="268"/>
      <c r="AD493" s="268"/>
      <c r="AE493" s="268"/>
    </row>
    <row r="494" spans="1:31" ht="15.75" customHeight="1">
      <c r="A494" s="252"/>
      <c r="B494" s="252"/>
      <c r="C494" s="252"/>
      <c r="D494" s="252"/>
      <c r="E494" s="252"/>
      <c r="F494" s="252"/>
      <c r="G494" s="252"/>
      <c r="H494" s="252"/>
      <c r="I494" s="252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  <c r="AA494" s="268"/>
      <c r="AB494" s="268"/>
      <c r="AC494" s="268"/>
      <c r="AD494" s="268"/>
      <c r="AE494" s="268"/>
    </row>
    <row r="495" spans="1:31" ht="15.75" customHeight="1">
      <c r="A495" s="252"/>
      <c r="B495" s="252"/>
      <c r="C495" s="252"/>
      <c r="D495" s="252"/>
      <c r="E495" s="252"/>
      <c r="F495" s="252"/>
      <c r="G495" s="252"/>
      <c r="H495" s="252"/>
      <c r="I495" s="252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  <c r="AA495" s="268"/>
      <c r="AB495" s="268"/>
      <c r="AC495" s="268"/>
      <c r="AD495" s="268"/>
      <c r="AE495" s="268"/>
    </row>
    <row r="496" spans="1:31" ht="15.75" customHeight="1">
      <c r="A496" s="252"/>
      <c r="B496" s="252"/>
      <c r="C496" s="252"/>
      <c r="D496" s="252"/>
      <c r="E496" s="252"/>
      <c r="F496" s="252"/>
      <c r="G496" s="252"/>
      <c r="H496" s="252"/>
      <c r="I496" s="252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  <c r="AA496" s="268"/>
      <c r="AB496" s="268"/>
      <c r="AC496" s="268"/>
      <c r="AD496" s="268"/>
      <c r="AE496" s="268"/>
    </row>
    <row r="497" spans="1:31" ht="15.75" customHeight="1">
      <c r="A497" s="252"/>
      <c r="B497" s="252"/>
      <c r="C497" s="252"/>
      <c r="D497" s="252"/>
      <c r="E497" s="252"/>
      <c r="F497" s="252"/>
      <c r="G497" s="252"/>
      <c r="H497" s="252"/>
      <c r="I497" s="252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  <c r="AA497" s="268"/>
      <c r="AB497" s="268"/>
      <c r="AC497" s="268"/>
      <c r="AD497" s="268"/>
      <c r="AE497" s="268"/>
    </row>
    <row r="498" spans="1:31" ht="15.75" customHeight="1">
      <c r="A498" s="252"/>
      <c r="B498" s="252"/>
      <c r="C498" s="252"/>
      <c r="D498" s="252"/>
      <c r="E498" s="252"/>
      <c r="F498" s="252"/>
      <c r="G498" s="252"/>
      <c r="H498" s="252"/>
      <c r="I498" s="252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  <c r="AA498" s="268"/>
      <c r="AB498" s="268"/>
      <c r="AC498" s="268"/>
      <c r="AD498" s="268"/>
      <c r="AE498" s="268"/>
    </row>
    <row r="499" spans="1:31" ht="15.75" customHeight="1">
      <c r="A499" s="252"/>
      <c r="B499" s="252"/>
      <c r="C499" s="252"/>
      <c r="D499" s="252"/>
      <c r="E499" s="252"/>
      <c r="F499" s="252"/>
      <c r="G499" s="252"/>
      <c r="H499" s="252"/>
      <c r="I499" s="252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  <c r="AA499" s="268"/>
      <c r="AB499" s="268"/>
      <c r="AC499" s="268"/>
      <c r="AD499" s="268"/>
      <c r="AE499" s="268"/>
    </row>
    <row r="500" spans="1:31" ht="15.75" customHeight="1">
      <c r="A500" s="252"/>
      <c r="B500" s="252"/>
      <c r="C500" s="252"/>
      <c r="D500" s="252"/>
      <c r="E500" s="252"/>
      <c r="F500" s="252"/>
      <c r="G500" s="252"/>
      <c r="H500" s="252"/>
      <c r="I500" s="252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  <c r="AA500" s="268"/>
      <c r="AB500" s="268"/>
      <c r="AC500" s="268"/>
      <c r="AD500" s="268"/>
      <c r="AE500" s="268"/>
    </row>
    <row r="501" spans="1:31" ht="15.75" customHeight="1">
      <c r="A501" s="252"/>
      <c r="B501" s="252"/>
      <c r="C501" s="252"/>
      <c r="D501" s="252"/>
      <c r="E501" s="252"/>
      <c r="F501" s="252"/>
      <c r="G501" s="252"/>
      <c r="H501" s="252"/>
      <c r="I501" s="252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  <c r="AA501" s="268"/>
      <c r="AB501" s="268"/>
      <c r="AC501" s="268"/>
      <c r="AD501" s="268"/>
      <c r="AE501" s="268"/>
    </row>
    <row r="502" spans="1:31" ht="15.75" customHeight="1">
      <c r="A502" s="252"/>
      <c r="B502" s="252"/>
      <c r="C502" s="252"/>
      <c r="D502" s="252"/>
      <c r="E502" s="252"/>
      <c r="F502" s="252"/>
      <c r="G502" s="252"/>
      <c r="H502" s="252"/>
      <c r="I502" s="252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  <c r="AA502" s="268"/>
      <c r="AB502" s="268"/>
      <c r="AC502" s="268"/>
      <c r="AD502" s="268"/>
      <c r="AE502" s="268"/>
    </row>
    <row r="503" spans="1:31" ht="15.75" customHeight="1">
      <c r="A503" s="252"/>
      <c r="B503" s="252"/>
      <c r="C503" s="252"/>
      <c r="D503" s="252"/>
      <c r="E503" s="252"/>
      <c r="F503" s="252"/>
      <c r="G503" s="252"/>
      <c r="H503" s="252"/>
      <c r="I503" s="252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  <c r="AA503" s="268"/>
      <c r="AB503" s="268"/>
      <c r="AC503" s="268"/>
      <c r="AD503" s="268"/>
      <c r="AE503" s="268"/>
    </row>
    <row r="504" spans="1:31" ht="15.75" customHeight="1">
      <c r="A504" s="252"/>
      <c r="B504" s="252"/>
      <c r="C504" s="252"/>
      <c r="D504" s="252"/>
      <c r="E504" s="252"/>
      <c r="F504" s="252"/>
      <c r="G504" s="252"/>
      <c r="H504" s="252"/>
      <c r="I504" s="252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  <c r="AA504" s="268"/>
      <c r="AB504" s="268"/>
      <c r="AC504" s="268"/>
      <c r="AD504" s="268"/>
      <c r="AE504" s="268"/>
    </row>
    <row r="505" spans="1:31" ht="15.75" customHeight="1">
      <c r="A505" s="252"/>
      <c r="B505" s="252"/>
      <c r="C505" s="252"/>
      <c r="D505" s="252"/>
      <c r="E505" s="252"/>
      <c r="F505" s="252"/>
      <c r="G505" s="252"/>
      <c r="H505" s="252"/>
      <c r="I505" s="252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  <c r="AA505" s="268"/>
      <c r="AB505" s="268"/>
      <c r="AC505" s="268"/>
      <c r="AD505" s="268"/>
      <c r="AE505" s="268"/>
    </row>
    <row r="506" spans="1:31" ht="15.75" customHeight="1">
      <c r="A506" s="252"/>
      <c r="B506" s="252"/>
      <c r="C506" s="252"/>
      <c r="D506" s="252"/>
      <c r="E506" s="252"/>
      <c r="F506" s="252"/>
      <c r="G506" s="252"/>
      <c r="H506" s="252"/>
      <c r="I506" s="252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  <c r="AA506" s="268"/>
      <c r="AB506" s="268"/>
      <c r="AC506" s="268"/>
      <c r="AD506" s="268"/>
      <c r="AE506" s="268"/>
    </row>
    <row r="507" spans="1:31" ht="15.75" customHeight="1">
      <c r="A507" s="252"/>
      <c r="B507" s="252"/>
      <c r="C507" s="252"/>
      <c r="D507" s="252"/>
      <c r="E507" s="252"/>
      <c r="F507" s="252"/>
      <c r="G507" s="252"/>
      <c r="H507" s="252"/>
      <c r="I507" s="252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  <c r="AA507" s="268"/>
      <c r="AB507" s="268"/>
      <c r="AC507" s="268"/>
      <c r="AD507" s="268"/>
      <c r="AE507" s="268"/>
    </row>
    <row r="508" spans="1:31" ht="15.75" customHeight="1">
      <c r="A508" s="252"/>
      <c r="B508" s="252"/>
      <c r="C508" s="252"/>
      <c r="D508" s="252"/>
      <c r="E508" s="252"/>
      <c r="F508" s="252"/>
      <c r="G508" s="252"/>
      <c r="H508" s="252"/>
      <c r="I508" s="252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  <c r="AA508" s="268"/>
      <c r="AB508" s="268"/>
      <c r="AC508" s="268"/>
      <c r="AD508" s="268"/>
      <c r="AE508" s="268"/>
    </row>
    <row r="509" spans="1:31" ht="15.75" customHeight="1">
      <c r="A509" s="252"/>
      <c r="B509" s="252"/>
      <c r="C509" s="252"/>
      <c r="D509" s="252"/>
      <c r="E509" s="252"/>
      <c r="F509" s="252"/>
      <c r="G509" s="252"/>
      <c r="H509" s="252"/>
      <c r="I509" s="252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  <c r="AA509" s="268"/>
      <c r="AB509" s="268"/>
      <c r="AC509" s="268"/>
      <c r="AD509" s="268"/>
      <c r="AE509" s="268"/>
    </row>
    <row r="510" spans="1:31" ht="15.75" customHeight="1">
      <c r="A510" s="252"/>
      <c r="B510" s="252"/>
      <c r="C510" s="252"/>
      <c r="D510" s="252"/>
      <c r="E510" s="252"/>
      <c r="F510" s="252"/>
      <c r="G510" s="252"/>
      <c r="H510" s="252"/>
      <c r="I510" s="252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  <c r="AA510" s="268"/>
      <c r="AB510" s="268"/>
      <c r="AC510" s="268"/>
      <c r="AD510" s="268"/>
      <c r="AE510" s="268"/>
    </row>
    <row r="511" spans="1:31" ht="15.75" customHeight="1">
      <c r="A511" s="252"/>
      <c r="B511" s="252"/>
      <c r="C511" s="252"/>
      <c r="D511" s="252"/>
      <c r="E511" s="252"/>
      <c r="F511" s="252"/>
      <c r="G511" s="252"/>
      <c r="H511" s="252"/>
      <c r="I511" s="252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  <c r="AA511" s="268"/>
      <c r="AB511" s="268"/>
      <c r="AC511" s="268"/>
      <c r="AD511" s="268"/>
      <c r="AE511" s="268"/>
    </row>
    <row r="512" spans="1:31" ht="15.75" customHeight="1">
      <c r="A512" s="252"/>
      <c r="B512" s="252"/>
      <c r="C512" s="252"/>
      <c r="D512" s="252"/>
      <c r="E512" s="252"/>
      <c r="F512" s="252"/>
      <c r="G512" s="252"/>
      <c r="H512" s="252"/>
      <c r="I512" s="252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  <c r="AA512" s="268"/>
      <c r="AB512" s="268"/>
      <c r="AC512" s="268"/>
      <c r="AD512" s="268"/>
      <c r="AE512" s="268"/>
    </row>
    <row r="513" spans="1:31" ht="15.75" customHeight="1">
      <c r="A513" s="252"/>
      <c r="B513" s="252"/>
      <c r="C513" s="252"/>
      <c r="D513" s="252"/>
      <c r="E513" s="252"/>
      <c r="F513" s="252"/>
      <c r="G513" s="252"/>
      <c r="H513" s="252"/>
      <c r="I513" s="252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  <c r="AA513" s="268"/>
      <c r="AB513" s="268"/>
      <c r="AC513" s="268"/>
      <c r="AD513" s="268"/>
      <c r="AE513" s="268"/>
    </row>
    <row r="514" spans="1:31" ht="15.75" customHeight="1">
      <c r="A514" s="252"/>
      <c r="B514" s="252"/>
      <c r="C514" s="252"/>
      <c r="D514" s="252"/>
      <c r="E514" s="252"/>
      <c r="F514" s="252"/>
      <c r="G514" s="252"/>
      <c r="H514" s="252"/>
      <c r="I514" s="252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  <c r="AA514" s="268"/>
      <c r="AB514" s="268"/>
      <c r="AC514" s="268"/>
      <c r="AD514" s="268"/>
      <c r="AE514" s="268"/>
    </row>
    <row r="515" spans="1:31" ht="15.75" customHeight="1">
      <c r="A515" s="252"/>
      <c r="B515" s="252"/>
      <c r="C515" s="252"/>
      <c r="D515" s="252"/>
      <c r="E515" s="252"/>
      <c r="F515" s="252"/>
      <c r="G515" s="252"/>
      <c r="H515" s="252"/>
      <c r="I515" s="252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  <c r="AA515" s="268"/>
      <c r="AB515" s="268"/>
      <c r="AC515" s="268"/>
      <c r="AD515" s="268"/>
      <c r="AE515" s="268"/>
    </row>
    <row r="516" spans="1:31" ht="15.75" customHeight="1">
      <c r="A516" s="252"/>
      <c r="B516" s="252"/>
      <c r="C516" s="252"/>
      <c r="D516" s="252"/>
      <c r="E516" s="252"/>
      <c r="F516" s="252"/>
      <c r="G516" s="252"/>
      <c r="H516" s="252"/>
      <c r="I516" s="252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  <c r="AA516" s="268"/>
      <c r="AB516" s="268"/>
      <c r="AC516" s="268"/>
      <c r="AD516" s="268"/>
      <c r="AE516" s="268"/>
    </row>
    <row r="517" spans="1:31" ht="15.75" customHeight="1">
      <c r="A517" s="252"/>
      <c r="B517" s="252"/>
      <c r="C517" s="252"/>
      <c r="D517" s="252"/>
      <c r="E517" s="252"/>
      <c r="F517" s="252"/>
      <c r="G517" s="252"/>
      <c r="H517" s="252"/>
      <c r="I517" s="252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  <c r="AA517" s="268"/>
      <c r="AB517" s="268"/>
      <c r="AC517" s="268"/>
      <c r="AD517" s="268"/>
      <c r="AE517" s="268"/>
    </row>
    <row r="518" spans="1:31" ht="15.75" customHeight="1">
      <c r="A518" s="252"/>
      <c r="B518" s="252"/>
      <c r="C518" s="252"/>
      <c r="D518" s="252"/>
      <c r="E518" s="252"/>
      <c r="F518" s="252"/>
      <c r="G518" s="252"/>
      <c r="H518" s="252"/>
      <c r="I518" s="252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  <c r="AA518" s="268"/>
      <c r="AB518" s="268"/>
      <c r="AC518" s="268"/>
      <c r="AD518" s="268"/>
      <c r="AE518" s="268"/>
    </row>
    <row r="519" spans="1:31" ht="15.75" customHeight="1">
      <c r="A519" s="252"/>
      <c r="B519" s="252"/>
      <c r="C519" s="252"/>
      <c r="D519" s="252"/>
      <c r="E519" s="252"/>
      <c r="F519" s="252"/>
      <c r="G519" s="252"/>
      <c r="H519" s="252"/>
      <c r="I519" s="252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  <c r="AA519" s="268"/>
      <c r="AB519" s="268"/>
      <c r="AC519" s="268"/>
      <c r="AD519" s="268"/>
      <c r="AE519" s="268"/>
    </row>
    <row r="520" spans="1:31" ht="15.75" customHeight="1">
      <c r="A520" s="252"/>
      <c r="B520" s="252"/>
      <c r="C520" s="252"/>
      <c r="D520" s="252"/>
      <c r="E520" s="252"/>
      <c r="F520" s="252"/>
      <c r="G520" s="252"/>
      <c r="H520" s="252"/>
      <c r="I520" s="252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  <c r="AA520" s="268"/>
      <c r="AB520" s="268"/>
      <c r="AC520" s="268"/>
      <c r="AD520" s="268"/>
      <c r="AE520" s="268"/>
    </row>
    <row r="521" spans="1:31" ht="15.75" customHeight="1">
      <c r="A521" s="252"/>
      <c r="B521" s="252"/>
      <c r="C521" s="252"/>
      <c r="D521" s="252"/>
      <c r="E521" s="252"/>
      <c r="F521" s="252"/>
      <c r="G521" s="252"/>
      <c r="H521" s="252"/>
      <c r="I521" s="252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  <c r="AA521" s="268"/>
      <c r="AB521" s="268"/>
      <c r="AC521" s="268"/>
      <c r="AD521" s="268"/>
      <c r="AE521" s="268"/>
    </row>
    <row r="522" spans="1:31" ht="15.75" customHeight="1">
      <c r="A522" s="252"/>
      <c r="B522" s="252"/>
      <c r="C522" s="252"/>
      <c r="D522" s="252"/>
      <c r="E522" s="252"/>
      <c r="F522" s="252"/>
      <c r="G522" s="252"/>
      <c r="H522" s="252"/>
      <c r="I522" s="252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  <c r="AA522" s="268"/>
      <c r="AB522" s="268"/>
      <c r="AC522" s="268"/>
      <c r="AD522" s="268"/>
      <c r="AE522" s="268"/>
    </row>
    <row r="523" spans="1:31" ht="15.75" customHeight="1">
      <c r="A523" s="252"/>
      <c r="B523" s="252"/>
      <c r="C523" s="252"/>
      <c r="D523" s="252"/>
      <c r="E523" s="252"/>
      <c r="F523" s="252"/>
      <c r="G523" s="252"/>
      <c r="H523" s="252"/>
      <c r="I523" s="252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  <c r="AA523" s="268"/>
      <c r="AB523" s="268"/>
      <c r="AC523" s="268"/>
      <c r="AD523" s="268"/>
      <c r="AE523" s="268"/>
    </row>
    <row r="524" spans="1:31" ht="15.75" customHeight="1">
      <c r="A524" s="252"/>
      <c r="B524" s="252"/>
      <c r="C524" s="252"/>
      <c r="D524" s="252"/>
      <c r="E524" s="252"/>
      <c r="F524" s="252"/>
      <c r="G524" s="252"/>
      <c r="H524" s="252"/>
      <c r="I524" s="252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  <c r="AA524" s="268"/>
      <c r="AB524" s="268"/>
      <c r="AC524" s="268"/>
      <c r="AD524" s="268"/>
      <c r="AE524" s="268"/>
    </row>
    <row r="525" spans="1:31" ht="15.75" customHeight="1">
      <c r="A525" s="252"/>
      <c r="B525" s="252"/>
      <c r="C525" s="252"/>
      <c r="D525" s="252"/>
      <c r="E525" s="252"/>
      <c r="F525" s="252"/>
      <c r="G525" s="252"/>
      <c r="H525" s="252"/>
      <c r="I525" s="252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  <c r="AA525" s="268"/>
      <c r="AB525" s="268"/>
      <c r="AC525" s="268"/>
      <c r="AD525" s="268"/>
      <c r="AE525" s="268"/>
    </row>
    <row r="526" spans="1:31" ht="15.75" customHeight="1">
      <c r="A526" s="252"/>
      <c r="B526" s="252"/>
      <c r="C526" s="252"/>
      <c r="D526" s="252"/>
      <c r="E526" s="252"/>
      <c r="F526" s="252"/>
      <c r="G526" s="252"/>
      <c r="H526" s="252"/>
      <c r="I526" s="252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  <c r="AA526" s="268"/>
      <c r="AB526" s="268"/>
      <c r="AC526" s="268"/>
      <c r="AD526" s="268"/>
      <c r="AE526" s="268"/>
    </row>
    <row r="527" spans="1:31" ht="15.75" customHeight="1">
      <c r="A527" s="252"/>
      <c r="B527" s="252"/>
      <c r="C527" s="252"/>
      <c r="D527" s="252"/>
      <c r="E527" s="252"/>
      <c r="F527" s="252"/>
      <c r="G527" s="252"/>
      <c r="H527" s="252"/>
      <c r="I527" s="252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  <c r="AA527" s="268"/>
      <c r="AB527" s="268"/>
      <c r="AC527" s="268"/>
      <c r="AD527" s="268"/>
      <c r="AE527" s="268"/>
    </row>
    <row r="528" spans="1:31" ht="15.75" customHeight="1">
      <c r="A528" s="252"/>
      <c r="B528" s="252"/>
      <c r="C528" s="252"/>
      <c r="D528" s="252"/>
      <c r="E528" s="252"/>
      <c r="F528" s="252"/>
      <c r="G528" s="252"/>
      <c r="H528" s="252"/>
      <c r="I528" s="252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  <c r="AA528" s="268"/>
      <c r="AB528" s="268"/>
      <c r="AC528" s="268"/>
      <c r="AD528" s="268"/>
      <c r="AE528" s="268"/>
    </row>
    <row r="529" spans="1:31" ht="15.75" customHeight="1">
      <c r="A529" s="252"/>
      <c r="B529" s="252"/>
      <c r="C529" s="252"/>
      <c r="D529" s="252"/>
      <c r="E529" s="252"/>
      <c r="F529" s="252"/>
      <c r="G529" s="252"/>
      <c r="H529" s="252"/>
      <c r="I529" s="252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  <c r="AA529" s="268"/>
      <c r="AB529" s="268"/>
      <c r="AC529" s="268"/>
      <c r="AD529" s="268"/>
      <c r="AE529" s="268"/>
    </row>
    <row r="530" spans="1:31" ht="15.75" customHeight="1">
      <c r="A530" s="252"/>
      <c r="B530" s="252"/>
      <c r="C530" s="252"/>
      <c r="D530" s="252"/>
      <c r="E530" s="252"/>
      <c r="F530" s="252"/>
      <c r="G530" s="252"/>
      <c r="H530" s="252"/>
      <c r="I530" s="252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  <c r="AA530" s="268"/>
      <c r="AB530" s="268"/>
      <c r="AC530" s="268"/>
      <c r="AD530" s="268"/>
      <c r="AE530" s="268"/>
    </row>
    <row r="531" spans="1:31" ht="15.75" customHeight="1">
      <c r="A531" s="252"/>
      <c r="B531" s="252"/>
      <c r="C531" s="252"/>
      <c r="D531" s="252"/>
      <c r="E531" s="252"/>
      <c r="F531" s="252"/>
      <c r="G531" s="252"/>
      <c r="H531" s="252"/>
      <c r="I531" s="252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  <c r="AA531" s="268"/>
      <c r="AB531" s="268"/>
      <c r="AC531" s="268"/>
      <c r="AD531" s="268"/>
      <c r="AE531" s="268"/>
    </row>
    <row r="532" spans="1:31" ht="15.75" customHeight="1">
      <c r="A532" s="252"/>
      <c r="B532" s="252"/>
      <c r="C532" s="252"/>
      <c r="D532" s="252"/>
      <c r="E532" s="252"/>
      <c r="F532" s="252"/>
      <c r="G532" s="252"/>
      <c r="H532" s="252"/>
      <c r="I532" s="252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  <c r="AA532" s="268"/>
      <c r="AB532" s="268"/>
      <c r="AC532" s="268"/>
      <c r="AD532" s="268"/>
      <c r="AE532" s="268"/>
    </row>
    <row r="533" spans="1:31" ht="15.75" customHeight="1">
      <c r="A533" s="252"/>
      <c r="B533" s="252"/>
      <c r="C533" s="252"/>
      <c r="D533" s="252"/>
      <c r="E533" s="252"/>
      <c r="F533" s="252"/>
      <c r="G533" s="252"/>
      <c r="H533" s="252"/>
      <c r="I533" s="252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  <c r="AA533" s="268"/>
      <c r="AB533" s="268"/>
      <c r="AC533" s="268"/>
      <c r="AD533" s="268"/>
      <c r="AE533" s="268"/>
    </row>
    <row r="534" spans="1:31" ht="15.75" customHeight="1">
      <c r="A534" s="252"/>
      <c r="B534" s="252"/>
      <c r="C534" s="252"/>
      <c r="D534" s="252"/>
      <c r="E534" s="252"/>
      <c r="F534" s="252"/>
      <c r="G534" s="252"/>
      <c r="H534" s="252"/>
      <c r="I534" s="252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  <c r="AA534" s="268"/>
      <c r="AB534" s="268"/>
      <c r="AC534" s="268"/>
      <c r="AD534" s="268"/>
      <c r="AE534" s="268"/>
    </row>
    <row r="535" spans="1:31" ht="15.75" customHeight="1">
      <c r="A535" s="252"/>
      <c r="B535" s="252"/>
      <c r="C535" s="252"/>
      <c r="D535" s="252"/>
      <c r="E535" s="252"/>
      <c r="F535" s="252"/>
      <c r="G535" s="252"/>
      <c r="H535" s="252"/>
      <c r="I535" s="252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  <c r="AA535" s="268"/>
      <c r="AB535" s="268"/>
      <c r="AC535" s="268"/>
      <c r="AD535" s="268"/>
      <c r="AE535" s="268"/>
    </row>
    <row r="536" spans="1:31" ht="15.75" customHeight="1">
      <c r="A536" s="252"/>
      <c r="B536" s="252"/>
      <c r="C536" s="252"/>
      <c r="D536" s="252"/>
      <c r="E536" s="252"/>
      <c r="F536" s="252"/>
      <c r="G536" s="252"/>
      <c r="H536" s="252"/>
      <c r="I536" s="252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  <c r="AA536" s="268"/>
      <c r="AB536" s="268"/>
      <c r="AC536" s="268"/>
      <c r="AD536" s="268"/>
      <c r="AE536" s="268"/>
    </row>
    <row r="537" spans="1:31" ht="15.75" customHeight="1">
      <c r="A537" s="252"/>
      <c r="B537" s="252"/>
      <c r="C537" s="252"/>
      <c r="D537" s="252"/>
      <c r="E537" s="252"/>
      <c r="F537" s="252"/>
      <c r="G537" s="252"/>
      <c r="H537" s="252"/>
      <c r="I537" s="252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  <c r="AA537" s="268"/>
      <c r="AB537" s="268"/>
      <c r="AC537" s="268"/>
      <c r="AD537" s="268"/>
      <c r="AE537" s="268"/>
    </row>
    <row r="538" spans="1:31" ht="15.75" customHeight="1">
      <c r="A538" s="252"/>
      <c r="B538" s="252"/>
      <c r="C538" s="252"/>
      <c r="D538" s="252"/>
      <c r="E538" s="252"/>
      <c r="F538" s="252"/>
      <c r="G538" s="252"/>
      <c r="H538" s="252"/>
      <c r="I538" s="252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  <c r="AA538" s="268"/>
      <c r="AB538" s="268"/>
      <c r="AC538" s="268"/>
      <c r="AD538" s="268"/>
      <c r="AE538" s="268"/>
    </row>
    <row r="539" spans="1:31" ht="15.75" customHeight="1">
      <c r="A539" s="252"/>
      <c r="B539" s="252"/>
      <c r="C539" s="252"/>
      <c r="D539" s="252"/>
      <c r="E539" s="252"/>
      <c r="F539" s="252"/>
      <c r="G539" s="252"/>
      <c r="H539" s="252"/>
      <c r="I539" s="252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  <c r="AA539" s="268"/>
      <c r="AB539" s="268"/>
      <c r="AC539" s="268"/>
      <c r="AD539" s="268"/>
      <c r="AE539" s="268"/>
    </row>
    <row r="540" spans="1:31" ht="15.75" customHeight="1">
      <c r="A540" s="252"/>
      <c r="B540" s="252"/>
      <c r="C540" s="252"/>
      <c r="D540" s="252"/>
      <c r="E540" s="252"/>
      <c r="F540" s="252"/>
      <c r="G540" s="252"/>
      <c r="H540" s="252"/>
      <c r="I540" s="252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  <c r="AA540" s="268"/>
      <c r="AB540" s="268"/>
      <c r="AC540" s="268"/>
      <c r="AD540" s="268"/>
      <c r="AE540" s="268"/>
    </row>
    <row r="541" spans="1:31" ht="15.75" customHeight="1">
      <c r="A541" s="252"/>
      <c r="B541" s="252"/>
      <c r="C541" s="252"/>
      <c r="D541" s="252"/>
      <c r="E541" s="252"/>
      <c r="F541" s="252"/>
      <c r="G541" s="252"/>
      <c r="H541" s="252"/>
      <c r="I541" s="252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  <c r="AA541" s="268"/>
      <c r="AB541" s="268"/>
      <c r="AC541" s="268"/>
      <c r="AD541" s="268"/>
      <c r="AE541" s="268"/>
    </row>
    <row r="542" spans="1:31" ht="15.75" customHeight="1">
      <c r="A542" s="252"/>
      <c r="B542" s="252"/>
      <c r="C542" s="252"/>
      <c r="D542" s="252"/>
      <c r="E542" s="252"/>
      <c r="F542" s="252"/>
      <c r="G542" s="252"/>
      <c r="H542" s="252"/>
      <c r="I542" s="252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  <c r="AA542" s="268"/>
      <c r="AB542" s="268"/>
      <c r="AC542" s="268"/>
      <c r="AD542" s="268"/>
      <c r="AE542" s="268"/>
    </row>
    <row r="543" spans="1:31" ht="15.75" customHeight="1">
      <c r="A543" s="252"/>
      <c r="B543" s="252"/>
      <c r="C543" s="252"/>
      <c r="D543" s="252"/>
      <c r="E543" s="252"/>
      <c r="F543" s="252"/>
      <c r="G543" s="252"/>
      <c r="H543" s="252"/>
      <c r="I543" s="252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  <c r="AA543" s="268"/>
      <c r="AB543" s="268"/>
      <c r="AC543" s="268"/>
      <c r="AD543" s="268"/>
      <c r="AE543" s="268"/>
    </row>
    <row r="544" spans="1:31" ht="15.75" customHeight="1">
      <c r="A544" s="252"/>
      <c r="B544" s="252"/>
      <c r="C544" s="252"/>
      <c r="D544" s="252"/>
      <c r="E544" s="252"/>
      <c r="F544" s="252"/>
      <c r="G544" s="252"/>
      <c r="H544" s="252"/>
      <c r="I544" s="252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  <c r="AA544" s="268"/>
      <c r="AB544" s="268"/>
      <c r="AC544" s="268"/>
      <c r="AD544" s="268"/>
      <c r="AE544" s="268"/>
    </row>
    <row r="545" spans="1:31" ht="15.75" customHeight="1">
      <c r="A545" s="252"/>
      <c r="B545" s="252"/>
      <c r="C545" s="252"/>
      <c r="D545" s="252"/>
      <c r="E545" s="252"/>
      <c r="F545" s="252"/>
      <c r="G545" s="252"/>
      <c r="H545" s="252"/>
      <c r="I545" s="252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  <c r="AA545" s="268"/>
      <c r="AB545" s="268"/>
      <c r="AC545" s="268"/>
      <c r="AD545" s="268"/>
      <c r="AE545" s="268"/>
    </row>
    <row r="546" spans="1:31" ht="15.75" customHeight="1">
      <c r="A546" s="252"/>
      <c r="B546" s="252"/>
      <c r="C546" s="252"/>
      <c r="D546" s="252"/>
      <c r="E546" s="252"/>
      <c r="F546" s="252"/>
      <c r="G546" s="252"/>
      <c r="H546" s="252"/>
      <c r="I546" s="252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  <c r="AA546" s="268"/>
      <c r="AB546" s="268"/>
      <c r="AC546" s="268"/>
      <c r="AD546" s="268"/>
      <c r="AE546" s="268"/>
    </row>
    <row r="547" spans="1:31" ht="15.75" customHeight="1">
      <c r="A547" s="252"/>
      <c r="B547" s="252"/>
      <c r="C547" s="252"/>
      <c r="D547" s="252"/>
      <c r="E547" s="252"/>
      <c r="F547" s="252"/>
      <c r="G547" s="252"/>
      <c r="H547" s="252"/>
      <c r="I547" s="252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  <c r="AA547" s="268"/>
      <c r="AB547" s="268"/>
      <c r="AC547" s="268"/>
      <c r="AD547" s="268"/>
      <c r="AE547" s="268"/>
    </row>
    <row r="548" spans="1:31" ht="15.75" customHeight="1">
      <c r="A548" s="252"/>
      <c r="B548" s="252"/>
      <c r="C548" s="252"/>
      <c r="D548" s="252"/>
      <c r="E548" s="252"/>
      <c r="F548" s="252"/>
      <c r="G548" s="252"/>
      <c r="H548" s="252"/>
      <c r="I548" s="252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  <c r="AA548" s="268"/>
      <c r="AB548" s="268"/>
      <c r="AC548" s="268"/>
      <c r="AD548" s="268"/>
      <c r="AE548" s="268"/>
    </row>
    <row r="549" spans="1:31" ht="15.75" customHeight="1">
      <c r="A549" s="252"/>
      <c r="B549" s="252"/>
      <c r="C549" s="252"/>
      <c r="D549" s="252"/>
      <c r="E549" s="252"/>
      <c r="F549" s="252"/>
      <c r="G549" s="252"/>
      <c r="H549" s="252"/>
      <c r="I549" s="252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  <c r="AA549" s="268"/>
      <c r="AB549" s="268"/>
      <c r="AC549" s="268"/>
      <c r="AD549" s="268"/>
      <c r="AE549" s="268"/>
    </row>
    <row r="550" spans="1:31" ht="15.75" customHeight="1">
      <c r="A550" s="252"/>
      <c r="B550" s="252"/>
      <c r="C550" s="252"/>
      <c r="D550" s="252"/>
      <c r="E550" s="252"/>
      <c r="F550" s="252"/>
      <c r="G550" s="252"/>
      <c r="H550" s="252"/>
      <c r="I550" s="252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  <c r="AA550" s="268"/>
      <c r="AB550" s="268"/>
      <c r="AC550" s="268"/>
      <c r="AD550" s="268"/>
      <c r="AE550" s="268"/>
    </row>
    <row r="551" spans="1:31" ht="15.75" customHeight="1">
      <c r="A551" s="252"/>
      <c r="B551" s="252"/>
      <c r="C551" s="252"/>
      <c r="D551" s="252"/>
      <c r="E551" s="252"/>
      <c r="F551" s="252"/>
      <c r="G551" s="252"/>
      <c r="H551" s="252"/>
      <c r="I551" s="252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  <c r="AA551" s="268"/>
      <c r="AB551" s="268"/>
      <c r="AC551" s="268"/>
      <c r="AD551" s="268"/>
      <c r="AE551" s="268"/>
    </row>
    <row r="552" spans="1:31" ht="15.75" customHeight="1">
      <c r="A552" s="252"/>
      <c r="B552" s="252"/>
      <c r="C552" s="252"/>
      <c r="D552" s="252"/>
      <c r="E552" s="252"/>
      <c r="F552" s="252"/>
      <c r="G552" s="252"/>
      <c r="H552" s="252"/>
      <c r="I552" s="252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  <c r="AA552" s="268"/>
      <c r="AB552" s="268"/>
      <c r="AC552" s="268"/>
      <c r="AD552" s="268"/>
      <c r="AE552" s="268"/>
    </row>
    <row r="553" spans="1:31" ht="15.75" customHeight="1">
      <c r="A553" s="252"/>
      <c r="B553" s="252"/>
      <c r="C553" s="252"/>
      <c r="D553" s="252"/>
      <c r="E553" s="252"/>
      <c r="F553" s="252"/>
      <c r="G553" s="252"/>
      <c r="H553" s="252"/>
      <c r="I553" s="252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  <c r="AA553" s="268"/>
      <c r="AB553" s="268"/>
      <c r="AC553" s="268"/>
      <c r="AD553" s="268"/>
      <c r="AE553" s="268"/>
    </row>
    <row r="554" spans="1:31" ht="15.75" customHeight="1">
      <c r="A554" s="252"/>
      <c r="B554" s="252"/>
      <c r="C554" s="252"/>
      <c r="D554" s="252"/>
      <c r="E554" s="252"/>
      <c r="F554" s="252"/>
      <c r="G554" s="252"/>
      <c r="H554" s="252"/>
      <c r="I554" s="252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  <c r="AA554" s="268"/>
      <c r="AB554" s="268"/>
      <c r="AC554" s="268"/>
      <c r="AD554" s="268"/>
      <c r="AE554" s="268"/>
    </row>
    <row r="555" spans="1:31" ht="15.75" customHeight="1">
      <c r="A555" s="252"/>
      <c r="B555" s="252"/>
      <c r="C555" s="252"/>
      <c r="D555" s="252"/>
      <c r="E555" s="252"/>
      <c r="F555" s="252"/>
      <c r="G555" s="252"/>
      <c r="H555" s="252"/>
      <c r="I555" s="252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  <c r="AA555" s="268"/>
      <c r="AB555" s="268"/>
      <c r="AC555" s="268"/>
      <c r="AD555" s="268"/>
      <c r="AE555" s="268"/>
    </row>
    <row r="556" spans="1:31" ht="15.75" customHeight="1">
      <c r="A556" s="252"/>
      <c r="B556" s="252"/>
      <c r="C556" s="252"/>
      <c r="D556" s="252"/>
      <c r="E556" s="252"/>
      <c r="F556" s="252"/>
      <c r="G556" s="252"/>
      <c r="H556" s="252"/>
      <c r="I556" s="252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  <c r="AA556" s="268"/>
      <c r="AB556" s="268"/>
      <c r="AC556" s="268"/>
      <c r="AD556" s="268"/>
      <c r="AE556" s="268"/>
    </row>
    <row r="557" spans="1:31" ht="15.75" customHeight="1">
      <c r="A557" s="252"/>
      <c r="B557" s="252"/>
      <c r="C557" s="252"/>
      <c r="D557" s="252"/>
      <c r="E557" s="252"/>
      <c r="F557" s="252"/>
      <c r="G557" s="252"/>
      <c r="H557" s="252"/>
      <c r="I557" s="252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  <c r="AA557" s="268"/>
      <c r="AB557" s="268"/>
      <c r="AC557" s="268"/>
      <c r="AD557" s="268"/>
      <c r="AE557" s="268"/>
    </row>
    <row r="558" spans="1:31" ht="15.75" customHeight="1">
      <c r="A558" s="252"/>
      <c r="B558" s="252"/>
      <c r="C558" s="252"/>
      <c r="D558" s="252"/>
      <c r="E558" s="252"/>
      <c r="F558" s="252"/>
      <c r="G558" s="252"/>
      <c r="H558" s="252"/>
      <c r="I558" s="252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  <c r="AA558" s="268"/>
      <c r="AB558" s="268"/>
      <c r="AC558" s="268"/>
      <c r="AD558" s="268"/>
      <c r="AE558" s="268"/>
    </row>
    <row r="559" spans="1:31" ht="15.75" customHeight="1">
      <c r="A559" s="252"/>
      <c r="B559" s="252"/>
      <c r="C559" s="252"/>
      <c r="D559" s="252"/>
      <c r="E559" s="252"/>
      <c r="F559" s="252"/>
      <c r="G559" s="252"/>
      <c r="H559" s="252"/>
      <c r="I559" s="252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  <c r="AA559" s="268"/>
      <c r="AB559" s="268"/>
      <c r="AC559" s="268"/>
      <c r="AD559" s="268"/>
      <c r="AE559" s="268"/>
    </row>
    <row r="560" spans="1:31" ht="15.75" customHeight="1">
      <c r="A560" s="252"/>
      <c r="B560" s="252"/>
      <c r="C560" s="252"/>
      <c r="D560" s="252"/>
      <c r="E560" s="252"/>
      <c r="F560" s="252"/>
      <c r="G560" s="252"/>
      <c r="H560" s="252"/>
      <c r="I560" s="252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  <c r="AA560" s="268"/>
      <c r="AB560" s="268"/>
      <c r="AC560" s="268"/>
      <c r="AD560" s="268"/>
      <c r="AE560" s="268"/>
    </row>
    <row r="561" spans="1:31" ht="15.75" customHeight="1">
      <c r="A561" s="252"/>
      <c r="B561" s="252"/>
      <c r="C561" s="252"/>
      <c r="D561" s="252"/>
      <c r="E561" s="252"/>
      <c r="F561" s="252"/>
      <c r="G561" s="252"/>
      <c r="H561" s="252"/>
      <c r="I561" s="252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  <c r="AA561" s="268"/>
      <c r="AB561" s="268"/>
      <c r="AC561" s="268"/>
      <c r="AD561" s="268"/>
      <c r="AE561" s="268"/>
    </row>
    <row r="562" spans="1:31" ht="15.75" customHeight="1">
      <c r="A562" s="252"/>
      <c r="B562" s="252"/>
      <c r="C562" s="252"/>
      <c r="D562" s="252"/>
      <c r="E562" s="252"/>
      <c r="F562" s="252"/>
      <c r="G562" s="252"/>
      <c r="H562" s="252"/>
      <c r="I562" s="252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  <c r="AA562" s="268"/>
      <c r="AB562" s="268"/>
      <c r="AC562" s="268"/>
      <c r="AD562" s="268"/>
      <c r="AE562" s="268"/>
    </row>
    <row r="563" spans="1:31" ht="15.75" customHeight="1">
      <c r="A563" s="252"/>
      <c r="B563" s="252"/>
      <c r="C563" s="252"/>
      <c r="D563" s="252"/>
      <c r="E563" s="252"/>
      <c r="F563" s="252"/>
      <c r="G563" s="252"/>
      <c r="H563" s="252"/>
      <c r="I563" s="252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  <c r="AA563" s="268"/>
      <c r="AB563" s="268"/>
      <c r="AC563" s="268"/>
      <c r="AD563" s="268"/>
      <c r="AE563" s="268"/>
    </row>
    <row r="564" spans="1:31" ht="15.75" customHeight="1">
      <c r="A564" s="252"/>
      <c r="B564" s="252"/>
      <c r="C564" s="252"/>
      <c r="D564" s="252"/>
      <c r="E564" s="252"/>
      <c r="F564" s="252"/>
      <c r="G564" s="252"/>
      <c r="H564" s="252"/>
      <c r="I564" s="252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  <c r="AA564" s="268"/>
      <c r="AB564" s="268"/>
      <c r="AC564" s="268"/>
      <c r="AD564" s="268"/>
      <c r="AE564" s="268"/>
    </row>
    <row r="565" spans="1:31" ht="15.75" customHeight="1">
      <c r="A565" s="252"/>
      <c r="B565" s="252"/>
      <c r="C565" s="252"/>
      <c r="D565" s="252"/>
      <c r="E565" s="252"/>
      <c r="F565" s="252"/>
      <c r="G565" s="252"/>
      <c r="H565" s="252"/>
      <c r="I565" s="252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  <c r="AA565" s="268"/>
      <c r="AB565" s="268"/>
      <c r="AC565" s="268"/>
      <c r="AD565" s="268"/>
      <c r="AE565" s="268"/>
    </row>
    <row r="566" spans="1:31" ht="15.75" customHeight="1">
      <c r="A566" s="252"/>
      <c r="B566" s="252"/>
      <c r="C566" s="252"/>
      <c r="D566" s="252"/>
      <c r="E566" s="252"/>
      <c r="F566" s="252"/>
      <c r="G566" s="252"/>
      <c r="H566" s="252"/>
      <c r="I566" s="252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  <c r="AA566" s="268"/>
      <c r="AB566" s="268"/>
      <c r="AC566" s="268"/>
      <c r="AD566" s="268"/>
      <c r="AE566" s="268"/>
    </row>
    <row r="567" spans="1:31" ht="15.75" customHeight="1">
      <c r="A567" s="252"/>
      <c r="B567" s="252"/>
      <c r="C567" s="252"/>
      <c r="D567" s="252"/>
      <c r="E567" s="252"/>
      <c r="F567" s="252"/>
      <c r="G567" s="252"/>
      <c r="H567" s="252"/>
      <c r="I567" s="252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  <c r="AA567" s="268"/>
      <c r="AB567" s="268"/>
      <c r="AC567" s="268"/>
      <c r="AD567" s="268"/>
      <c r="AE567" s="268"/>
    </row>
    <row r="568" spans="1:31" ht="15.75" customHeight="1">
      <c r="A568" s="252"/>
      <c r="B568" s="252"/>
      <c r="C568" s="252"/>
      <c r="D568" s="252"/>
      <c r="E568" s="252"/>
      <c r="F568" s="252"/>
      <c r="G568" s="252"/>
      <c r="H568" s="252"/>
      <c r="I568" s="252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  <c r="AA568" s="268"/>
      <c r="AB568" s="268"/>
      <c r="AC568" s="268"/>
      <c r="AD568" s="268"/>
      <c r="AE568" s="268"/>
    </row>
    <row r="569" spans="1:31" ht="15.75" customHeight="1">
      <c r="A569" s="252"/>
      <c r="B569" s="252"/>
      <c r="C569" s="252"/>
      <c r="D569" s="252"/>
      <c r="E569" s="252"/>
      <c r="F569" s="252"/>
      <c r="G569" s="252"/>
      <c r="H569" s="252"/>
      <c r="I569" s="252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  <c r="AA569" s="268"/>
      <c r="AB569" s="268"/>
      <c r="AC569" s="268"/>
      <c r="AD569" s="268"/>
      <c r="AE569" s="268"/>
    </row>
    <row r="570" spans="1:31" ht="15.75" customHeight="1">
      <c r="A570" s="252"/>
      <c r="B570" s="252"/>
      <c r="C570" s="252"/>
      <c r="D570" s="252"/>
      <c r="E570" s="252"/>
      <c r="F570" s="252"/>
      <c r="G570" s="252"/>
      <c r="H570" s="252"/>
      <c r="I570" s="252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  <c r="AA570" s="268"/>
      <c r="AB570" s="268"/>
      <c r="AC570" s="268"/>
      <c r="AD570" s="268"/>
      <c r="AE570" s="268"/>
    </row>
    <row r="571" spans="1:31" ht="15.75" customHeight="1">
      <c r="A571" s="252"/>
      <c r="B571" s="252"/>
      <c r="C571" s="252"/>
      <c r="D571" s="252"/>
      <c r="E571" s="252"/>
      <c r="F571" s="252"/>
      <c r="G571" s="252"/>
      <c r="H571" s="252"/>
      <c r="I571" s="252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  <c r="AA571" s="268"/>
      <c r="AB571" s="268"/>
      <c r="AC571" s="268"/>
      <c r="AD571" s="268"/>
      <c r="AE571" s="268"/>
    </row>
    <row r="572" spans="1:31" ht="15.75" customHeight="1">
      <c r="A572" s="252"/>
      <c r="B572" s="252"/>
      <c r="C572" s="252"/>
      <c r="D572" s="252"/>
      <c r="E572" s="252"/>
      <c r="F572" s="252"/>
      <c r="G572" s="252"/>
      <c r="H572" s="252"/>
      <c r="I572" s="252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  <c r="AA572" s="268"/>
      <c r="AB572" s="268"/>
      <c r="AC572" s="268"/>
      <c r="AD572" s="268"/>
      <c r="AE572" s="268"/>
    </row>
    <row r="573" spans="1:31" ht="15.75" customHeight="1">
      <c r="A573" s="252"/>
      <c r="B573" s="252"/>
      <c r="C573" s="252"/>
      <c r="D573" s="252"/>
      <c r="E573" s="252"/>
      <c r="F573" s="252"/>
      <c r="G573" s="252"/>
      <c r="H573" s="252"/>
      <c r="I573" s="252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  <c r="AA573" s="268"/>
      <c r="AB573" s="268"/>
      <c r="AC573" s="268"/>
      <c r="AD573" s="268"/>
      <c r="AE573" s="268"/>
    </row>
    <row r="574" spans="1:31" ht="15.75" customHeight="1">
      <c r="A574" s="252"/>
      <c r="B574" s="252"/>
      <c r="C574" s="252"/>
      <c r="D574" s="252"/>
      <c r="E574" s="252"/>
      <c r="F574" s="252"/>
      <c r="G574" s="252"/>
      <c r="H574" s="252"/>
      <c r="I574" s="252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  <c r="AA574" s="268"/>
      <c r="AB574" s="268"/>
      <c r="AC574" s="268"/>
      <c r="AD574" s="268"/>
      <c r="AE574" s="268"/>
    </row>
    <row r="575" spans="1:31" ht="15.75" customHeight="1">
      <c r="A575" s="252"/>
      <c r="B575" s="252"/>
      <c r="C575" s="252"/>
      <c r="D575" s="252"/>
      <c r="E575" s="252"/>
      <c r="F575" s="252"/>
      <c r="G575" s="252"/>
      <c r="H575" s="252"/>
      <c r="I575" s="252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  <c r="AA575" s="268"/>
      <c r="AB575" s="268"/>
      <c r="AC575" s="268"/>
      <c r="AD575" s="268"/>
      <c r="AE575" s="268"/>
    </row>
    <row r="576" spans="1:31" ht="15.75" customHeight="1">
      <c r="A576" s="252"/>
      <c r="B576" s="252"/>
      <c r="C576" s="252"/>
      <c r="D576" s="252"/>
      <c r="E576" s="252"/>
      <c r="F576" s="252"/>
      <c r="G576" s="252"/>
      <c r="H576" s="252"/>
      <c r="I576" s="252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  <c r="AA576" s="268"/>
      <c r="AB576" s="268"/>
      <c r="AC576" s="268"/>
      <c r="AD576" s="268"/>
      <c r="AE576" s="268"/>
    </row>
    <row r="577" spans="1:31" ht="15.75" customHeight="1">
      <c r="A577" s="252"/>
      <c r="B577" s="252"/>
      <c r="C577" s="252"/>
      <c r="D577" s="252"/>
      <c r="E577" s="252"/>
      <c r="F577" s="252"/>
      <c r="G577" s="252"/>
      <c r="H577" s="252"/>
      <c r="I577" s="252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  <c r="AA577" s="268"/>
      <c r="AB577" s="268"/>
      <c r="AC577" s="268"/>
      <c r="AD577" s="268"/>
      <c r="AE577" s="268"/>
    </row>
    <row r="578" spans="1:31" ht="15.75" customHeight="1">
      <c r="A578" s="252"/>
      <c r="B578" s="252"/>
      <c r="C578" s="252"/>
      <c r="D578" s="252"/>
      <c r="E578" s="252"/>
      <c r="F578" s="252"/>
      <c r="G578" s="252"/>
      <c r="H578" s="252"/>
      <c r="I578" s="252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  <c r="AA578" s="268"/>
      <c r="AB578" s="268"/>
      <c r="AC578" s="268"/>
      <c r="AD578" s="268"/>
      <c r="AE578" s="268"/>
    </row>
    <row r="579" spans="1:31" ht="15.75" customHeight="1">
      <c r="A579" s="252"/>
      <c r="B579" s="252"/>
      <c r="C579" s="252"/>
      <c r="D579" s="252"/>
      <c r="E579" s="252"/>
      <c r="F579" s="252"/>
      <c r="G579" s="252"/>
      <c r="H579" s="252"/>
      <c r="I579" s="252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  <c r="AA579" s="268"/>
      <c r="AB579" s="268"/>
      <c r="AC579" s="268"/>
      <c r="AD579" s="268"/>
      <c r="AE579" s="268"/>
    </row>
    <row r="580" spans="1:31" ht="15.75" customHeight="1">
      <c r="A580" s="252"/>
      <c r="B580" s="252"/>
      <c r="C580" s="252"/>
      <c r="D580" s="252"/>
      <c r="E580" s="252"/>
      <c r="F580" s="252"/>
      <c r="G580" s="252"/>
      <c r="H580" s="252"/>
      <c r="I580" s="252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  <c r="AA580" s="268"/>
      <c r="AB580" s="268"/>
      <c r="AC580" s="268"/>
      <c r="AD580" s="268"/>
      <c r="AE580" s="268"/>
    </row>
    <row r="581" spans="1:31" ht="15.75" customHeight="1">
      <c r="A581" s="252"/>
      <c r="B581" s="252"/>
      <c r="C581" s="252"/>
      <c r="D581" s="252"/>
      <c r="E581" s="252"/>
      <c r="F581" s="252"/>
      <c r="G581" s="252"/>
      <c r="H581" s="252"/>
      <c r="I581" s="252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  <c r="AA581" s="268"/>
      <c r="AB581" s="268"/>
      <c r="AC581" s="268"/>
      <c r="AD581" s="268"/>
      <c r="AE581" s="268"/>
    </row>
    <row r="582" spans="1:31" ht="15.75" customHeight="1">
      <c r="A582" s="252"/>
      <c r="B582" s="252"/>
      <c r="C582" s="252"/>
      <c r="D582" s="252"/>
      <c r="E582" s="252"/>
      <c r="F582" s="252"/>
      <c r="G582" s="252"/>
      <c r="H582" s="252"/>
      <c r="I582" s="252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  <c r="AA582" s="268"/>
      <c r="AB582" s="268"/>
      <c r="AC582" s="268"/>
      <c r="AD582" s="268"/>
      <c r="AE582" s="268"/>
    </row>
    <row r="583" spans="1:31" ht="15.75" customHeight="1">
      <c r="A583" s="252"/>
      <c r="B583" s="252"/>
      <c r="C583" s="252"/>
      <c r="D583" s="252"/>
      <c r="E583" s="252"/>
      <c r="F583" s="252"/>
      <c r="G583" s="252"/>
      <c r="H583" s="252"/>
      <c r="I583" s="252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  <c r="AA583" s="268"/>
      <c r="AB583" s="268"/>
      <c r="AC583" s="268"/>
      <c r="AD583" s="268"/>
      <c r="AE583" s="268"/>
    </row>
    <row r="584" spans="1:31" ht="15.75" customHeight="1">
      <c r="A584" s="252"/>
      <c r="B584" s="252"/>
      <c r="C584" s="252"/>
      <c r="D584" s="252"/>
      <c r="E584" s="252"/>
      <c r="F584" s="252"/>
      <c r="G584" s="252"/>
      <c r="H584" s="252"/>
      <c r="I584" s="252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  <c r="AA584" s="268"/>
      <c r="AB584" s="268"/>
      <c r="AC584" s="268"/>
      <c r="AD584" s="268"/>
      <c r="AE584" s="268"/>
    </row>
    <row r="585" spans="1:31" ht="15.75" customHeight="1">
      <c r="A585" s="252"/>
      <c r="B585" s="252"/>
      <c r="C585" s="252"/>
      <c r="D585" s="252"/>
      <c r="E585" s="252"/>
      <c r="F585" s="252"/>
      <c r="G585" s="252"/>
      <c r="H585" s="252"/>
      <c r="I585" s="252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  <c r="AA585" s="268"/>
      <c r="AB585" s="268"/>
      <c r="AC585" s="268"/>
      <c r="AD585" s="268"/>
      <c r="AE585" s="268"/>
    </row>
    <row r="586" spans="1:31" ht="15.75" customHeight="1">
      <c r="A586" s="252"/>
      <c r="B586" s="252"/>
      <c r="C586" s="252"/>
      <c r="D586" s="252"/>
      <c r="E586" s="252"/>
      <c r="F586" s="252"/>
      <c r="G586" s="252"/>
      <c r="H586" s="252"/>
      <c r="I586" s="252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  <c r="AA586" s="268"/>
      <c r="AB586" s="268"/>
      <c r="AC586" s="268"/>
      <c r="AD586" s="268"/>
      <c r="AE586" s="268"/>
    </row>
    <row r="587" spans="1:31" ht="15.75" customHeight="1">
      <c r="A587" s="252"/>
      <c r="B587" s="252"/>
      <c r="C587" s="252"/>
      <c r="D587" s="252"/>
      <c r="E587" s="252"/>
      <c r="F587" s="252"/>
      <c r="G587" s="252"/>
      <c r="H587" s="252"/>
      <c r="I587" s="252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  <c r="AA587" s="268"/>
      <c r="AB587" s="268"/>
      <c r="AC587" s="268"/>
      <c r="AD587" s="268"/>
      <c r="AE587" s="268"/>
    </row>
    <row r="588" spans="1:31" ht="15.75" customHeight="1">
      <c r="A588" s="252"/>
      <c r="B588" s="252"/>
      <c r="C588" s="252"/>
      <c r="D588" s="252"/>
      <c r="E588" s="252"/>
      <c r="F588" s="252"/>
      <c r="G588" s="252"/>
      <c r="H588" s="252"/>
      <c r="I588" s="252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  <c r="AA588" s="268"/>
      <c r="AB588" s="268"/>
      <c r="AC588" s="268"/>
      <c r="AD588" s="268"/>
      <c r="AE588" s="268"/>
    </row>
    <row r="589" spans="1:31" ht="15.75" customHeight="1">
      <c r="A589" s="252"/>
      <c r="B589" s="252"/>
      <c r="C589" s="252"/>
      <c r="D589" s="252"/>
      <c r="E589" s="252"/>
      <c r="F589" s="252"/>
      <c r="G589" s="252"/>
      <c r="H589" s="252"/>
      <c r="I589" s="252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  <c r="AA589" s="268"/>
      <c r="AB589" s="268"/>
      <c r="AC589" s="268"/>
      <c r="AD589" s="268"/>
      <c r="AE589" s="268"/>
    </row>
    <row r="590" spans="1:31" ht="15.75" customHeight="1">
      <c r="A590" s="252"/>
      <c r="B590" s="252"/>
      <c r="C590" s="252"/>
      <c r="D590" s="252"/>
      <c r="E590" s="252"/>
      <c r="F590" s="252"/>
      <c r="G590" s="252"/>
      <c r="H590" s="252"/>
      <c r="I590" s="252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  <c r="AA590" s="268"/>
      <c r="AB590" s="268"/>
      <c r="AC590" s="268"/>
      <c r="AD590" s="268"/>
      <c r="AE590" s="268"/>
    </row>
    <row r="591" spans="1:31" ht="15.75" customHeight="1">
      <c r="A591" s="252"/>
      <c r="B591" s="252"/>
      <c r="C591" s="252"/>
      <c r="D591" s="252"/>
      <c r="E591" s="252"/>
      <c r="F591" s="252"/>
      <c r="G591" s="252"/>
      <c r="H591" s="252"/>
      <c r="I591" s="252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  <c r="AA591" s="268"/>
      <c r="AB591" s="268"/>
      <c r="AC591" s="268"/>
      <c r="AD591" s="268"/>
      <c r="AE591" s="268"/>
    </row>
    <row r="592" spans="1:31" ht="15.75" customHeight="1">
      <c r="A592" s="252"/>
      <c r="B592" s="252"/>
      <c r="C592" s="252"/>
      <c r="D592" s="252"/>
      <c r="E592" s="252"/>
      <c r="F592" s="252"/>
      <c r="G592" s="252"/>
      <c r="H592" s="252"/>
      <c r="I592" s="252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  <c r="AA592" s="268"/>
      <c r="AB592" s="268"/>
      <c r="AC592" s="268"/>
      <c r="AD592" s="268"/>
      <c r="AE592" s="268"/>
    </row>
    <row r="593" spans="1:31" ht="15.75" customHeight="1">
      <c r="A593" s="252"/>
      <c r="B593" s="252"/>
      <c r="C593" s="252"/>
      <c r="D593" s="252"/>
      <c r="E593" s="252"/>
      <c r="F593" s="252"/>
      <c r="G593" s="252"/>
      <c r="H593" s="252"/>
      <c r="I593" s="252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  <c r="AA593" s="268"/>
      <c r="AB593" s="268"/>
      <c r="AC593" s="268"/>
      <c r="AD593" s="268"/>
      <c r="AE593" s="268"/>
    </row>
    <row r="594" spans="1:31" ht="15.75" customHeight="1">
      <c r="A594" s="252"/>
      <c r="B594" s="252"/>
      <c r="C594" s="252"/>
      <c r="D594" s="252"/>
      <c r="E594" s="252"/>
      <c r="F594" s="252"/>
      <c r="G594" s="252"/>
      <c r="H594" s="252"/>
      <c r="I594" s="252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  <c r="AA594" s="268"/>
      <c r="AB594" s="268"/>
      <c r="AC594" s="268"/>
      <c r="AD594" s="268"/>
      <c r="AE594" s="268"/>
    </row>
    <row r="595" spans="1:31" ht="15.75" customHeight="1">
      <c r="A595" s="252"/>
      <c r="B595" s="252"/>
      <c r="C595" s="252"/>
      <c r="D595" s="252"/>
      <c r="E595" s="252"/>
      <c r="F595" s="252"/>
      <c r="G595" s="252"/>
      <c r="H595" s="252"/>
      <c r="I595" s="252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  <c r="AA595" s="268"/>
      <c r="AB595" s="268"/>
      <c r="AC595" s="268"/>
      <c r="AD595" s="268"/>
      <c r="AE595" s="268"/>
    </row>
    <row r="596" spans="1:31" ht="15.75" customHeight="1">
      <c r="A596" s="252"/>
      <c r="B596" s="252"/>
      <c r="C596" s="252"/>
      <c r="D596" s="252"/>
      <c r="E596" s="252"/>
      <c r="F596" s="252"/>
      <c r="G596" s="252"/>
      <c r="H596" s="252"/>
      <c r="I596" s="252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  <c r="AA596" s="268"/>
      <c r="AB596" s="268"/>
      <c r="AC596" s="268"/>
      <c r="AD596" s="268"/>
      <c r="AE596" s="268"/>
    </row>
    <row r="597" spans="1:31" ht="15.75" customHeight="1">
      <c r="A597" s="252"/>
      <c r="B597" s="252"/>
      <c r="C597" s="252"/>
      <c r="D597" s="252"/>
      <c r="E597" s="252"/>
      <c r="F597" s="252"/>
      <c r="G597" s="252"/>
      <c r="H597" s="252"/>
      <c r="I597" s="252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  <c r="AA597" s="268"/>
      <c r="AB597" s="268"/>
      <c r="AC597" s="268"/>
      <c r="AD597" s="268"/>
      <c r="AE597" s="268"/>
    </row>
    <row r="598" spans="1:31" ht="15.75" customHeight="1">
      <c r="A598" s="252"/>
      <c r="B598" s="252"/>
      <c r="C598" s="252"/>
      <c r="D598" s="252"/>
      <c r="E598" s="252"/>
      <c r="F598" s="252"/>
      <c r="G598" s="252"/>
      <c r="H598" s="252"/>
      <c r="I598" s="252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  <c r="AA598" s="268"/>
      <c r="AB598" s="268"/>
      <c r="AC598" s="268"/>
      <c r="AD598" s="268"/>
      <c r="AE598" s="268"/>
    </row>
    <row r="599" spans="1:31" ht="15.75" customHeight="1">
      <c r="A599" s="252"/>
      <c r="B599" s="252"/>
      <c r="C599" s="252"/>
      <c r="D599" s="252"/>
      <c r="E599" s="252"/>
      <c r="F599" s="252"/>
      <c r="G599" s="252"/>
      <c r="H599" s="252"/>
      <c r="I599" s="252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  <c r="AA599" s="268"/>
      <c r="AB599" s="268"/>
      <c r="AC599" s="268"/>
      <c r="AD599" s="268"/>
      <c r="AE599" s="268"/>
    </row>
    <row r="600" spans="1:31" ht="15.75" customHeight="1">
      <c r="A600" s="252"/>
      <c r="B600" s="252"/>
      <c r="C600" s="252"/>
      <c r="D600" s="252"/>
      <c r="E600" s="252"/>
      <c r="F600" s="252"/>
      <c r="G600" s="252"/>
      <c r="H600" s="252"/>
      <c r="I600" s="252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  <c r="AA600" s="268"/>
      <c r="AB600" s="268"/>
      <c r="AC600" s="268"/>
      <c r="AD600" s="268"/>
      <c r="AE600" s="268"/>
    </row>
    <row r="601" spans="1:31" ht="15.75" customHeight="1">
      <c r="A601" s="252"/>
      <c r="B601" s="252"/>
      <c r="C601" s="252"/>
      <c r="D601" s="252"/>
      <c r="E601" s="252"/>
      <c r="F601" s="252"/>
      <c r="G601" s="252"/>
      <c r="H601" s="252"/>
      <c r="I601" s="252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  <c r="AA601" s="268"/>
      <c r="AB601" s="268"/>
      <c r="AC601" s="268"/>
      <c r="AD601" s="268"/>
      <c r="AE601" s="268"/>
    </row>
    <row r="602" spans="1:31" ht="15.75" customHeight="1">
      <c r="A602" s="252"/>
      <c r="B602" s="252"/>
      <c r="C602" s="252"/>
      <c r="D602" s="252"/>
      <c r="E602" s="252"/>
      <c r="F602" s="252"/>
      <c r="G602" s="252"/>
      <c r="H602" s="252"/>
      <c r="I602" s="252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  <c r="AA602" s="268"/>
      <c r="AB602" s="268"/>
      <c r="AC602" s="268"/>
      <c r="AD602" s="268"/>
      <c r="AE602" s="268"/>
    </row>
    <row r="603" spans="1:31" ht="15.75" customHeight="1">
      <c r="A603" s="252"/>
      <c r="B603" s="252"/>
      <c r="C603" s="252"/>
      <c r="D603" s="252"/>
      <c r="E603" s="252"/>
      <c r="F603" s="252"/>
      <c r="G603" s="252"/>
      <c r="H603" s="252"/>
      <c r="I603" s="252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  <c r="AA603" s="268"/>
      <c r="AB603" s="268"/>
      <c r="AC603" s="268"/>
      <c r="AD603" s="268"/>
      <c r="AE603" s="268"/>
    </row>
    <row r="604" spans="1:31" ht="15.75" customHeight="1">
      <c r="A604" s="252"/>
      <c r="B604" s="252"/>
      <c r="C604" s="252"/>
      <c r="D604" s="252"/>
      <c r="E604" s="252"/>
      <c r="F604" s="252"/>
      <c r="G604" s="252"/>
      <c r="H604" s="252"/>
      <c r="I604" s="252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  <c r="AA604" s="268"/>
      <c r="AB604" s="268"/>
      <c r="AC604" s="268"/>
      <c r="AD604" s="268"/>
      <c r="AE604" s="268"/>
    </row>
    <row r="605" spans="1:31" ht="15.75" customHeight="1">
      <c r="A605" s="252"/>
      <c r="B605" s="252"/>
      <c r="C605" s="252"/>
      <c r="D605" s="252"/>
      <c r="E605" s="252"/>
      <c r="F605" s="252"/>
      <c r="G605" s="252"/>
      <c r="H605" s="252"/>
      <c r="I605" s="252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  <c r="AA605" s="268"/>
      <c r="AB605" s="268"/>
      <c r="AC605" s="268"/>
      <c r="AD605" s="268"/>
      <c r="AE605" s="268"/>
    </row>
    <row r="606" spans="1:31" ht="15.75" customHeight="1">
      <c r="A606" s="252"/>
      <c r="B606" s="252"/>
      <c r="C606" s="252"/>
      <c r="D606" s="252"/>
      <c r="E606" s="252"/>
      <c r="F606" s="252"/>
      <c r="G606" s="252"/>
      <c r="H606" s="252"/>
      <c r="I606" s="252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  <c r="AA606" s="268"/>
      <c r="AB606" s="268"/>
      <c r="AC606" s="268"/>
      <c r="AD606" s="268"/>
      <c r="AE606" s="268"/>
    </row>
    <row r="607" spans="1:31" ht="15.75" customHeight="1">
      <c r="A607" s="252"/>
      <c r="B607" s="252"/>
      <c r="C607" s="252"/>
      <c r="D607" s="252"/>
      <c r="E607" s="252"/>
      <c r="F607" s="252"/>
      <c r="G607" s="252"/>
      <c r="H607" s="252"/>
      <c r="I607" s="252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  <c r="AA607" s="268"/>
      <c r="AB607" s="268"/>
      <c r="AC607" s="268"/>
      <c r="AD607" s="268"/>
      <c r="AE607" s="268"/>
    </row>
    <row r="608" spans="1:31" ht="15.75" customHeight="1">
      <c r="A608" s="252"/>
      <c r="B608" s="252"/>
      <c r="C608" s="252"/>
      <c r="D608" s="252"/>
      <c r="E608" s="252"/>
      <c r="F608" s="252"/>
      <c r="G608" s="252"/>
      <c r="H608" s="252"/>
      <c r="I608" s="252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  <c r="AA608" s="268"/>
      <c r="AB608" s="268"/>
      <c r="AC608" s="268"/>
      <c r="AD608" s="268"/>
      <c r="AE608" s="268"/>
    </row>
    <row r="609" spans="1:31" ht="15.75" customHeight="1">
      <c r="A609" s="252"/>
      <c r="B609" s="252"/>
      <c r="C609" s="252"/>
      <c r="D609" s="252"/>
      <c r="E609" s="252"/>
      <c r="F609" s="252"/>
      <c r="G609" s="252"/>
      <c r="H609" s="252"/>
      <c r="I609" s="252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  <c r="AA609" s="268"/>
      <c r="AB609" s="268"/>
      <c r="AC609" s="268"/>
      <c r="AD609" s="268"/>
      <c r="AE609" s="268"/>
    </row>
    <row r="610" spans="1:31" ht="15.75" customHeight="1">
      <c r="A610" s="252"/>
      <c r="B610" s="252"/>
      <c r="C610" s="252"/>
      <c r="D610" s="252"/>
      <c r="E610" s="252"/>
      <c r="F610" s="252"/>
      <c r="G610" s="252"/>
      <c r="H610" s="252"/>
      <c r="I610" s="252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  <c r="AA610" s="268"/>
      <c r="AB610" s="268"/>
      <c r="AC610" s="268"/>
      <c r="AD610" s="268"/>
      <c r="AE610" s="268"/>
    </row>
    <row r="611" spans="1:31" ht="15.75" customHeight="1">
      <c r="A611" s="252"/>
      <c r="B611" s="252"/>
      <c r="C611" s="252"/>
      <c r="D611" s="252"/>
      <c r="E611" s="252"/>
      <c r="F611" s="252"/>
      <c r="G611" s="252"/>
      <c r="H611" s="252"/>
      <c r="I611" s="252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  <c r="AA611" s="268"/>
      <c r="AB611" s="268"/>
      <c r="AC611" s="268"/>
      <c r="AD611" s="268"/>
      <c r="AE611" s="268"/>
    </row>
    <row r="612" spans="1:31" ht="15.75" customHeight="1">
      <c r="A612" s="252"/>
      <c r="B612" s="252"/>
      <c r="C612" s="252"/>
      <c r="D612" s="252"/>
      <c r="E612" s="252"/>
      <c r="F612" s="252"/>
      <c r="G612" s="252"/>
      <c r="H612" s="252"/>
      <c r="I612" s="252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  <c r="AA612" s="268"/>
      <c r="AB612" s="268"/>
      <c r="AC612" s="268"/>
      <c r="AD612" s="268"/>
      <c r="AE612" s="268"/>
    </row>
    <row r="613" spans="1:31" ht="15.75" customHeight="1">
      <c r="A613" s="252"/>
      <c r="B613" s="252"/>
      <c r="C613" s="252"/>
      <c r="D613" s="252"/>
      <c r="E613" s="252"/>
      <c r="F613" s="252"/>
      <c r="G613" s="252"/>
      <c r="H613" s="252"/>
      <c r="I613" s="252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  <c r="AA613" s="268"/>
      <c r="AB613" s="268"/>
      <c r="AC613" s="268"/>
      <c r="AD613" s="268"/>
      <c r="AE613" s="268"/>
    </row>
    <row r="614" spans="1:31" ht="15.75" customHeight="1">
      <c r="A614" s="252"/>
      <c r="B614" s="252"/>
      <c r="C614" s="252"/>
      <c r="D614" s="252"/>
      <c r="E614" s="252"/>
      <c r="F614" s="252"/>
      <c r="G614" s="252"/>
      <c r="H614" s="252"/>
      <c r="I614" s="252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  <c r="AA614" s="268"/>
      <c r="AB614" s="268"/>
      <c r="AC614" s="268"/>
      <c r="AD614" s="268"/>
      <c r="AE614" s="268"/>
    </row>
    <row r="615" spans="1:31" ht="15.75" customHeight="1">
      <c r="A615" s="252"/>
      <c r="B615" s="252"/>
      <c r="C615" s="252"/>
      <c r="D615" s="252"/>
      <c r="E615" s="252"/>
      <c r="F615" s="252"/>
      <c r="G615" s="252"/>
      <c r="H615" s="252"/>
      <c r="I615" s="252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  <c r="AA615" s="268"/>
      <c r="AB615" s="268"/>
      <c r="AC615" s="268"/>
      <c r="AD615" s="268"/>
      <c r="AE615" s="268"/>
    </row>
    <row r="616" spans="1:31" ht="15.75" customHeight="1">
      <c r="A616" s="252"/>
      <c r="B616" s="252"/>
      <c r="C616" s="252"/>
      <c r="D616" s="252"/>
      <c r="E616" s="252"/>
      <c r="F616" s="252"/>
      <c r="G616" s="252"/>
      <c r="H616" s="252"/>
      <c r="I616" s="252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  <c r="AA616" s="268"/>
      <c r="AB616" s="268"/>
      <c r="AC616" s="268"/>
      <c r="AD616" s="268"/>
      <c r="AE616" s="268"/>
    </row>
    <row r="617" spans="1:31" ht="15.75" customHeight="1">
      <c r="A617" s="252"/>
      <c r="B617" s="252"/>
      <c r="C617" s="252"/>
      <c r="D617" s="252"/>
      <c r="E617" s="252"/>
      <c r="F617" s="252"/>
      <c r="G617" s="252"/>
      <c r="H617" s="252"/>
      <c r="I617" s="252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  <c r="AA617" s="268"/>
      <c r="AB617" s="268"/>
      <c r="AC617" s="268"/>
      <c r="AD617" s="268"/>
      <c r="AE617" s="268"/>
    </row>
    <row r="618" spans="1:31" ht="15.75" customHeight="1">
      <c r="A618" s="252"/>
      <c r="B618" s="252"/>
      <c r="C618" s="252"/>
      <c r="D618" s="252"/>
      <c r="E618" s="252"/>
      <c r="F618" s="252"/>
      <c r="G618" s="252"/>
      <c r="H618" s="252"/>
      <c r="I618" s="252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  <c r="AA618" s="268"/>
      <c r="AB618" s="268"/>
      <c r="AC618" s="268"/>
      <c r="AD618" s="268"/>
      <c r="AE618" s="268"/>
    </row>
    <row r="619" spans="1:31" ht="15.75" customHeight="1">
      <c r="A619" s="252"/>
      <c r="B619" s="252"/>
      <c r="C619" s="252"/>
      <c r="D619" s="252"/>
      <c r="E619" s="252"/>
      <c r="F619" s="252"/>
      <c r="G619" s="252"/>
      <c r="H619" s="252"/>
      <c r="I619" s="252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  <c r="AA619" s="268"/>
      <c r="AB619" s="268"/>
      <c r="AC619" s="268"/>
      <c r="AD619" s="268"/>
      <c r="AE619" s="268"/>
    </row>
    <row r="620" spans="1:31" ht="15.75" customHeight="1">
      <c r="A620" s="252"/>
      <c r="B620" s="252"/>
      <c r="C620" s="252"/>
      <c r="D620" s="252"/>
      <c r="E620" s="252"/>
      <c r="F620" s="252"/>
      <c r="G620" s="252"/>
      <c r="H620" s="252"/>
      <c r="I620" s="252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  <c r="AA620" s="268"/>
      <c r="AB620" s="268"/>
      <c r="AC620" s="268"/>
      <c r="AD620" s="268"/>
      <c r="AE620" s="268"/>
    </row>
    <row r="621" spans="1:31" ht="15.75" customHeight="1">
      <c r="A621" s="252"/>
      <c r="B621" s="252"/>
      <c r="C621" s="252"/>
      <c r="D621" s="252"/>
      <c r="E621" s="252"/>
      <c r="F621" s="252"/>
      <c r="G621" s="252"/>
      <c r="H621" s="252"/>
      <c r="I621" s="252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  <c r="AA621" s="268"/>
      <c r="AB621" s="268"/>
      <c r="AC621" s="268"/>
      <c r="AD621" s="268"/>
      <c r="AE621" s="268"/>
    </row>
    <row r="622" spans="1:31" ht="15.75" customHeight="1">
      <c r="A622" s="252"/>
      <c r="B622" s="252"/>
      <c r="C622" s="252"/>
      <c r="D622" s="252"/>
      <c r="E622" s="252"/>
      <c r="F622" s="252"/>
      <c r="G622" s="252"/>
      <c r="H622" s="252"/>
      <c r="I622" s="252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  <c r="AA622" s="268"/>
      <c r="AB622" s="268"/>
      <c r="AC622" s="268"/>
      <c r="AD622" s="268"/>
      <c r="AE622" s="268"/>
    </row>
    <row r="623" spans="1:31" ht="15.75" customHeight="1">
      <c r="A623" s="252"/>
      <c r="B623" s="252"/>
      <c r="C623" s="252"/>
      <c r="D623" s="252"/>
      <c r="E623" s="252"/>
      <c r="F623" s="252"/>
      <c r="G623" s="252"/>
      <c r="H623" s="252"/>
      <c r="I623" s="252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  <c r="AA623" s="268"/>
      <c r="AB623" s="268"/>
      <c r="AC623" s="268"/>
      <c r="AD623" s="268"/>
      <c r="AE623" s="268"/>
    </row>
    <row r="624" spans="1:31" ht="15.75" customHeight="1">
      <c r="A624" s="252"/>
      <c r="B624" s="252"/>
      <c r="C624" s="252"/>
      <c r="D624" s="252"/>
      <c r="E624" s="252"/>
      <c r="F624" s="252"/>
      <c r="G624" s="252"/>
      <c r="H624" s="252"/>
      <c r="I624" s="252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  <c r="AA624" s="268"/>
      <c r="AB624" s="268"/>
      <c r="AC624" s="268"/>
      <c r="AD624" s="268"/>
      <c r="AE624" s="268"/>
    </row>
    <row r="625" spans="1:31" ht="15.75" customHeight="1">
      <c r="A625" s="252"/>
      <c r="B625" s="252"/>
      <c r="C625" s="252"/>
      <c r="D625" s="252"/>
      <c r="E625" s="252"/>
      <c r="F625" s="252"/>
      <c r="G625" s="252"/>
      <c r="H625" s="252"/>
      <c r="I625" s="252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  <c r="AA625" s="268"/>
      <c r="AB625" s="268"/>
      <c r="AC625" s="268"/>
      <c r="AD625" s="268"/>
      <c r="AE625" s="268"/>
    </row>
    <row r="626" spans="1:31" ht="15.75" customHeight="1">
      <c r="A626" s="252"/>
      <c r="B626" s="252"/>
      <c r="C626" s="252"/>
      <c r="D626" s="252"/>
      <c r="E626" s="252"/>
      <c r="F626" s="252"/>
      <c r="G626" s="252"/>
      <c r="H626" s="252"/>
      <c r="I626" s="252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  <c r="AA626" s="268"/>
      <c r="AB626" s="268"/>
      <c r="AC626" s="268"/>
      <c r="AD626" s="268"/>
      <c r="AE626" s="268"/>
    </row>
    <row r="627" spans="1:31" ht="15.75" customHeight="1">
      <c r="A627" s="252"/>
      <c r="B627" s="252"/>
      <c r="C627" s="252"/>
      <c r="D627" s="252"/>
      <c r="E627" s="252"/>
      <c r="F627" s="252"/>
      <c r="G627" s="252"/>
      <c r="H627" s="252"/>
      <c r="I627" s="252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  <c r="AA627" s="268"/>
      <c r="AB627" s="268"/>
      <c r="AC627" s="268"/>
      <c r="AD627" s="268"/>
      <c r="AE627" s="268"/>
    </row>
    <row r="628" spans="1:31" ht="15.75" customHeight="1">
      <c r="A628" s="252"/>
      <c r="B628" s="252"/>
      <c r="C628" s="252"/>
      <c r="D628" s="252"/>
      <c r="E628" s="252"/>
      <c r="F628" s="252"/>
      <c r="G628" s="252"/>
      <c r="H628" s="252"/>
      <c r="I628" s="252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  <c r="AA628" s="268"/>
      <c r="AB628" s="268"/>
      <c r="AC628" s="268"/>
      <c r="AD628" s="268"/>
      <c r="AE628" s="268"/>
    </row>
    <row r="629" spans="1:31" ht="15.75" customHeight="1">
      <c r="A629" s="252"/>
      <c r="B629" s="252"/>
      <c r="C629" s="252"/>
      <c r="D629" s="252"/>
      <c r="E629" s="252"/>
      <c r="F629" s="252"/>
      <c r="G629" s="252"/>
      <c r="H629" s="252"/>
      <c r="I629" s="252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  <c r="AA629" s="268"/>
      <c r="AB629" s="268"/>
      <c r="AC629" s="268"/>
      <c r="AD629" s="268"/>
      <c r="AE629" s="268"/>
    </row>
    <row r="630" spans="1:31" ht="15.75" customHeight="1">
      <c r="A630" s="252"/>
      <c r="B630" s="252"/>
      <c r="C630" s="252"/>
      <c r="D630" s="252"/>
      <c r="E630" s="252"/>
      <c r="F630" s="252"/>
      <c r="G630" s="252"/>
      <c r="H630" s="252"/>
      <c r="I630" s="252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  <c r="AA630" s="268"/>
      <c r="AB630" s="268"/>
      <c r="AC630" s="268"/>
      <c r="AD630" s="268"/>
      <c r="AE630" s="268"/>
    </row>
    <row r="631" spans="1:31" ht="15.75" customHeight="1">
      <c r="A631" s="252"/>
      <c r="B631" s="252"/>
      <c r="C631" s="252"/>
      <c r="D631" s="252"/>
      <c r="E631" s="252"/>
      <c r="F631" s="252"/>
      <c r="G631" s="252"/>
      <c r="H631" s="252"/>
      <c r="I631" s="252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  <c r="AA631" s="268"/>
      <c r="AB631" s="268"/>
      <c r="AC631" s="268"/>
      <c r="AD631" s="268"/>
      <c r="AE631" s="268"/>
    </row>
    <row r="632" spans="1:31" ht="15.75" customHeight="1">
      <c r="A632" s="252"/>
      <c r="B632" s="252"/>
      <c r="C632" s="252"/>
      <c r="D632" s="252"/>
      <c r="E632" s="252"/>
      <c r="F632" s="252"/>
      <c r="G632" s="252"/>
      <c r="H632" s="252"/>
      <c r="I632" s="252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  <c r="AA632" s="268"/>
      <c r="AB632" s="268"/>
      <c r="AC632" s="268"/>
      <c r="AD632" s="268"/>
      <c r="AE632" s="268"/>
    </row>
    <row r="633" spans="1:31" ht="15.75" customHeight="1">
      <c r="A633" s="252"/>
      <c r="B633" s="252"/>
      <c r="C633" s="252"/>
      <c r="D633" s="252"/>
      <c r="E633" s="252"/>
      <c r="F633" s="252"/>
      <c r="G633" s="252"/>
      <c r="H633" s="252"/>
      <c r="I633" s="252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  <c r="AA633" s="268"/>
      <c r="AB633" s="268"/>
      <c r="AC633" s="268"/>
      <c r="AD633" s="268"/>
      <c r="AE633" s="268"/>
    </row>
    <row r="634" spans="1:31" ht="15.75" customHeight="1">
      <c r="A634" s="252"/>
      <c r="B634" s="252"/>
      <c r="C634" s="252"/>
      <c r="D634" s="252"/>
      <c r="E634" s="252"/>
      <c r="F634" s="252"/>
      <c r="G634" s="252"/>
      <c r="H634" s="252"/>
      <c r="I634" s="252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  <c r="AA634" s="268"/>
      <c r="AB634" s="268"/>
      <c r="AC634" s="268"/>
      <c r="AD634" s="268"/>
      <c r="AE634" s="268"/>
    </row>
    <row r="635" spans="1:31" ht="15.75" customHeight="1">
      <c r="A635" s="252"/>
      <c r="B635" s="252"/>
      <c r="C635" s="252"/>
      <c r="D635" s="252"/>
      <c r="E635" s="252"/>
      <c r="F635" s="252"/>
      <c r="G635" s="252"/>
      <c r="H635" s="252"/>
      <c r="I635" s="252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  <c r="AA635" s="268"/>
      <c r="AB635" s="268"/>
      <c r="AC635" s="268"/>
      <c r="AD635" s="268"/>
      <c r="AE635" s="268"/>
    </row>
    <row r="636" spans="1:31" ht="15.75" customHeight="1">
      <c r="A636" s="252"/>
      <c r="B636" s="252"/>
      <c r="C636" s="252"/>
      <c r="D636" s="252"/>
      <c r="E636" s="252"/>
      <c r="F636" s="252"/>
      <c r="G636" s="252"/>
      <c r="H636" s="252"/>
      <c r="I636" s="252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  <c r="AA636" s="268"/>
      <c r="AB636" s="268"/>
      <c r="AC636" s="268"/>
      <c r="AD636" s="268"/>
      <c r="AE636" s="268"/>
    </row>
    <row r="637" spans="1:31" ht="15.75" customHeight="1">
      <c r="A637" s="252"/>
      <c r="B637" s="252"/>
      <c r="C637" s="252"/>
      <c r="D637" s="252"/>
      <c r="E637" s="252"/>
      <c r="F637" s="252"/>
      <c r="G637" s="252"/>
      <c r="H637" s="252"/>
      <c r="I637" s="252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  <c r="AA637" s="268"/>
      <c r="AB637" s="268"/>
      <c r="AC637" s="268"/>
      <c r="AD637" s="268"/>
      <c r="AE637" s="268"/>
    </row>
    <row r="638" spans="1:31" ht="15.75" customHeight="1">
      <c r="A638" s="252"/>
      <c r="B638" s="252"/>
      <c r="C638" s="252"/>
      <c r="D638" s="252"/>
      <c r="E638" s="252"/>
      <c r="F638" s="252"/>
      <c r="G638" s="252"/>
      <c r="H638" s="252"/>
      <c r="I638" s="252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  <c r="AA638" s="268"/>
      <c r="AB638" s="268"/>
      <c r="AC638" s="268"/>
      <c r="AD638" s="268"/>
      <c r="AE638" s="268"/>
    </row>
    <row r="639" spans="1:31" ht="15.75" customHeight="1">
      <c r="A639" s="252"/>
      <c r="B639" s="252"/>
      <c r="C639" s="252"/>
      <c r="D639" s="252"/>
      <c r="E639" s="252"/>
      <c r="F639" s="252"/>
      <c r="G639" s="252"/>
      <c r="H639" s="252"/>
      <c r="I639" s="252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  <c r="AA639" s="268"/>
      <c r="AB639" s="268"/>
      <c r="AC639" s="268"/>
      <c r="AD639" s="268"/>
      <c r="AE639" s="268"/>
    </row>
    <row r="640" spans="1:31" ht="15.75" customHeight="1">
      <c r="A640" s="252"/>
      <c r="B640" s="252"/>
      <c r="C640" s="252"/>
      <c r="D640" s="252"/>
      <c r="E640" s="252"/>
      <c r="F640" s="252"/>
      <c r="G640" s="252"/>
      <c r="H640" s="252"/>
      <c r="I640" s="252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  <c r="AA640" s="268"/>
      <c r="AB640" s="268"/>
      <c r="AC640" s="268"/>
      <c r="AD640" s="268"/>
      <c r="AE640" s="268"/>
    </row>
    <row r="641" spans="1:31" ht="15.75" customHeight="1">
      <c r="A641" s="252"/>
      <c r="B641" s="252"/>
      <c r="C641" s="252"/>
      <c r="D641" s="252"/>
      <c r="E641" s="252"/>
      <c r="F641" s="252"/>
      <c r="G641" s="252"/>
      <c r="H641" s="252"/>
      <c r="I641" s="252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  <c r="AA641" s="268"/>
      <c r="AB641" s="268"/>
      <c r="AC641" s="268"/>
      <c r="AD641" s="268"/>
      <c r="AE641" s="268"/>
    </row>
    <row r="642" spans="1:31" ht="15.75" customHeight="1">
      <c r="A642" s="252"/>
      <c r="B642" s="252"/>
      <c r="C642" s="252"/>
      <c r="D642" s="252"/>
      <c r="E642" s="252"/>
      <c r="F642" s="252"/>
      <c r="G642" s="252"/>
      <c r="H642" s="252"/>
      <c r="I642" s="252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  <c r="AA642" s="268"/>
      <c r="AB642" s="268"/>
      <c r="AC642" s="268"/>
      <c r="AD642" s="268"/>
      <c r="AE642" s="268"/>
    </row>
    <row r="643" spans="1:31" ht="15.75" customHeight="1">
      <c r="A643" s="252"/>
      <c r="B643" s="252"/>
      <c r="C643" s="252"/>
      <c r="D643" s="252"/>
      <c r="E643" s="252"/>
      <c r="F643" s="252"/>
      <c r="G643" s="252"/>
      <c r="H643" s="252"/>
      <c r="I643" s="252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  <c r="AA643" s="268"/>
      <c r="AB643" s="268"/>
      <c r="AC643" s="268"/>
      <c r="AD643" s="268"/>
      <c r="AE643" s="268"/>
    </row>
    <row r="644" spans="1:31" ht="15.75" customHeight="1">
      <c r="A644" s="252"/>
      <c r="B644" s="252"/>
      <c r="C644" s="252"/>
      <c r="D644" s="252"/>
      <c r="E644" s="252"/>
      <c r="F644" s="252"/>
      <c r="G644" s="252"/>
      <c r="H644" s="252"/>
      <c r="I644" s="252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  <c r="AA644" s="268"/>
      <c r="AB644" s="268"/>
      <c r="AC644" s="268"/>
      <c r="AD644" s="268"/>
      <c r="AE644" s="268"/>
    </row>
    <row r="645" spans="1:31" ht="15.75" customHeight="1">
      <c r="A645" s="252"/>
      <c r="B645" s="252"/>
      <c r="C645" s="252"/>
      <c r="D645" s="252"/>
      <c r="E645" s="252"/>
      <c r="F645" s="252"/>
      <c r="G645" s="252"/>
      <c r="H645" s="252"/>
      <c r="I645" s="252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  <c r="AA645" s="268"/>
      <c r="AB645" s="268"/>
      <c r="AC645" s="268"/>
      <c r="AD645" s="268"/>
      <c r="AE645" s="268"/>
    </row>
    <row r="646" spans="1:31" ht="15.75" customHeight="1">
      <c r="A646" s="252"/>
      <c r="B646" s="252"/>
      <c r="C646" s="252"/>
      <c r="D646" s="252"/>
      <c r="E646" s="252"/>
      <c r="F646" s="252"/>
      <c r="G646" s="252"/>
      <c r="H646" s="252"/>
      <c r="I646" s="252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  <c r="AA646" s="268"/>
      <c r="AB646" s="268"/>
      <c r="AC646" s="268"/>
      <c r="AD646" s="268"/>
      <c r="AE646" s="268"/>
    </row>
    <row r="647" spans="1:31" ht="15.75" customHeight="1">
      <c r="A647" s="252"/>
      <c r="B647" s="252"/>
      <c r="C647" s="252"/>
      <c r="D647" s="252"/>
      <c r="E647" s="252"/>
      <c r="F647" s="252"/>
      <c r="G647" s="252"/>
      <c r="H647" s="252"/>
      <c r="I647" s="252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  <c r="AA647" s="268"/>
      <c r="AB647" s="268"/>
      <c r="AC647" s="268"/>
      <c r="AD647" s="268"/>
      <c r="AE647" s="268"/>
    </row>
    <row r="648" spans="1:31" ht="15.75" customHeight="1">
      <c r="A648" s="252"/>
      <c r="B648" s="252"/>
      <c r="C648" s="252"/>
      <c r="D648" s="252"/>
      <c r="E648" s="252"/>
      <c r="F648" s="252"/>
      <c r="G648" s="252"/>
      <c r="H648" s="252"/>
      <c r="I648" s="252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  <c r="AA648" s="268"/>
      <c r="AB648" s="268"/>
      <c r="AC648" s="268"/>
      <c r="AD648" s="268"/>
      <c r="AE648" s="268"/>
    </row>
    <row r="649" spans="1:31" ht="15.75" customHeight="1">
      <c r="A649" s="252"/>
      <c r="B649" s="252"/>
      <c r="C649" s="252"/>
      <c r="D649" s="252"/>
      <c r="E649" s="252"/>
      <c r="F649" s="252"/>
      <c r="G649" s="252"/>
      <c r="H649" s="252"/>
      <c r="I649" s="252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  <c r="AA649" s="268"/>
      <c r="AB649" s="268"/>
      <c r="AC649" s="268"/>
      <c r="AD649" s="268"/>
      <c r="AE649" s="268"/>
    </row>
    <row r="650" spans="1:31" ht="15.75" customHeight="1">
      <c r="A650" s="252"/>
      <c r="B650" s="252"/>
      <c r="C650" s="252"/>
      <c r="D650" s="252"/>
      <c r="E650" s="252"/>
      <c r="F650" s="252"/>
      <c r="G650" s="252"/>
      <c r="H650" s="252"/>
      <c r="I650" s="252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  <c r="AA650" s="268"/>
      <c r="AB650" s="268"/>
      <c r="AC650" s="268"/>
      <c r="AD650" s="268"/>
      <c r="AE650" s="268"/>
    </row>
    <row r="651" spans="1:31" ht="15.75" customHeight="1">
      <c r="A651" s="252"/>
      <c r="B651" s="252"/>
      <c r="C651" s="252"/>
      <c r="D651" s="252"/>
      <c r="E651" s="252"/>
      <c r="F651" s="252"/>
      <c r="G651" s="252"/>
      <c r="H651" s="252"/>
      <c r="I651" s="252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  <c r="AA651" s="268"/>
      <c r="AB651" s="268"/>
      <c r="AC651" s="268"/>
      <c r="AD651" s="268"/>
      <c r="AE651" s="268"/>
    </row>
    <row r="652" spans="1:31" ht="15.75" customHeight="1">
      <c r="A652" s="252"/>
      <c r="B652" s="252"/>
      <c r="C652" s="252"/>
      <c r="D652" s="252"/>
      <c r="E652" s="252"/>
      <c r="F652" s="252"/>
      <c r="G652" s="252"/>
      <c r="H652" s="252"/>
      <c r="I652" s="252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  <c r="AA652" s="268"/>
      <c r="AB652" s="268"/>
      <c r="AC652" s="268"/>
      <c r="AD652" s="268"/>
      <c r="AE652" s="268"/>
    </row>
    <row r="653" spans="1:31" ht="15.75" customHeight="1">
      <c r="A653" s="252"/>
      <c r="B653" s="252"/>
      <c r="C653" s="252"/>
      <c r="D653" s="252"/>
      <c r="E653" s="252"/>
      <c r="F653" s="252"/>
      <c r="G653" s="252"/>
      <c r="H653" s="252"/>
      <c r="I653" s="252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  <c r="AA653" s="268"/>
      <c r="AB653" s="268"/>
      <c r="AC653" s="268"/>
      <c r="AD653" s="268"/>
      <c r="AE653" s="268"/>
    </row>
    <row r="654" spans="1:31" ht="15.75" customHeight="1">
      <c r="A654" s="252"/>
      <c r="B654" s="252"/>
      <c r="C654" s="252"/>
      <c r="D654" s="252"/>
      <c r="E654" s="252"/>
      <c r="F654" s="252"/>
      <c r="G654" s="252"/>
      <c r="H654" s="252"/>
      <c r="I654" s="252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  <c r="AA654" s="268"/>
      <c r="AB654" s="268"/>
      <c r="AC654" s="268"/>
      <c r="AD654" s="268"/>
      <c r="AE654" s="268"/>
    </row>
    <row r="655" spans="1:31" ht="15.75" customHeight="1">
      <c r="A655" s="252"/>
      <c r="B655" s="252"/>
      <c r="C655" s="252"/>
      <c r="D655" s="252"/>
      <c r="E655" s="252"/>
      <c r="F655" s="252"/>
      <c r="G655" s="252"/>
      <c r="H655" s="252"/>
      <c r="I655" s="252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  <c r="AA655" s="268"/>
      <c r="AB655" s="268"/>
      <c r="AC655" s="268"/>
      <c r="AD655" s="268"/>
      <c r="AE655" s="268"/>
    </row>
    <row r="656" spans="1:31" ht="15.75" customHeight="1">
      <c r="A656" s="252"/>
      <c r="B656" s="252"/>
      <c r="C656" s="252"/>
      <c r="D656" s="252"/>
      <c r="E656" s="252"/>
      <c r="F656" s="252"/>
      <c r="G656" s="252"/>
      <c r="H656" s="252"/>
      <c r="I656" s="252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  <c r="AA656" s="268"/>
      <c r="AB656" s="268"/>
      <c r="AC656" s="268"/>
      <c r="AD656" s="268"/>
      <c r="AE656" s="268"/>
    </row>
    <row r="657" spans="1:31" ht="15.75" customHeight="1">
      <c r="A657" s="252"/>
      <c r="B657" s="252"/>
      <c r="C657" s="252"/>
      <c r="D657" s="252"/>
      <c r="E657" s="252"/>
      <c r="F657" s="252"/>
      <c r="G657" s="252"/>
      <c r="H657" s="252"/>
      <c r="I657" s="252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  <c r="AA657" s="268"/>
      <c r="AB657" s="268"/>
      <c r="AC657" s="268"/>
      <c r="AD657" s="268"/>
      <c r="AE657" s="268"/>
    </row>
    <row r="658" spans="1:31" ht="15.75" customHeight="1">
      <c r="A658" s="252"/>
      <c r="B658" s="252"/>
      <c r="C658" s="252"/>
      <c r="D658" s="252"/>
      <c r="E658" s="252"/>
      <c r="F658" s="252"/>
      <c r="G658" s="252"/>
      <c r="H658" s="252"/>
      <c r="I658" s="252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  <c r="AA658" s="268"/>
      <c r="AB658" s="268"/>
      <c r="AC658" s="268"/>
      <c r="AD658" s="268"/>
      <c r="AE658" s="268"/>
    </row>
    <row r="659" spans="1:31" ht="15.75" customHeight="1">
      <c r="A659" s="252"/>
      <c r="B659" s="252"/>
      <c r="C659" s="252"/>
      <c r="D659" s="252"/>
      <c r="E659" s="252"/>
      <c r="F659" s="252"/>
      <c r="G659" s="252"/>
      <c r="H659" s="252"/>
      <c r="I659" s="252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  <c r="AA659" s="268"/>
      <c r="AB659" s="268"/>
      <c r="AC659" s="268"/>
      <c r="AD659" s="268"/>
      <c r="AE659" s="268"/>
    </row>
    <row r="660" spans="1:31" ht="15.75" customHeight="1">
      <c r="A660" s="252"/>
      <c r="B660" s="252"/>
      <c r="C660" s="252"/>
      <c r="D660" s="252"/>
      <c r="E660" s="252"/>
      <c r="F660" s="252"/>
      <c r="G660" s="252"/>
      <c r="H660" s="252"/>
      <c r="I660" s="252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  <c r="AA660" s="268"/>
      <c r="AB660" s="268"/>
      <c r="AC660" s="268"/>
      <c r="AD660" s="268"/>
      <c r="AE660" s="268"/>
    </row>
    <row r="661" spans="1:31" ht="15.75" customHeight="1">
      <c r="A661" s="252"/>
      <c r="B661" s="252"/>
      <c r="C661" s="252"/>
      <c r="D661" s="252"/>
      <c r="E661" s="252"/>
      <c r="F661" s="252"/>
      <c r="G661" s="252"/>
      <c r="H661" s="252"/>
      <c r="I661" s="252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  <c r="AA661" s="268"/>
      <c r="AB661" s="268"/>
      <c r="AC661" s="268"/>
      <c r="AD661" s="268"/>
      <c r="AE661" s="268"/>
    </row>
    <row r="662" spans="1:31" ht="15.75" customHeight="1">
      <c r="A662" s="252"/>
      <c r="B662" s="252"/>
      <c r="C662" s="252"/>
      <c r="D662" s="252"/>
      <c r="E662" s="252"/>
      <c r="F662" s="252"/>
      <c r="G662" s="252"/>
      <c r="H662" s="252"/>
      <c r="I662" s="252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  <c r="AA662" s="268"/>
      <c r="AB662" s="268"/>
      <c r="AC662" s="268"/>
      <c r="AD662" s="268"/>
      <c r="AE662" s="268"/>
    </row>
    <row r="663" spans="1:31" ht="15.75" customHeight="1">
      <c r="A663" s="252"/>
      <c r="B663" s="252"/>
      <c r="C663" s="252"/>
      <c r="D663" s="252"/>
      <c r="E663" s="252"/>
      <c r="F663" s="252"/>
      <c r="G663" s="252"/>
      <c r="H663" s="252"/>
      <c r="I663" s="252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  <c r="AA663" s="268"/>
      <c r="AB663" s="268"/>
      <c r="AC663" s="268"/>
      <c r="AD663" s="268"/>
      <c r="AE663" s="268"/>
    </row>
    <row r="664" spans="1:31" ht="15.75" customHeight="1">
      <c r="A664" s="252"/>
      <c r="B664" s="252"/>
      <c r="C664" s="252"/>
      <c r="D664" s="252"/>
      <c r="E664" s="252"/>
      <c r="F664" s="252"/>
      <c r="G664" s="252"/>
      <c r="H664" s="252"/>
      <c r="I664" s="252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  <c r="AA664" s="268"/>
      <c r="AB664" s="268"/>
      <c r="AC664" s="268"/>
      <c r="AD664" s="268"/>
      <c r="AE664" s="268"/>
    </row>
    <row r="665" spans="1:31" ht="15.75" customHeight="1">
      <c r="A665" s="252"/>
      <c r="B665" s="252"/>
      <c r="C665" s="252"/>
      <c r="D665" s="252"/>
      <c r="E665" s="252"/>
      <c r="F665" s="252"/>
      <c r="G665" s="252"/>
      <c r="H665" s="252"/>
      <c r="I665" s="252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  <c r="AA665" s="268"/>
      <c r="AB665" s="268"/>
      <c r="AC665" s="268"/>
      <c r="AD665" s="268"/>
      <c r="AE665" s="268"/>
    </row>
    <row r="666" spans="1:31" ht="15.75" customHeight="1">
      <c r="A666" s="252"/>
      <c r="B666" s="252"/>
      <c r="C666" s="252"/>
      <c r="D666" s="252"/>
      <c r="E666" s="252"/>
      <c r="F666" s="252"/>
      <c r="G666" s="252"/>
      <c r="H666" s="252"/>
      <c r="I666" s="252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  <c r="AA666" s="268"/>
      <c r="AB666" s="268"/>
      <c r="AC666" s="268"/>
      <c r="AD666" s="268"/>
      <c r="AE666" s="268"/>
    </row>
    <row r="667" spans="1:31" ht="15.75" customHeight="1">
      <c r="A667" s="252"/>
      <c r="B667" s="252"/>
      <c r="C667" s="252"/>
      <c r="D667" s="252"/>
      <c r="E667" s="252"/>
      <c r="F667" s="252"/>
      <c r="G667" s="252"/>
      <c r="H667" s="252"/>
      <c r="I667" s="252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  <c r="AA667" s="268"/>
      <c r="AB667" s="268"/>
      <c r="AC667" s="268"/>
      <c r="AD667" s="268"/>
      <c r="AE667" s="268"/>
    </row>
    <row r="668" spans="1:31" ht="15.75" customHeight="1">
      <c r="A668" s="252"/>
      <c r="B668" s="252"/>
      <c r="C668" s="252"/>
      <c r="D668" s="252"/>
      <c r="E668" s="252"/>
      <c r="F668" s="252"/>
      <c r="G668" s="252"/>
      <c r="H668" s="252"/>
      <c r="I668" s="252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  <c r="AA668" s="268"/>
      <c r="AB668" s="268"/>
      <c r="AC668" s="268"/>
      <c r="AD668" s="268"/>
      <c r="AE668" s="268"/>
    </row>
    <row r="669" spans="1:31" ht="15.75" customHeight="1">
      <c r="A669" s="252"/>
      <c r="B669" s="252"/>
      <c r="C669" s="252"/>
      <c r="D669" s="252"/>
      <c r="E669" s="252"/>
      <c r="F669" s="252"/>
      <c r="G669" s="252"/>
      <c r="H669" s="252"/>
      <c r="I669" s="252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  <c r="AA669" s="268"/>
      <c r="AB669" s="268"/>
      <c r="AC669" s="268"/>
      <c r="AD669" s="268"/>
      <c r="AE669" s="268"/>
    </row>
    <row r="670" spans="1:31" ht="15.75" customHeight="1">
      <c r="A670" s="252"/>
      <c r="B670" s="252"/>
      <c r="C670" s="252"/>
      <c r="D670" s="252"/>
      <c r="E670" s="252"/>
      <c r="F670" s="252"/>
      <c r="G670" s="252"/>
      <c r="H670" s="252"/>
      <c r="I670" s="252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  <c r="AA670" s="268"/>
      <c r="AB670" s="268"/>
      <c r="AC670" s="268"/>
      <c r="AD670" s="268"/>
      <c r="AE670" s="268"/>
    </row>
    <row r="671" spans="1:31" ht="15.75" customHeight="1">
      <c r="A671" s="252"/>
      <c r="B671" s="252"/>
      <c r="C671" s="252"/>
      <c r="D671" s="252"/>
      <c r="E671" s="252"/>
      <c r="F671" s="252"/>
      <c r="G671" s="252"/>
      <c r="H671" s="252"/>
      <c r="I671" s="252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  <c r="AA671" s="268"/>
      <c r="AB671" s="268"/>
      <c r="AC671" s="268"/>
      <c r="AD671" s="268"/>
      <c r="AE671" s="268"/>
    </row>
    <row r="672" spans="1:31" ht="15.75" customHeight="1">
      <c r="A672" s="252"/>
      <c r="B672" s="252"/>
      <c r="C672" s="252"/>
      <c r="D672" s="252"/>
      <c r="E672" s="252"/>
      <c r="F672" s="252"/>
      <c r="G672" s="252"/>
      <c r="H672" s="252"/>
      <c r="I672" s="252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  <c r="AA672" s="268"/>
      <c r="AB672" s="268"/>
      <c r="AC672" s="268"/>
      <c r="AD672" s="268"/>
      <c r="AE672" s="268"/>
    </row>
    <row r="673" spans="1:31" ht="15.75" customHeight="1">
      <c r="A673" s="252"/>
      <c r="B673" s="252"/>
      <c r="C673" s="252"/>
      <c r="D673" s="252"/>
      <c r="E673" s="252"/>
      <c r="F673" s="252"/>
      <c r="G673" s="252"/>
      <c r="H673" s="252"/>
      <c r="I673" s="252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  <c r="AA673" s="268"/>
      <c r="AB673" s="268"/>
      <c r="AC673" s="268"/>
      <c r="AD673" s="268"/>
      <c r="AE673" s="268"/>
    </row>
    <row r="674" spans="1:31" ht="15.75" customHeight="1">
      <c r="A674" s="252"/>
      <c r="B674" s="252"/>
      <c r="C674" s="252"/>
      <c r="D674" s="252"/>
      <c r="E674" s="252"/>
      <c r="F674" s="252"/>
      <c r="G674" s="252"/>
      <c r="H674" s="252"/>
      <c r="I674" s="252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  <c r="AA674" s="268"/>
      <c r="AB674" s="268"/>
      <c r="AC674" s="268"/>
      <c r="AD674" s="268"/>
      <c r="AE674" s="268"/>
    </row>
    <row r="675" spans="1:31" ht="15.75" customHeight="1">
      <c r="A675" s="252"/>
      <c r="B675" s="252"/>
      <c r="C675" s="252"/>
      <c r="D675" s="252"/>
      <c r="E675" s="252"/>
      <c r="F675" s="252"/>
      <c r="G675" s="252"/>
      <c r="H675" s="252"/>
      <c r="I675" s="252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  <c r="AA675" s="268"/>
      <c r="AB675" s="268"/>
      <c r="AC675" s="268"/>
      <c r="AD675" s="268"/>
      <c r="AE675" s="268"/>
    </row>
    <row r="676" spans="1:31" ht="15.75" customHeight="1">
      <c r="A676" s="252"/>
      <c r="B676" s="252"/>
      <c r="C676" s="252"/>
      <c r="D676" s="252"/>
      <c r="E676" s="252"/>
      <c r="F676" s="252"/>
      <c r="G676" s="252"/>
      <c r="H676" s="252"/>
      <c r="I676" s="252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  <c r="AA676" s="268"/>
      <c r="AB676" s="268"/>
      <c r="AC676" s="268"/>
      <c r="AD676" s="268"/>
      <c r="AE676" s="268"/>
    </row>
    <row r="677" spans="1:31" ht="15.75" customHeight="1">
      <c r="A677" s="252"/>
      <c r="B677" s="252"/>
      <c r="C677" s="252"/>
      <c r="D677" s="252"/>
      <c r="E677" s="252"/>
      <c r="F677" s="252"/>
      <c r="G677" s="252"/>
      <c r="H677" s="252"/>
      <c r="I677" s="252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  <c r="AA677" s="268"/>
      <c r="AB677" s="268"/>
      <c r="AC677" s="268"/>
      <c r="AD677" s="268"/>
      <c r="AE677" s="268"/>
    </row>
    <row r="678" spans="1:31" ht="15.75" customHeight="1">
      <c r="A678" s="252"/>
      <c r="B678" s="252"/>
      <c r="C678" s="252"/>
      <c r="D678" s="252"/>
      <c r="E678" s="252"/>
      <c r="F678" s="252"/>
      <c r="G678" s="252"/>
      <c r="H678" s="252"/>
      <c r="I678" s="252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  <c r="AA678" s="268"/>
      <c r="AB678" s="268"/>
      <c r="AC678" s="268"/>
      <c r="AD678" s="268"/>
      <c r="AE678" s="268"/>
    </row>
    <row r="679" spans="1:31" ht="15.75" customHeight="1">
      <c r="A679" s="252"/>
      <c r="B679" s="252"/>
      <c r="C679" s="252"/>
      <c r="D679" s="252"/>
      <c r="E679" s="252"/>
      <c r="F679" s="252"/>
      <c r="G679" s="252"/>
      <c r="H679" s="252"/>
      <c r="I679" s="252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  <c r="AA679" s="268"/>
      <c r="AB679" s="268"/>
      <c r="AC679" s="268"/>
      <c r="AD679" s="268"/>
      <c r="AE679" s="268"/>
    </row>
    <row r="680" spans="1:31" ht="15.75" customHeight="1">
      <c r="A680" s="252"/>
      <c r="B680" s="252"/>
      <c r="C680" s="252"/>
      <c r="D680" s="252"/>
      <c r="E680" s="252"/>
      <c r="F680" s="252"/>
      <c r="G680" s="252"/>
      <c r="H680" s="252"/>
      <c r="I680" s="252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  <c r="AA680" s="268"/>
      <c r="AB680" s="268"/>
      <c r="AC680" s="268"/>
      <c r="AD680" s="268"/>
      <c r="AE680" s="268"/>
    </row>
    <row r="681" spans="1:31" ht="15.75" customHeight="1">
      <c r="A681" s="252"/>
      <c r="B681" s="252"/>
      <c r="C681" s="252"/>
      <c r="D681" s="252"/>
      <c r="E681" s="252"/>
      <c r="F681" s="252"/>
      <c r="G681" s="252"/>
      <c r="H681" s="252"/>
      <c r="I681" s="252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  <c r="AA681" s="268"/>
      <c r="AB681" s="268"/>
      <c r="AC681" s="268"/>
      <c r="AD681" s="268"/>
      <c r="AE681" s="268"/>
    </row>
    <row r="682" spans="1:31" ht="15.75" customHeight="1">
      <c r="A682" s="252"/>
      <c r="B682" s="252"/>
      <c r="C682" s="252"/>
      <c r="D682" s="252"/>
      <c r="E682" s="252"/>
      <c r="F682" s="252"/>
      <c r="G682" s="252"/>
      <c r="H682" s="252"/>
      <c r="I682" s="252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  <c r="AA682" s="268"/>
      <c r="AB682" s="268"/>
      <c r="AC682" s="268"/>
      <c r="AD682" s="268"/>
      <c r="AE682" s="268"/>
    </row>
    <row r="683" spans="1:31" ht="15.75" customHeight="1">
      <c r="A683" s="252"/>
      <c r="B683" s="252"/>
      <c r="C683" s="252"/>
      <c r="D683" s="252"/>
      <c r="E683" s="252"/>
      <c r="F683" s="252"/>
      <c r="G683" s="252"/>
      <c r="H683" s="252"/>
      <c r="I683" s="252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  <c r="AA683" s="268"/>
      <c r="AB683" s="268"/>
      <c r="AC683" s="268"/>
      <c r="AD683" s="268"/>
      <c r="AE683" s="268"/>
    </row>
    <row r="684" spans="1:31" ht="15.75" customHeight="1">
      <c r="A684" s="252"/>
      <c r="B684" s="252"/>
      <c r="C684" s="252"/>
      <c r="D684" s="252"/>
      <c r="E684" s="252"/>
      <c r="F684" s="252"/>
      <c r="G684" s="252"/>
      <c r="H684" s="252"/>
      <c r="I684" s="252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  <c r="AA684" s="268"/>
      <c r="AB684" s="268"/>
      <c r="AC684" s="268"/>
      <c r="AD684" s="268"/>
      <c r="AE684" s="268"/>
    </row>
    <row r="685" spans="1:31" ht="15.75" customHeight="1">
      <c r="A685" s="252"/>
      <c r="B685" s="252"/>
      <c r="C685" s="252"/>
      <c r="D685" s="252"/>
      <c r="E685" s="252"/>
      <c r="F685" s="252"/>
      <c r="G685" s="252"/>
      <c r="H685" s="252"/>
      <c r="I685" s="252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  <c r="AA685" s="268"/>
      <c r="AB685" s="268"/>
      <c r="AC685" s="268"/>
      <c r="AD685" s="268"/>
      <c r="AE685" s="268"/>
    </row>
    <row r="686" spans="1:31" ht="15.75" customHeight="1">
      <c r="A686" s="252"/>
      <c r="B686" s="252"/>
      <c r="C686" s="252"/>
      <c r="D686" s="252"/>
      <c r="E686" s="252"/>
      <c r="F686" s="252"/>
      <c r="G686" s="252"/>
      <c r="H686" s="252"/>
      <c r="I686" s="252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  <c r="AA686" s="268"/>
      <c r="AB686" s="268"/>
      <c r="AC686" s="268"/>
      <c r="AD686" s="268"/>
      <c r="AE686" s="268"/>
    </row>
    <row r="687" spans="1:31" ht="15.75" customHeight="1">
      <c r="A687" s="252"/>
      <c r="B687" s="252"/>
      <c r="C687" s="252"/>
      <c r="D687" s="252"/>
      <c r="E687" s="252"/>
      <c r="F687" s="252"/>
      <c r="G687" s="252"/>
      <c r="H687" s="252"/>
      <c r="I687" s="252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  <c r="AA687" s="268"/>
      <c r="AB687" s="268"/>
      <c r="AC687" s="268"/>
      <c r="AD687" s="268"/>
      <c r="AE687" s="268"/>
    </row>
    <row r="688" spans="1:31" ht="15.75" customHeight="1">
      <c r="A688" s="252"/>
      <c r="B688" s="252"/>
      <c r="C688" s="252"/>
      <c r="D688" s="252"/>
      <c r="E688" s="252"/>
      <c r="F688" s="252"/>
      <c r="G688" s="252"/>
      <c r="H688" s="252"/>
      <c r="I688" s="252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  <c r="AA688" s="268"/>
      <c r="AB688" s="268"/>
      <c r="AC688" s="268"/>
      <c r="AD688" s="268"/>
      <c r="AE688" s="268"/>
    </row>
    <row r="689" spans="1:31" ht="15.75" customHeight="1">
      <c r="A689" s="252"/>
      <c r="B689" s="252"/>
      <c r="C689" s="252"/>
      <c r="D689" s="252"/>
      <c r="E689" s="252"/>
      <c r="F689" s="252"/>
      <c r="G689" s="252"/>
      <c r="H689" s="252"/>
      <c r="I689" s="252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  <c r="AA689" s="268"/>
      <c r="AB689" s="268"/>
      <c r="AC689" s="268"/>
      <c r="AD689" s="268"/>
      <c r="AE689" s="268"/>
    </row>
    <row r="690" spans="1:31" ht="15.75" customHeight="1">
      <c r="A690" s="252"/>
      <c r="B690" s="252"/>
      <c r="C690" s="252"/>
      <c r="D690" s="252"/>
      <c r="E690" s="252"/>
      <c r="F690" s="252"/>
      <c r="G690" s="252"/>
      <c r="H690" s="252"/>
      <c r="I690" s="252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  <c r="AA690" s="268"/>
      <c r="AB690" s="268"/>
      <c r="AC690" s="268"/>
      <c r="AD690" s="268"/>
      <c r="AE690" s="268"/>
    </row>
    <row r="691" spans="1:31" ht="15.75" customHeight="1">
      <c r="A691" s="252"/>
      <c r="B691" s="252"/>
      <c r="C691" s="252"/>
      <c r="D691" s="252"/>
      <c r="E691" s="252"/>
      <c r="F691" s="252"/>
      <c r="G691" s="252"/>
      <c r="H691" s="252"/>
      <c r="I691" s="252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  <c r="AA691" s="268"/>
      <c r="AB691" s="268"/>
      <c r="AC691" s="268"/>
      <c r="AD691" s="268"/>
      <c r="AE691" s="268"/>
    </row>
    <row r="692" spans="1:31" ht="15.75" customHeight="1">
      <c r="A692" s="252"/>
      <c r="B692" s="252"/>
      <c r="C692" s="252"/>
      <c r="D692" s="252"/>
      <c r="E692" s="252"/>
      <c r="F692" s="252"/>
      <c r="G692" s="252"/>
      <c r="H692" s="252"/>
      <c r="I692" s="252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  <c r="AA692" s="268"/>
      <c r="AB692" s="268"/>
      <c r="AC692" s="268"/>
      <c r="AD692" s="268"/>
      <c r="AE692" s="268"/>
    </row>
    <row r="693" spans="1:31" ht="15.75" customHeight="1">
      <c r="A693" s="252"/>
      <c r="B693" s="252"/>
      <c r="C693" s="252"/>
      <c r="D693" s="252"/>
      <c r="E693" s="252"/>
      <c r="F693" s="252"/>
      <c r="G693" s="252"/>
      <c r="H693" s="252"/>
      <c r="I693" s="252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  <c r="AA693" s="268"/>
      <c r="AB693" s="268"/>
      <c r="AC693" s="268"/>
      <c r="AD693" s="268"/>
      <c r="AE693" s="268"/>
    </row>
    <row r="694" spans="1:31" ht="15.75" customHeight="1">
      <c r="A694" s="252"/>
      <c r="B694" s="252"/>
      <c r="C694" s="252"/>
      <c r="D694" s="252"/>
      <c r="E694" s="252"/>
      <c r="F694" s="252"/>
      <c r="G694" s="252"/>
      <c r="H694" s="252"/>
      <c r="I694" s="252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  <c r="AA694" s="268"/>
      <c r="AB694" s="268"/>
      <c r="AC694" s="268"/>
      <c r="AD694" s="268"/>
      <c r="AE694" s="268"/>
    </row>
    <row r="695" spans="1:31" ht="15.75" customHeight="1">
      <c r="A695" s="252"/>
      <c r="B695" s="252"/>
      <c r="C695" s="252"/>
      <c r="D695" s="252"/>
      <c r="E695" s="252"/>
      <c r="F695" s="252"/>
      <c r="G695" s="252"/>
      <c r="H695" s="252"/>
      <c r="I695" s="252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  <c r="AA695" s="268"/>
      <c r="AB695" s="268"/>
      <c r="AC695" s="268"/>
      <c r="AD695" s="268"/>
      <c r="AE695" s="268"/>
    </row>
    <row r="696" spans="1:31" ht="15.75" customHeight="1">
      <c r="A696" s="252"/>
      <c r="B696" s="252"/>
      <c r="C696" s="252"/>
      <c r="D696" s="252"/>
      <c r="E696" s="252"/>
      <c r="F696" s="252"/>
      <c r="G696" s="252"/>
      <c r="H696" s="252"/>
      <c r="I696" s="252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  <c r="AA696" s="268"/>
      <c r="AB696" s="268"/>
      <c r="AC696" s="268"/>
      <c r="AD696" s="268"/>
      <c r="AE696" s="268"/>
    </row>
    <row r="697" spans="1:31" ht="15.75" customHeight="1">
      <c r="A697" s="252"/>
      <c r="B697" s="252"/>
      <c r="C697" s="252"/>
      <c r="D697" s="252"/>
      <c r="E697" s="252"/>
      <c r="F697" s="252"/>
      <c r="G697" s="252"/>
      <c r="H697" s="252"/>
      <c r="I697" s="252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  <c r="AA697" s="268"/>
      <c r="AB697" s="268"/>
      <c r="AC697" s="268"/>
      <c r="AD697" s="268"/>
      <c r="AE697" s="268"/>
    </row>
    <row r="698" spans="1:31" ht="15.75" customHeight="1">
      <c r="A698" s="252"/>
      <c r="B698" s="252"/>
      <c r="C698" s="252"/>
      <c r="D698" s="252"/>
      <c r="E698" s="252"/>
      <c r="F698" s="252"/>
      <c r="G698" s="252"/>
      <c r="H698" s="252"/>
      <c r="I698" s="252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  <c r="AA698" s="268"/>
      <c r="AB698" s="268"/>
      <c r="AC698" s="268"/>
      <c r="AD698" s="268"/>
      <c r="AE698" s="268"/>
    </row>
    <row r="699" spans="1:31" ht="15.75" customHeight="1">
      <c r="A699" s="252"/>
      <c r="B699" s="252"/>
      <c r="C699" s="252"/>
      <c r="D699" s="252"/>
      <c r="E699" s="252"/>
      <c r="F699" s="252"/>
      <c r="G699" s="252"/>
      <c r="H699" s="252"/>
      <c r="I699" s="252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  <c r="AA699" s="268"/>
      <c r="AB699" s="268"/>
      <c r="AC699" s="268"/>
      <c r="AD699" s="268"/>
      <c r="AE699" s="268"/>
    </row>
    <row r="700" spans="1:31" ht="15.75" customHeight="1">
      <c r="A700" s="252"/>
      <c r="B700" s="252"/>
      <c r="C700" s="252"/>
      <c r="D700" s="252"/>
      <c r="E700" s="252"/>
      <c r="F700" s="252"/>
      <c r="G700" s="252"/>
      <c r="H700" s="252"/>
      <c r="I700" s="252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  <c r="AA700" s="268"/>
      <c r="AB700" s="268"/>
      <c r="AC700" s="268"/>
      <c r="AD700" s="268"/>
      <c r="AE700" s="268"/>
    </row>
    <row r="701" spans="1:31" ht="15.75" customHeight="1">
      <c r="A701" s="252"/>
      <c r="B701" s="252"/>
      <c r="C701" s="252"/>
      <c r="D701" s="252"/>
      <c r="E701" s="252"/>
      <c r="F701" s="252"/>
      <c r="G701" s="252"/>
      <c r="H701" s="252"/>
      <c r="I701" s="252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  <c r="AA701" s="268"/>
      <c r="AB701" s="268"/>
      <c r="AC701" s="268"/>
      <c r="AD701" s="268"/>
      <c r="AE701" s="268"/>
    </row>
    <row r="702" spans="1:31" ht="15.75" customHeight="1">
      <c r="A702" s="252"/>
      <c r="B702" s="252"/>
      <c r="C702" s="252"/>
      <c r="D702" s="252"/>
      <c r="E702" s="252"/>
      <c r="F702" s="252"/>
      <c r="G702" s="252"/>
      <c r="H702" s="252"/>
      <c r="I702" s="252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  <c r="AA702" s="268"/>
      <c r="AB702" s="268"/>
      <c r="AC702" s="268"/>
      <c r="AD702" s="268"/>
      <c r="AE702" s="268"/>
    </row>
    <row r="703" spans="1:31" ht="15.75" customHeight="1">
      <c r="A703" s="252"/>
      <c r="B703" s="252"/>
      <c r="C703" s="252"/>
      <c r="D703" s="252"/>
      <c r="E703" s="252"/>
      <c r="F703" s="252"/>
      <c r="G703" s="252"/>
      <c r="H703" s="252"/>
      <c r="I703" s="252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  <c r="AA703" s="268"/>
      <c r="AB703" s="268"/>
      <c r="AC703" s="268"/>
      <c r="AD703" s="268"/>
      <c r="AE703" s="268"/>
    </row>
    <row r="704" spans="1:31" ht="15.75" customHeight="1">
      <c r="A704" s="252"/>
      <c r="B704" s="252"/>
      <c r="C704" s="252"/>
      <c r="D704" s="252"/>
      <c r="E704" s="252"/>
      <c r="F704" s="252"/>
      <c r="G704" s="252"/>
      <c r="H704" s="252"/>
      <c r="I704" s="252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  <c r="AA704" s="268"/>
      <c r="AB704" s="268"/>
      <c r="AC704" s="268"/>
      <c r="AD704" s="268"/>
      <c r="AE704" s="268"/>
    </row>
    <row r="705" spans="1:31" ht="15.75" customHeight="1">
      <c r="A705" s="252"/>
      <c r="B705" s="252"/>
      <c r="C705" s="252"/>
      <c r="D705" s="252"/>
      <c r="E705" s="252"/>
      <c r="F705" s="252"/>
      <c r="G705" s="252"/>
      <c r="H705" s="252"/>
      <c r="I705" s="252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  <c r="AA705" s="268"/>
      <c r="AB705" s="268"/>
      <c r="AC705" s="268"/>
      <c r="AD705" s="268"/>
      <c r="AE705" s="268"/>
    </row>
    <row r="706" spans="1:31" ht="15.75" customHeight="1">
      <c r="A706" s="252"/>
      <c r="B706" s="252"/>
      <c r="C706" s="252"/>
      <c r="D706" s="252"/>
      <c r="E706" s="252"/>
      <c r="F706" s="252"/>
      <c r="G706" s="252"/>
      <c r="H706" s="252"/>
      <c r="I706" s="252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  <c r="AA706" s="268"/>
      <c r="AB706" s="268"/>
      <c r="AC706" s="268"/>
      <c r="AD706" s="268"/>
      <c r="AE706" s="268"/>
    </row>
    <row r="707" spans="1:31" ht="15.75" customHeight="1">
      <c r="A707" s="252"/>
      <c r="B707" s="252"/>
      <c r="C707" s="252"/>
      <c r="D707" s="252"/>
      <c r="E707" s="252"/>
      <c r="F707" s="252"/>
      <c r="G707" s="252"/>
      <c r="H707" s="252"/>
      <c r="I707" s="252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  <c r="AA707" s="268"/>
      <c r="AB707" s="268"/>
      <c r="AC707" s="268"/>
      <c r="AD707" s="268"/>
      <c r="AE707" s="268"/>
    </row>
    <row r="708" spans="1:31" ht="15.75" customHeight="1">
      <c r="A708" s="252"/>
      <c r="B708" s="252"/>
      <c r="C708" s="252"/>
      <c r="D708" s="252"/>
      <c r="E708" s="252"/>
      <c r="F708" s="252"/>
      <c r="G708" s="252"/>
      <c r="H708" s="252"/>
      <c r="I708" s="252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  <c r="AA708" s="268"/>
      <c r="AB708" s="268"/>
      <c r="AC708" s="268"/>
      <c r="AD708" s="268"/>
      <c r="AE708" s="268"/>
    </row>
    <row r="709" spans="1:31" ht="15.75" customHeight="1">
      <c r="A709" s="252"/>
      <c r="B709" s="252"/>
      <c r="C709" s="252"/>
      <c r="D709" s="252"/>
      <c r="E709" s="252"/>
      <c r="F709" s="252"/>
      <c r="G709" s="252"/>
      <c r="H709" s="252"/>
      <c r="I709" s="252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  <c r="AA709" s="268"/>
      <c r="AB709" s="268"/>
      <c r="AC709" s="268"/>
      <c r="AD709" s="268"/>
      <c r="AE709" s="268"/>
    </row>
    <row r="710" spans="1:31" ht="15.75" customHeight="1">
      <c r="A710" s="252"/>
      <c r="B710" s="252"/>
      <c r="C710" s="252"/>
      <c r="D710" s="252"/>
      <c r="E710" s="252"/>
      <c r="F710" s="252"/>
      <c r="G710" s="252"/>
      <c r="H710" s="252"/>
      <c r="I710" s="252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  <c r="AA710" s="268"/>
      <c r="AB710" s="268"/>
      <c r="AC710" s="268"/>
      <c r="AD710" s="268"/>
      <c r="AE710" s="268"/>
    </row>
    <row r="711" spans="1:31" ht="15.75" customHeight="1">
      <c r="A711" s="252"/>
      <c r="B711" s="252"/>
      <c r="C711" s="252"/>
      <c r="D711" s="252"/>
      <c r="E711" s="252"/>
      <c r="F711" s="252"/>
      <c r="G711" s="252"/>
      <c r="H711" s="252"/>
      <c r="I711" s="252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  <c r="AA711" s="268"/>
      <c r="AB711" s="268"/>
      <c r="AC711" s="268"/>
      <c r="AD711" s="268"/>
      <c r="AE711" s="268"/>
    </row>
    <row r="712" spans="1:31" ht="15.75" customHeight="1">
      <c r="A712" s="252"/>
      <c r="B712" s="252"/>
      <c r="C712" s="252"/>
      <c r="D712" s="252"/>
      <c r="E712" s="252"/>
      <c r="F712" s="252"/>
      <c r="G712" s="252"/>
      <c r="H712" s="252"/>
      <c r="I712" s="252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  <c r="AA712" s="268"/>
      <c r="AB712" s="268"/>
      <c r="AC712" s="268"/>
      <c r="AD712" s="268"/>
      <c r="AE712" s="268"/>
    </row>
    <row r="713" spans="1:31" ht="15.75" customHeight="1">
      <c r="A713" s="252"/>
      <c r="B713" s="252"/>
      <c r="C713" s="252"/>
      <c r="D713" s="252"/>
      <c r="E713" s="252"/>
      <c r="F713" s="252"/>
      <c r="G713" s="252"/>
      <c r="H713" s="252"/>
      <c r="I713" s="252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  <c r="AA713" s="268"/>
      <c r="AB713" s="268"/>
      <c r="AC713" s="268"/>
      <c r="AD713" s="268"/>
      <c r="AE713" s="268"/>
    </row>
    <row r="714" spans="1:31" ht="15.75" customHeight="1">
      <c r="A714" s="252"/>
      <c r="B714" s="252"/>
      <c r="C714" s="252"/>
      <c r="D714" s="252"/>
      <c r="E714" s="252"/>
      <c r="F714" s="252"/>
      <c r="G714" s="252"/>
      <c r="H714" s="252"/>
      <c r="I714" s="252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  <c r="AA714" s="268"/>
      <c r="AB714" s="268"/>
      <c r="AC714" s="268"/>
      <c r="AD714" s="268"/>
      <c r="AE714" s="268"/>
    </row>
    <row r="715" spans="1:31" ht="15.75" customHeight="1">
      <c r="A715" s="252"/>
      <c r="B715" s="252"/>
      <c r="C715" s="252"/>
      <c r="D715" s="252"/>
      <c r="E715" s="252"/>
      <c r="F715" s="252"/>
      <c r="G715" s="252"/>
      <c r="H715" s="252"/>
      <c r="I715" s="252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  <c r="AA715" s="268"/>
      <c r="AB715" s="268"/>
      <c r="AC715" s="268"/>
      <c r="AD715" s="268"/>
      <c r="AE715" s="268"/>
    </row>
    <row r="716" spans="1:31" ht="15.75" customHeight="1">
      <c r="A716" s="252"/>
      <c r="B716" s="252"/>
      <c r="C716" s="252"/>
      <c r="D716" s="252"/>
      <c r="E716" s="252"/>
      <c r="F716" s="252"/>
      <c r="G716" s="252"/>
      <c r="H716" s="252"/>
      <c r="I716" s="252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  <c r="AA716" s="268"/>
      <c r="AB716" s="268"/>
      <c r="AC716" s="268"/>
      <c r="AD716" s="268"/>
      <c r="AE716" s="268"/>
    </row>
    <row r="717" spans="1:31" ht="15.75" customHeight="1">
      <c r="A717" s="252"/>
      <c r="B717" s="252"/>
      <c r="C717" s="252"/>
      <c r="D717" s="252"/>
      <c r="E717" s="252"/>
      <c r="F717" s="252"/>
      <c r="G717" s="252"/>
      <c r="H717" s="252"/>
      <c r="I717" s="252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  <c r="AA717" s="268"/>
      <c r="AB717" s="268"/>
      <c r="AC717" s="268"/>
      <c r="AD717" s="268"/>
      <c r="AE717" s="268"/>
    </row>
    <row r="718" spans="1:31" ht="15.75" customHeight="1">
      <c r="A718" s="252"/>
      <c r="B718" s="252"/>
      <c r="C718" s="252"/>
      <c r="D718" s="252"/>
      <c r="E718" s="252"/>
      <c r="F718" s="252"/>
      <c r="G718" s="252"/>
      <c r="H718" s="252"/>
      <c r="I718" s="252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  <c r="AA718" s="268"/>
      <c r="AB718" s="268"/>
      <c r="AC718" s="268"/>
      <c r="AD718" s="268"/>
      <c r="AE718" s="268"/>
    </row>
    <row r="719" spans="1:31" ht="15.75" customHeight="1">
      <c r="A719" s="252"/>
      <c r="B719" s="252"/>
      <c r="C719" s="252"/>
      <c r="D719" s="252"/>
      <c r="E719" s="252"/>
      <c r="F719" s="252"/>
      <c r="G719" s="252"/>
      <c r="H719" s="252"/>
      <c r="I719" s="252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  <c r="AA719" s="268"/>
      <c r="AB719" s="268"/>
      <c r="AC719" s="268"/>
      <c r="AD719" s="268"/>
      <c r="AE719" s="268"/>
    </row>
    <row r="720" spans="1:31" ht="15.75" customHeight="1">
      <c r="A720" s="252"/>
      <c r="B720" s="252"/>
      <c r="C720" s="252"/>
      <c r="D720" s="252"/>
      <c r="E720" s="252"/>
      <c r="F720" s="252"/>
      <c r="G720" s="252"/>
      <c r="H720" s="252"/>
      <c r="I720" s="252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  <c r="AA720" s="268"/>
      <c r="AB720" s="268"/>
      <c r="AC720" s="268"/>
      <c r="AD720" s="268"/>
      <c r="AE720" s="268"/>
    </row>
    <row r="721" spans="1:31" ht="15.75" customHeight="1">
      <c r="A721" s="252"/>
      <c r="B721" s="252"/>
      <c r="C721" s="252"/>
      <c r="D721" s="252"/>
      <c r="E721" s="252"/>
      <c r="F721" s="252"/>
      <c r="G721" s="252"/>
      <c r="H721" s="252"/>
      <c r="I721" s="252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  <c r="AA721" s="268"/>
      <c r="AB721" s="268"/>
      <c r="AC721" s="268"/>
      <c r="AD721" s="268"/>
      <c r="AE721" s="268"/>
    </row>
    <row r="722" spans="1:31" ht="15.75" customHeight="1">
      <c r="A722" s="252"/>
      <c r="B722" s="252"/>
      <c r="C722" s="252"/>
      <c r="D722" s="252"/>
      <c r="E722" s="252"/>
      <c r="F722" s="252"/>
      <c r="G722" s="252"/>
      <c r="H722" s="252"/>
      <c r="I722" s="252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  <c r="AA722" s="268"/>
      <c r="AB722" s="268"/>
      <c r="AC722" s="268"/>
      <c r="AD722" s="268"/>
      <c r="AE722" s="268"/>
    </row>
    <row r="723" spans="1:31" ht="15.75" customHeight="1">
      <c r="A723" s="252"/>
      <c r="B723" s="252"/>
      <c r="C723" s="252"/>
      <c r="D723" s="252"/>
      <c r="E723" s="252"/>
      <c r="F723" s="252"/>
      <c r="G723" s="252"/>
      <c r="H723" s="252"/>
      <c r="I723" s="252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  <c r="AA723" s="268"/>
      <c r="AB723" s="268"/>
      <c r="AC723" s="268"/>
      <c r="AD723" s="268"/>
      <c r="AE723" s="268"/>
    </row>
    <row r="724" spans="1:31" ht="15.75" customHeight="1">
      <c r="A724" s="252"/>
      <c r="B724" s="252"/>
      <c r="C724" s="252"/>
      <c r="D724" s="252"/>
      <c r="E724" s="252"/>
      <c r="F724" s="252"/>
      <c r="G724" s="252"/>
      <c r="H724" s="252"/>
      <c r="I724" s="252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  <c r="AA724" s="268"/>
      <c r="AB724" s="268"/>
      <c r="AC724" s="268"/>
      <c r="AD724" s="268"/>
      <c r="AE724" s="268"/>
    </row>
    <row r="725" spans="1:31" ht="15.75" customHeight="1">
      <c r="A725" s="252"/>
      <c r="B725" s="252"/>
      <c r="C725" s="252"/>
      <c r="D725" s="252"/>
      <c r="E725" s="252"/>
      <c r="F725" s="252"/>
      <c r="G725" s="252"/>
      <c r="H725" s="252"/>
      <c r="I725" s="252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  <c r="AA725" s="268"/>
      <c r="AB725" s="268"/>
      <c r="AC725" s="268"/>
      <c r="AD725" s="268"/>
      <c r="AE725" s="268"/>
    </row>
    <row r="726" spans="1:31" ht="15.75" customHeight="1">
      <c r="A726" s="252"/>
      <c r="B726" s="252"/>
      <c r="C726" s="252"/>
      <c r="D726" s="252"/>
      <c r="E726" s="252"/>
      <c r="F726" s="252"/>
      <c r="G726" s="252"/>
      <c r="H726" s="252"/>
      <c r="I726" s="252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  <c r="AA726" s="268"/>
      <c r="AB726" s="268"/>
      <c r="AC726" s="268"/>
      <c r="AD726" s="268"/>
      <c r="AE726" s="268"/>
    </row>
    <row r="727" spans="1:31" ht="15.75" customHeight="1">
      <c r="A727" s="252"/>
      <c r="B727" s="252"/>
      <c r="C727" s="252"/>
      <c r="D727" s="252"/>
      <c r="E727" s="252"/>
      <c r="F727" s="252"/>
      <c r="G727" s="252"/>
      <c r="H727" s="252"/>
      <c r="I727" s="252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  <c r="AA727" s="268"/>
      <c r="AB727" s="268"/>
      <c r="AC727" s="268"/>
      <c r="AD727" s="268"/>
      <c r="AE727" s="268"/>
    </row>
    <row r="728" spans="1:31" ht="15.75" customHeight="1">
      <c r="A728" s="252"/>
      <c r="B728" s="252"/>
      <c r="C728" s="252"/>
      <c r="D728" s="252"/>
      <c r="E728" s="252"/>
      <c r="F728" s="252"/>
      <c r="G728" s="252"/>
      <c r="H728" s="252"/>
      <c r="I728" s="252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  <c r="AA728" s="268"/>
      <c r="AB728" s="268"/>
      <c r="AC728" s="268"/>
      <c r="AD728" s="268"/>
      <c r="AE728" s="268"/>
    </row>
    <row r="729" spans="1:31" ht="15.75" customHeight="1">
      <c r="A729" s="252"/>
      <c r="B729" s="252"/>
      <c r="C729" s="252"/>
      <c r="D729" s="252"/>
      <c r="E729" s="252"/>
      <c r="F729" s="252"/>
      <c r="G729" s="252"/>
      <c r="H729" s="252"/>
      <c r="I729" s="252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  <c r="AA729" s="268"/>
      <c r="AB729" s="268"/>
      <c r="AC729" s="268"/>
      <c r="AD729" s="268"/>
      <c r="AE729" s="268"/>
    </row>
    <row r="730" spans="1:31" ht="15.75" customHeight="1">
      <c r="A730" s="252"/>
      <c r="B730" s="252"/>
      <c r="C730" s="252"/>
      <c r="D730" s="252"/>
      <c r="E730" s="252"/>
      <c r="F730" s="252"/>
      <c r="G730" s="252"/>
      <c r="H730" s="252"/>
      <c r="I730" s="252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  <c r="AA730" s="268"/>
      <c r="AB730" s="268"/>
      <c r="AC730" s="268"/>
      <c r="AD730" s="268"/>
      <c r="AE730" s="268"/>
    </row>
    <row r="731" spans="1:31" ht="15.75" customHeight="1">
      <c r="A731" s="252"/>
      <c r="B731" s="252"/>
      <c r="C731" s="252"/>
      <c r="D731" s="252"/>
      <c r="E731" s="252"/>
      <c r="F731" s="252"/>
      <c r="G731" s="252"/>
      <c r="H731" s="252"/>
      <c r="I731" s="252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  <c r="AA731" s="268"/>
      <c r="AB731" s="268"/>
      <c r="AC731" s="268"/>
      <c r="AD731" s="268"/>
      <c r="AE731" s="268"/>
    </row>
    <row r="732" spans="1:31" ht="15.75" customHeight="1">
      <c r="A732" s="252"/>
      <c r="B732" s="252"/>
      <c r="C732" s="252"/>
      <c r="D732" s="252"/>
      <c r="E732" s="252"/>
      <c r="F732" s="252"/>
      <c r="G732" s="252"/>
      <c r="H732" s="252"/>
      <c r="I732" s="252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  <c r="AA732" s="268"/>
      <c r="AB732" s="268"/>
      <c r="AC732" s="268"/>
      <c r="AD732" s="268"/>
      <c r="AE732" s="268"/>
    </row>
    <row r="733" spans="1:31" ht="15.75" customHeight="1">
      <c r="A733" s="252"/>
      <c r="B733" s="252"/>
      <c r="C733" s="252"/>
      <c r="D733" s="252"/>
      <c r="E733" s="252"/>
      <c r="F733" s="252"/>
      <c r="G733" s="252"/>
      <c r="H733" s="252"/>
      <c r="I733" s="252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  <c r="AA733" s="268"/>
      <c r="AB733" s="268"/>
      <c r="AC733" s="268"/>
      <c r="AD733" s="268"/>
      <c r="AE733" s="268"/>
    </row>
    <row r="734" spans="1:31" ht="15.75" customHeight="1">
      <c r="A734" s="252"/>
      <c r="B734" s="252"/>
      <c r="C734" s="252"/>
      <c r="D734" s="252"/>
      <c r="E734" s="252"/>
      <c r="F734" s="252"/>
      <c r="G734" s="252"/>
      <c r="H734" s="252"/>
      <c r="I734" s="252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  <c r="AA734" s="268"/>
      <c r="AB734" s="268"/>
      <c r="AC734" s="268"/>
      <c r="AD734" s="268"/>
      <c r="AE734" s="268"/>
    </row>
    <row r="735" spans="1:31" ht="15.75" customHeight="1">
      <c r="A735" s="252"/>
      <c r="B735" s="252"/>
      <c r="C735" s="252"/>
      <c r="D735" s="252"/>
      <c r="E735" s="252"/>
      <c r="F735" s="252"/>
      <c r="G735" s="252"/>
      <c r="H735" s="252"/>
      <c r="I735" s="252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  <c r="AA735" s="268"/>
      <c r="AB735" s="268"/>
      <c r="AC735" s="268"/>
      <c r="AD735" s="268"/>
      <c r="AE735" s="268"/>
    </row>
    <row r="736" spans="1:31" ht="15.75" customHeight="1">
      <c r="A736" s="252"/>
      <c r="B736" s="252"/>
      <c r="C736" s="252"/>
      <c r="D736" s="252"/>
      <c r="E736" s="252"/>
      <c r="F736" s="252"/>
      <c r="G736" s="252"/>
      <c r="H736" s="252"/>
      <c r="I736" s="252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  <c r="AA736" s="268"/>
      <c r="AB736" s="268"/>
      <c r="AC736" s="268"/>
      <c r="AD736" s="268"/>
      <c r="AE736" s="268"/>
    </row>
    <row r="737" spans="1:31" ht="15.75" customHeight="1">
      <c r="A737" s="252"/>
      <c r="B737" s="252"/>
      <c r="C737" s="252"/>
      <c r="D737" s="252"/>
      <c r="E737" s="252"/>
      <c r="F737" s="252"/>
      <c r="G737" s="252"/>
      <c r="H737" s="252"/>
      <c r="I737" s="252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  <c r="AA737" s="268"/>
      <c r="AB737" s="268"/>
      <c r="AC737" s="268"/>
      <c r="AD737" s="268"/>
      <c r="AE737" s="268"/>
    </row>
    <row r="738" spans="1:31" ht="15.75" customHeight="1">
      <c r="A738" s="252"/>
      <c r="B738" s="252"/>
      <c r="C738" s="252"/>
      <c r="D738" s="252"/>
      <c r="E738" s="252"/>
      <c r="F738" s="252"/>
      <c r="G738" s="252"/>
      <c r="H738" s="252"/>
      <c r="I738" s="252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  <c r="AA738" s="268"/>
      <c r="AB738" s="268"/>
      <c r="AC738" s="268"/>
      <c r="AD738" s="268"/>
      <c r="AE738" s="268"/>
    </row>
    <row r="739" spans="1:31" ht="15.75" customHeight="1">
      <c r="A739" s="252"/>
      <c r="B739" s="252"/>
      <c r="C739" s="252"/>
      <c r="D739" s="252"/>
      <c r="E739" s="252"/>
      <c r="F739" s="252"/>
      <c r="G739" s="252"/>
      <c r="H739" s="252"/>
      <c r="I739" s="252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  <c r="AA739" s="268"/>
      <c r="AB739" s="268"/>
      <c r="AC739" s="268"/>
      <c r="AD739" s="268"/>
      <c r="AE739" s="268"/>
    </row>
    <row r="740" spans="1:31" ht="15.75" customHeight="1">
      <c r="A740" s="252"/>
      <c r="B740" s="252"/>
      <c r="C740" s="252"/>
      <c r="D740" s="252"/>
      <c r="E740" s="252"/>
      <c r="F740" s="252"/>
      <c r="G740" s="252"/>
      <c r="H740" s="252"/>
      <c r="I740" s="252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  <c r="AA740" s="268"/>
      <c r="AB740" s="268"/>
      <c r="AC740" s="268"/>
      <c r="AD740" s="268"/>
      <c r="AE740" s="268"/>
    </row>
    <row r="741" spans="1:31" ht="15.75" customHeight="1">
      <c r="A741" s="252"/>
      <c r="B741" s="252"/>
      <c r="C741" s="252"/>
      <c r="D741" s="252"/>
      <c r="E741" s="252"/>
      <c r="F741" s="252"/>
      <c r="G741" s="252"/>
      <c r="H741" s="252"/>
      <c r="I741" s="252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  <c r="AA741" s="268"/>
      <c r="AB741" s="268"/>
      <c r="AC741" s="268"/>
      <c r="AD741" s="268"/>
      <c r="AE741" s="268"/>
    </row>
    <row r="742" spans="1:31" ht="15.75" customHeight="1">
      <c r="A742" s="252"/>
      <c r="B742" s="252"/>
      <c r="C742" s="252"/>
      <c r="D742" s="252"/>
      <c r="E742" s="252"/>
      <c r="F742" s="252"/>
      <c r="G742" s="252"/>
      <c r="H742" s="252"/>
      <c r="I742" s="252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  <c r="AA742" s="268"/>
      <c r="AB742" s="268"/>
      <c r="AC742" s="268"/>
      <c r="AD742" s="268"/>
      <c r="AE742" s="268"/>
    </row>
    <row r="743" spans="1:31" ht="15.75" customHeight="1">
      <c r="A743" s="252"/>
      <c r="B743" s="252"/>
      <c r="C743" s="252"/>
      <c r="D743" s="252"/>
      <c r="E743" s="252"/>
      <c r="F743" s="252"/>
      <c r="G743" s="252"/>
      <c r="H743" s="252"/>
      <c r="I743" s="252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  <c r="AA743" s="268"/>
      <c r="AB743" s="268"/>
      <c r="AC743" s="268"/>
      <c r="AD743" s="268"/>
      <c r="AE743" s="268"/>
    </row>
    <row r="744" spans="1:31" ht="15.75" customHeight="1">
      <c r="A744" s="252"/>
      <c r="B744" s="252"/>
      <c r="C744" s="252"/>
      <c r="D744" s="252"/>
      <c r="E744" s="252"/>
      <c r="F744" s="252"/>
      <c r="G744" s="252"/>
      <c r="H744" s="252"/>
      <c r="I744" s="252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  <c r="AA744" s="268"/>
      <c r="AB744" s="268"/>
      <c r="AC744" s="268"/>
      <c r="AD744" s="268"/>
      <c r="AE744" s="268"/>
    </row>
    <row r="745" spans="1:31" ht="15.75" customHeight="1">
      <c r="A745" s="252"/>
      <c r="B745" s="252"/>
      <c r="C745" s="252"/>
      <c r="D745" s="252"/>
      <c r="E745" s="252"/>
      <c r="F745" s="252"/>
      <c r="G745" s="252"/>
      <c r="H745" s="252"/>
      <c r="I745" s="252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  <c r="AA745" s="268"/>
      <c r="AB745" s="268"/>
      <c r="AC745" s="268"/>
      <c r="AD745" s="268"/>
      <c r="AE745" s="268"/>
    </row>
    <row r="746" spans="1:31" ht="15.75" customHeight="1">
      <c r="A746" s="252"/>
      <c r="B746" s="252"/>
      <c r="C746" s="252"/>
      <c r="D746" s="252"/>
      <c r="E746" s="252"/>
      <c r="F746" s="252"/>
      <c r="G746" s="252"/>
      <c r="H746" s="252"/>
      <c r="I746" s="252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  <c r="AA746" s="268"/>
      <c r="AB746" s="268"/>
      <c r="AC746" s="268"/>
      <c r="AD746" s="268"/>
      <c r="AE746" s="268"/>
    </row>
    <row r="747" spans="1:31" ht="15.75" customHeight="1">
      <c r="A747" s="252"/>
      <c r="B747" s="252"/>
      <c r="C747" s="252"/>
      <c r="D747" s="252"/>
      <c r="E747" s="252"/>
      <c r="F747" s="252"/>
      <c r="G747" s="252"/>
      <c r="H747" s="252"/>
      <c r="I747" s="252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  <c r="AA747" s="268"/>
      <c r="AB747" s="268"/>
      <c r="AC747" s="268"/>
      <c r="AD747" s="268"/>
      <c r="AE747" s="268"/>
    </row>
    <row r="748" spans="1:31" ht="15.75" customHeight="1">
      <c r="A748" s="252"/>
      <c r="B748" s="252"/>
      <c r="C748" s="252"/>
      <c r="D748" s="252"/>
      <c r="E748" s="252"/>
      <c r="F748" s="252"/>
      <c r="G748" s="252"/>
      <c r="H748" s="252"/>
      <c r="I748" s="252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  <c r="AA748" s="268"/>
      <c r="AB748" s="268"/>
      <c r="AC748" s="268"/>
      <c r="AD748" s="268"/>
      <c r="AE748" s="268"/>
    </row>
    <row r="749" spans="1:31" ht="15.75" customHeight="1">
      <c r="A749" s="252"/>
      <c r="B749" s="252"/>
      <c r="C749" s="252"/>
      <c r="D749" s="252"/>
      <c r="E749" s="252"/>
      <c r="F749" s="252"/>
      <c r="G749" s="252"/>
      <c r="H749" s="252"/>
      <c r="I749" s="252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  <c r="AA749" s="268"/>
      <c r="AB749" s="268"/>
      <c r="AC749" s="268"/>
      <c r="AD749" s="268"/>
      <c r="AE749" s="268"/>
    </row>
    <row r="750" spans="1:31" ht="15.75" customHeight="1">
      <c r="A750" s="252"/>
      <c r="B750" s="252"/>
      <c r="C750" s="252"/>
      <c r="D750" s="252"/>
      <c r="E750" s="252"/>
      <c r="F750" s="252"/>
      <c r="G750" s="252"/>
      <c r="H750" s="252"/>
      <c r="I750" s="252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  <c r="AA750" s="268"/>
      <c r="AB750" s="268"/>
      <c r="AC750" s="268"/>
      <c r="AD750" s="268"/>
      <c r="AE750" s="268"/>
    </row>
    <row r="751" spans="1:31" ht="15.75" customHeight="1">
      <c r="A751" s="252"/>
      <c r="B751" s="252"/>
      <c r="C751" s="252"/>
      <c r="D751" s="252"/>
      <c r="E751" s="252"/>
      <c r="F751" s="252"/>
      <c r="G751" s="252"/>
      <c r="H751" s="252"/>
      <c r="I751" s="252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  <c r="AA751" s="268"/>
      <c r="AB751" s="268"/>
      <c r="AC751" s="268"/>
      <c r="AD751" s="268"/>
      <c r="AE751" s="268"/>
    </row>
    <row r="752" spans="1:31" ht="15.75" customHeight="1">
      <c r="A752" s="252"/>
      <c r="B752" s="252"/>
      <c r="C752" s="252"/>
      <c r="D752" s="252"/>
      <c r="E752" s="252"/>
      <c r="F752" s="252"/>
      <c r="G752" s="252"/>
      <c r="H752" s="252"/>
      <c r="I752" s="252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  <c r="AA752" s="268"/>
      <c r="AB752" s="268"/>
      <c r="AC752" s="268"/>
      <c r="AD752" s="268"/>
      <c r="AE752" s="268"/>
    </row>
    <row r="753" spans="1:31" ht="15.75" customHeight="1">
      <c r="A753" s="252"/>
      <c r="B753" s="252"/>
      <c r="C753" s="252"/>
      <c r="D753" s="252"/>
      <c r="E753" s="252"/>
      <c r="F753" s="252"/>
      <c r="G753" s="252"/>
      <c r="H753" s="252"/>
      <c r="I753" s="252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  <c r="AA753" s="268"/>
      <c r="AB753" s="268"/>
      <c r="AC753" s="268"/>
      <c r="AD753" s="268"/>
      <c r="AE753" s="268"/>
    </row>
    <row r="754" spans="1:31" ht="15.75" customHeight="1">
      <c r="A754" s="252"/>
      <c r="B754" s="252"/>
      <c r="C754" s="252"/>
      <c r="D754" s="252"/>
      <c r="E754" s="252"/>
      <c r="F754" s="252"/>
      <c r="G754" s="252"/>
      <c r="H754" s="252"/>
      <c r="I754" s="252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  <c r="AA754" s="268"/>
      <c r="AB754" s="268"/>
      <c r="AC754" s="268"/>
      <c r="AD754" s="268"/>
      <c r="AE754" s="268"/>
    </row>
    <row r="755" spans="1:31" ht="15.75" customHeight="1">
      <c r="A755" s="252"/>
      <c r="B755" s="252"/>
      <c r="C755" s="252"/>
      <c r="D755" s="252"/>
      <c r="E755" s="252"/>
      <c r="F755" s="252"/>
      <c r="G755" s="252"/>
      <c r="H755" s="252"/>
      <c r="I755" s="252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  <c r="AA755" s="268"/>
      <c r="AB755" s="268"/>
      <c r="AC755" s="268"/>
      <c r="AD755" s="268"/>
      <c r="AE755" s="268"/>
    </row>
    <row r="756" spans="1:31" ht="15.75" customHeight="1">
      <c r="A756" s="252"/>
      <c r="B756" s="252"/>
      <c r="C756" s="252"/>
      <c r="D756" s="252"/>
      <c r="E756" s="252"/>
      <c r="F756" s="252"/>
      <c r="G756" s="252"/>
      <c r="H756" s="252"/>
      <c r="I756" s="252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  <c r="AA756" s="268"/>
      <c r="AB756" s="268"/>
      <c r="AC756" s="268"/>
      <c r="AD756" s="268"/>
      <c r="AE756" s="268"/>
    </row>
    <row r="757" spans="1:31" ht="15.75" customHeight="1">
      <c r="A757" s="252"/>
      <c r="B757" s="252"/>
      <c r="C757" s="252"/>
      <c r="D757" s="252"/>
      <c r="E757" s="252"/>
      <c r="F757" s="252"/>
      <c r="G757" s="252"/>
      <c r="H757" s="252"/>
      <c r="I757" s="252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  <c r="AA757" s="268"/>
      <c r="AB757" s="268"/>
      <c r="AC757" s="268"/>
      <c r="AD757" s="268"/>
      <c r="AE757" s="268"/>
    </row>
    <row r="758" spans="1:31" ht="15.75" customHeight="1">
      <c r="A758" s="252"/>
      <c r="B758" s="252"/>
      <c r="C758" s="252"/>
      <c r="D758" s="252"/>
      <c r="E758" s="252"/>
      <c r="F758" s="252"/>
      <c r="G758" s="252"/>
      <c r="H758" s="252"/>
      <c r="I758" s="252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  <c r="AA758" s="268"/>
      <c r="AB758" s="268"/>
      <c r="AC758" s="268"/>
      <c r="AD758" s="268"/>
      <c r="AE758" s="268"/>
    </row>
    <row r="759" spans="1:31" ht="15.75" customHeight="1">
      <c r="A759" s="252"/>
      <c r="B759" s="252"/>
      <c r="C759" s="252"/>
      <c r="D759" s="252"/>
      <c r="E759" s="252"/>
      <c r="F759" s="252"/>
      <c r="G759" s="252"/>
      <c r="H759" s="252"/>
      <c r="I759" s="252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  <c r="AA759" s="268"/>
      <c r="AB759" s="268"/>
      <c r="AC759" s="268"/>
      <c r="AD759" s="268"/>
      <c r="AE759" s="268"/>
    </row>
    <row r="760" spans="1:31" ht="15.75" customHeight="1">
      <c r="A760" s="252"/>
      <c r="B760" s="252"/>
      <c r="C760" s="252"/>
      <c r="D760" s="252"/>
      <c r="E760" s="252"/>
      <c r="F760" s="252"/>
      <c r="G760" s="252"/>
      <c r="H760" s="252"/>
      <c r="I760" s="252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  <c r="AA760" s="268"/>
      <c r="AB760" s="268"/>
      <c r="AC760" s="268"/>
      <c r="AD760" s="268"/>
      <c r="AE760" s="268"/>
    </row>
    <row r="761" spans="1:31" ht="15.75" customHeight="1">
      <c r="A761" s="252"/>
      <c r="B761" s="252"/>
      <c r="C761" s="252"/>
      <c r="D761" s="252"/>
      <c r="E761" s="252"/>
      <c r="F761" s="252"/>
      <c r="G761" s="252"/>
      <c r="H761" s="252"/>
      <c r="I761" s="252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  <c r="AA761" s="268"/>
      <c r="AB761" s="268"/>
      <c r="AC761" s="268"/>
      <c r="AD761" s="268"/>
      <c r="AE761" s="268"/>
    </row>
    <row r="762" spans="1:31" ht="15.75" customHeight="1">
      <c r="A762" s="252"/>
      <c r="B762" s="252"/>
      <c r="C762" s="252"/>
      <c r="D762" s="252"/>
      <c r="E762" s="252"/>
      <c r="F762" s="252"/>
      <c r="G762" s="252"/>
      <c r="H762" s="252"/>
      <c r="I762" s="252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  <c r="AA762" s="268"/>
      <c r="AB762" s="268"/>
      <c r="AC762" s="268"/>
      <c r="AD762" s="268"/>
      <c r="AE762" s="268"/>
    </row>
    <row r="763" spans="1:31" ht="15.75" customHeight="1">
      <c r="A763" s="252"/>
      <c r="B763" s="252"/>
      <c r="C763" s="252"/>
      <c r="D763" s="252"/>
      <c r="E763" s="252"/>
      <c r="F763" s="252"/>
      <c r="G763" s="252"/>
      <c r="H763" s="252"/>
      <c r="I763" s="252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  <c r="AA763" s="268"/>
      <c r="AB763" s="268"/>
      <c r="AC763" s="268"/>
      <c r="AD763" s="268"/>
      <c r="AE763" s="268"/>
    </row>
    <row r="764" spans="1:31" ht="15.75" customHeight="1">
      <c r="A764" s="252"/>
      <c r="B764" s="252"/>
      <c r="C764" s="252"/>
      <c r="D764" s="252"/>
      <c r="E764" s="252"/>
      <c r="F764" s="252"/>
      <c r="G764" s="252"/>
      <c r="H764" s="252"/>
      <c r="I764" s="252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  <c r="AA764" s="268"/>
      <c r="AB764" s="268"/>
      <c r="AC764" s="268"/>
      <c r="AD764" s="268"/>
      <c r="AE764" s="268"/>
    </row>
    <row r="765" spans="1:31" ht="15.75" customHeight="1">
      <c r="A765" s="252"/>
      <c r="B765" s="252"/>
      <c r="C765" s="252"/>
      <c r="D765" s="252"/>
      <c r="E765" s="252"/>
      <c r="F765" s="252"/>
      <c r="G765" s="252"/>
      <c r="H765" s="252"/>
      <c r="I765" s="252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  <c r="AA765" s="268"/>
      <c r="AB765" s="268"/>
      <c r="AC765" s="268"/>
      <c r="AD765" s="268"/>
      <c r="AE765" s="268"/>
    </row>
    <row r="766" spans="1:31" ht="15.75" customHeight="1">
      <c r="A766" s="252"/>
      <c r="B766" s="252"/>
      <c r="C766" s="252"/>
      <c r="D766" s="252"/>
      <c r="E766" s="252"/>
      <c r="F766" s="252"/>
      <c r="G766" s="252"/>
      <c r="H766" s="252"/>
      <c r="I766" s="252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  <c r="AA766" s="268"/>
      <c r="AB766" s="268"/>
      <c r="AC766" s="268"/>
      <c r="AD766" s="268"/>
      <c r="AE766" s="268"/>
    </row>
    <row r="767" spans="1:31" ht="15.75" customHeight="1">
      <c r="A767" s="252"/>
      <c r="B767" s="252"/>
      <c r="C767" s="252"/>
      <c r="D767" s="252"/>
      <c r="E767" s="252"/>
      <c r="F767" s="252"/>
      <c r="G767" s="252"/>
      <c r="H767" s="252"/>
      <c r="I767" s="252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  <c r="AA767" s="268"/>
      <c r="AB767" s="268"/>
      <c r="AC767" s="268"/>
      <c r="AD767" s="268"/>
      <c r="AE767" s="268"/>
    </row>
    <row r="768" spans="1:31" ht="15.75" customHeight="1">
      <c r="A768" s="252"/>
      <c r="B768" s="252"/>
      <c r="C768" s="252"/>
      <c r="D768" s="252"/>
      <c r="E768" s="252"/>
      <c r="F768" s="252"/>
      <c r="G768" s="252"/>
      <c r="H768" s="252"/>
      <c r="I768" s="252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  <c r="AA768" s="268"/>
      <c r="AB768" s="268"/>
      <c r="AC768" s="268"/>
      <c r="AD768" s="268"/>
      <c r="AE768" s="268"/>
    </row>
    <row r="769" spans="1:31" ht="15.75" customHeight="1">
      <c r="A769" s="252"/>
      <c r="B769" s="252"/>
      <c r="C769" s="252"/>
      <c r="D769" s="252"/>
      <c r="E769" s="252"/>
      <c r="F769" s="252"/>
      <c r="G769" s="252"/>
      <c r="H769" s="252"/>
      <c r="I769" s="252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  <c r="AA769" s="268"/>
      <c r="AB769" s="268"/>
      <c r="AC769" s="268"/>
      <c r="AD769" s="268"/>
      <c r="AE769" s="268"/>
    </row>
    <row r="770" spans="1:31" ht="15.75" customHeight="1">
      <c r="A770" s="252"/>
      <c r="B770" s="252"/>
      <c r="C770" s="252"/>
      <c r="D770" s="252"/>
      <c r="E770" s="252"/>
      <c r="F770" s="252"/>
      <c r="G770" s="252"/>
      <c r="H770" s="252"/>
      <c r="I770" s="252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  <c r="AA770" s="268"/>
      <c r="AB770" s="268"/>
      <c r="AC770" s="268"/>
      <c r="AD770" s="268"/>
      <c r="AE770" s="268"/>
    </row>
    <row r="771" spans="1:31" ht="15.75" customHeight="1">
      <c r="A771" s="252"/>
      <c r="B771" s="252"/>
      <c r="C771" s="252"/>
      <c r="D771" s="252"/>
      <c r="E771" s="252"/>
      <c r="F771" s="252"/>
      <c r="G771" s="252"/>
      <c r="H771" s="252"/>
      <c r="I771" s="252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  <c r="AA771" s="268"/>
      <c r="AB771" s="268"/>
      <c r="AC771" s="268"/>
      <c r="AD771" s="268"/>
      <c r="AE771" s="268"/>
    </row>
    <row r="772" spans="1:31" ht="15.75" customHeight="1">
      <c r="A772" s="252"/>
      <c r="B772" s="252"/>
      <c r="C772" s="252"/>
      <c r="D772" s="252"/>
      <c r="E772" s="252"/>
      <c r="F772" s="252"/>
      <c r="G772" s="252"/>
      <c r="H772" s="252"/>
      <c r="I772" s="252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  <c r="AA772" s="268"/>
      <c r="AB772" s="268"/>
      <c r="AC772" s="268"/>
      <c r="AD772" s="268"/>
      <c r="AE772" s="268"/>
    </row>
    <row r="773" spans="1:31" ht="15.75" customHeight="1">
      <c r="A773" s="252"/>
      <c r="B773" s="252"/>
      <c r="C773" s="252"/>
      <c r="D773" s="252"/>
      <c r="E773" s="252"/>
      <c r="F773" s="252"/>
      <c r="G773" s="252"/>
      <c r="H773" s="252"/>
      <c r="I773" s="252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  <c r="AA773" s="268"/>
      <c r="AB773" s="268"/>
      <c r="AC773" s="268"/>
      <c r="AD773" s="268"/>
      <c r="AE773" s="268"/>
    </row>
    <row r="774" spans="1:31" ht="15.75" customHeight="1">
      <c r="A774" s="252"/>
      <c r="B774" s="252"/>
      <c r="C774" s="252"/>
      <c r="D774" s="252"/>
      <c r="E774" s="252"/>
      <c r="F774" s="252"/>
      <c r="G774" s="252"/>
      <c r="H774" s="252"/>
      <c r="I774" s="252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  <c r="AA774" s="268"/>
      <c r="AB774" s="268"/>
      <c r="AC774" s="268"/>
      <c r="AD774" s="268"/>
      <c r="AE774" s="268"/>
    </row>
    <row r="775" spans="1:31" ht="15.75" customHeight="1">
      <c r="A775" s="252"/>
      <c r="B775" s="252"/>
      <c r="C775" s="252"/>
      <c r="D775" s="252"/>
      <c r="E775" s="252"/>
      <c r="F775" s="252"/>
      <c r="G775" s="252"/>
      <c r="H775" s="252"/>
      <c r="I775" s="252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  <c r="AA775" s="268"/>
      <c r="AB775" s="268"/>
      <c r="AC775" s="268"/>
      <c r="AD775" s="268"/>
      <c r="AE775" s="268"/>
    </row>
    <row r="776" spans="1:31" ht="15.75" customHeight="1">
      <c r="A776" s="252"/>
      <c r="B776" s="252"/>
      <c r="C776" s="252"/>
      <c r="D776" s="252"/>
      <c r="E776" s="252"/>
      <c r="F776" s="252"/>
      <c r="G776" s="252"/>
      <c r="H776" s="252"/>
      <c r="I776" s="252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  <c r="AA776" s="268"/>
      <c r="AB776" s="268"/>
      <c r="AC776" s="268"/>
      <c r="AD776" s="268"/>
      <c r="AE776" s="268"/>
    </row>
    <row r="777" spans="1:31" ht="15.75" customHeight="1">
      <c r="A777" s="252"/>
      <c r="B777" s="252"/>
      <c r="C777" s="252"/>
      <c r="D777" s="252"/>
      <c r="E777" s="252"/>
      <c r="F777" s="252"/>
      <c r="G777" s="252"/>
      <c r="H777" s="252"/>
      <c r="I777" s="252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  <c r="AA777" s="268"/>
      <c r="AB777" s="268"/>
      <c r="AC777" s="268"/>
      <c r="AD777" s="268"/>
      <c r="AE777" s="268"/>
    </row>
    <row r="778" spans="1:31" ht="15.75" customHeight="1">
      <c r="A778" s="252"/>
      <c r="B778" s="252"/>
      <c r="C778" s="252"/>
      <c r="D778" s="252"/>
      <c r="E778" s="252"/>
      <c r="F778" s="252"/>
      <c r="G778" s="252"/>
      <c r="H778" s="252"/>
      <c r="I778" s="252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  <c r="AA778" s="268"/>
      <c r="AB778" s="268"/>
      <c r="AC778" s="268"/>
      <c r="AD778" s="268"/>
      <c r="AE778" s="268"/>
    </row>
    <row r="779" spans="1:31" ht="15.75" customHeight="1">
      <c r="A779" s="252"/>
      <c r="B779" s="252"/>
      <c r="C779" s="252"/>
      <c r="D779" s="252"/>
      <c r="E779" s="252"/>
      <c r="F779" s="252"/>
      <c r="G779" s="252"/>
      <c r="H779" s="252"/>
      <c r="I779" s="252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  <c r="AA779" s="268"/>
      <c r="AB779" s="268"/>
      <c r="AC779" s="268"/>
      <c r="AD779" s="268"/>
      <c r="AE779" s="268"/>
    </row>
    <row r="780" spans="1:31" ht="15.75" customHeight="1">
      <c r="A780" s="252"/>
      <c r="B780" s="252"/>
      <c r="C780" s="252"/>
      <c r="D780" s="252"/>
      <c r="E780" s="252"/>
      <c r="F780" s="252"/>
      <c r="G780" s="252"/>
      <c r="H780" s="252"/>
      <c r="I780" s="252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  <c r="AA780" s="268"/>
      <c r="AB780" s="268"/>
      <c r="AC780" s="268"/>
      <c r="AD780" s="268"/>
      <c r="AE780" s="268"/>
    </row>
    <row r="781" spans="1:31" ht="15.75" customHeight="1">
      <c r="A781" s="252"/>
      <c r="B781" s="252"/>
      <c r="C781" s="252"/>
      <c r="D781" s="252"/>
      <c r="E781" s="252"/>
      <c r="F781" s="252"/>
      <c r="G781" s="252"/>
      <c r="H781" s="252"/>
      <c r="I781" s="252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  <c r="AA781" s="268"/>
      <c r="AB781" s="268"/>
      <c r="AC781" s="268"/>
      <c r="AD781" s="268"/>
      <c r="AE781" s="268"/>
    </row>
    <row r="782" spans="1:31" ht="15.75" customHeight="1">
      <c r="A782" s="252"/>
      <c r="B782" s="252"/>
      <c r="C782" s="252"/>
      <c r="D782" s="252"/>
      <c r="E782" s="252"/>
      <c r="F782" s="252"/>
      <c r="G782" s="252"/>
      <c r="H782" s="252"/>
      <c r="I782" s="252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  <c r="AA782" s="268"/>
      <c r="AB782" s="268"/>
      <c r="AC782" s="268"/>
      <c r="AD782" s="268"/>
      <c r="AE782" s="268"/>
    </row>
    <row r="783" spans="1:31" ht="15.75" customHeight="1">
      <c r="A783" s="252"/>
      <c r="B783" s="252"/>
      <c r="C783" s="252"/>
      <c r="D783" s="252"/>
      <c r="E783" s="252"/>
      <c r="F783" s="252"/>
      <c r="G783" s="252"/>
      <c r="H783" s="252"/>
      <c r="I783" s="252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  <c r="AA783" s="268"/>
      <c r="AB783" s="268"/>
      <c r="AC783" s="268"/>
      <c r="AD783" s="268"/>
      <c r="AE783" s="268"/>
    </row>
    <row r="784" spans="1:31" ht="15.75" customHeight="1">
      <c r="A784" s="252"/>
      <c r="B784" s="252"/>
      <c r="C784" s="252"/>
      <c r="D784" s="252"/>
      <c r="E784" s="252"/>
      <c r="F784" s="252"/>
      <c r="G784" s="252"/>
      <c r="H784" s="252"/>
      <c r="I784" s="252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  <c r="AA784" s="268"/>
      <c r="AB784" s="268"/>
      <c r="AC784" s="268"/>
      <c r="AD784" s="268"/>
      <c r="AE784" s="268"/>
    </row>
    <row r="785" spans="1:31" ht="15.75" customHeight="1">
      <c r="A785" s="252"/>
      <c r="B785" s="252"/>
      <c r="C785" s="252"/>
      <c r="D785" s="252"/>
      <c r="E785" s="252"/>
      <c r="F785" s="252"/>
      <c r="G785" s="252"/>
      <c r="H785" s="252"/>
      <c r="I785" s="252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  <c r="AA785" s="268"/>
      <c r="AB785" s="268"/>
      <c r="AC785" s="268"/>
      <c r="AD785" s="268"/>
      <c r="AE785" s="268"/>
    </row>
    <row r="786" spans="1:31" ht="15.75" customHeight="1">
      <c r="A786" s="252"/>
      <c r="B786" s="252"/>
      <c r="C786" s="252"/>
      <c r="D786" s="252"/>
      <c r="E786" s="252"/>
      <c r="F786" s="252"/>
      <c r="G786" s="252"/>
      <c r="H786" s="252"/>
      <c r="I786" s="252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  <c r="AA786" s="268"/>
      <c r="AB786" s="268"/>
      <c r="AC786" s="268"/>
      <c r="AD786" s="268"/>
      <c r="AE786" s="268"/>
    </row>
    <row r="787" spans="1:31" ht="15.75" customHeight="1">
      <c r="A787" s="252"/>
      <c r="B787" s="252"/>
      <c r="C787" s="252"/>
      <c r="D787" s="252"/>
      <c r="E787" s="252"/>
      <c r="F787" s="252"/>
      <c r="G787" s="252"/>
      <c r="H787" s="252"/>
      <c r="I787" s="252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  <c r="AA787" s="268"/>
      <c r="AB787" s="268"/>
      <c r="AC787" s="268"/>
      <c r="AD787" s="268"/>
      <c r="AE787" s="268"/>
    </row>
    <row r="788" spans="1:31" ht="15.75" customHeight="1">
      <c r="A788" s="252"/>
      <c r="B788" s="252"/>
      <c r="C788" s="252"/>
      <c r="D788" s="252"/>
      <c r="E788" s="252"/>
      <c r="F788" s="252"/>
      <c r="G788" s="252"/>
      <c r="H788" s="252"/>
      <c r="I788" s="252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  <c r="AA788" s="268"/>
      <c r="AB788" s="268"/>
      <c r="AC788" s="268"/>
      <c r="AD788" s="268"/>
      <c r="AE788" s="268"/>
    </row>
    <row r="789" spans="1:31" ht="15.75" customHeight="1">
      <c r="A789" s="252"/>
      <c r="B789" s="252"/>
      <c r="C789" s="252"/>
      <c r="D789" s="252"/>
      <c r="E789" s="252"/>
      <c r="F789" s="252"/>
      <c r="G789" s="252"/>
      <c r="H789" s="252"/>
      <c r="I789" s="252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  <c r="AA789" s="268"/>
      <c r="AB789" s="268"/>
      <c r="AC789" s="268"/>
      <c r="AD789" s="268"/>
      <c r="AE789" s="268"/>
    </row>
    <row r="790" spans="1:31" ht="15.75" customHeight="1">
      <c r="A790" s="252"/>
      <c r="B790" s="252"/>
      <c r="C790" s="252"/>
      <c r="D790" s="252"/>
      <c r="E790" s="252"/>
      <c r="F790" s="252"/>
      <c r="G790" s="252"/>
      <c r="H790" s="252"/>
      <c r="I790" s="252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  <c r="AA790" s="268"/>
      <c r="AB790" s="268"/>
      <c r="AC790" s="268"/>
      <c r="AD790" s="268"/>
      <c r="AE790" s="268"/>
    </row>
    <row r="791" spans="1:31" ht="15.75" customHeight="1">
      <c r="A791" s="252"/>
      <c r="B791" s="252"/>
      <c r="C791" s="252"/>
      <c r="D791" s="252"/>
      <c r="E791" s="252"/>
      <c r="F791" s="252"/>
      <c r="G791" s="252"/>
      <c r="H791" s="252"/>
      <c r="I791" s="252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  <c r="AA791" s="268"/>
      <c r="AB791" s="268"/>
      <c r="AC791" s="268"/>
      <c r="AD791" s="268"/>
      <c r="AE791" s="268"/>
    </row>
    <row r="792" spans="1:31" ht="15.75" customHeight="1">
      <c r="A792" s="252"/>
      <c r="B792" s="252"/>
      <c r="C792" s="252"/>
      <c r="D792" s="252"/>
      <c r="E792" s="252"/>
      <c r="F792" s="252"/>
      <c r="G792" s="252"/>
      <c r="H792" s="252"/>
      <c r="I792" s="252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  <c r="AA792" s="268"/>
      <c r="AB792" s="268"/>
      <c r="AC792" s="268"/>
      <c r="AD792" s="268"/>
      <c r="AE792" s="268"/>
    </row>
    <row r="793" spans="1:31" ht="15.75" customHeight="1">
      <c r="A793" s="252"/>
      <c r="B793" s="252"/>
      <c r="C793" s="252"/>
      <c r="D793" s="252"/>
      <c r="E793" s="252"/>
      <c r="F793" s="252"/>
      <c r="G793" s="252"/>
      <c r="H793" s="252"/>
      <c r="I793" s="252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  <c r="AA793" s="268"/>
      <c r="AB793" s="268"/>
      <c r="AC793" s="268"/>
      <c r="AD793" s="268"/>
      <c r="AE793" s="268"/>
    </row>
    <row r="794" spans="1:31" ht="15.75" customHeight="1">
      <c r="A794" s="252"/>
      <c r="B794" s="252"/>
      <c r="C794" s="252"/>
      <c r="D794" s="252"/>
      <c r="E794" s="252"/>
      <c r="F794" s="252"/>
      <c r="G794" s="252"/>
      <c r="H794" s="252"/>
      <c r="I794" s="252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  <c r="AA794" s="268"/>
      <c r="AB794" s="268"/>
      <c r="AC794" s="268"/>
      <c r="AD794" s="268"/>
      <c r="AE794" s="268"/>
    </row>
    <row r="795" spans="1:31" ht="15.75" customHeight="1">
      <c r="A795" s="252"/>
      <c r="B795" s="252"/>
      <c r="C795" s="252"/>
      <c r="D795" s="252"/>
      <c r="E795" s="252"/>
      <c r="F795" s="252"/>
      <c r="G795" s="252"/>
      <c r="H795" s="252"/>
      <c r="I795" s="252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  <c r="AA795" s="268"/>
      <c r="AB795" s="268"/>
      <c r="AC795" s="268"/>
      <c r="AD795" s="268"/>
      <c r="AE795" s="268"/>
    </row>
    <row r="796" spans="1:31" ht="15.75" customHeight="1">
      <c r="A796" s="252"/>
      <c r="B796" s="252"/>
      <c r="C796" s="252"/>
      <c r="D796" s="252"/>
      <c r="E796" s="252"/>
      <c r="F796" s="252"/>
      <c r="G796" s="252"/>
      <c r="H796" s="252"/>
      <c r="I796" s="252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  <c r="AA796" s="268"/>
      <c r="AB796" s="268"/>
      <c r="AC796" s="268"/>
      <c r="AD796" s="268"/>
      <c r="AE796" s="268"/>
    </row>
    <row r="797" spans="1:31" ht="15.75" customHeight="1">
      <c r="A797" s="252"/>
      <c r="B797" s="252"/>
      <c r="C797" s="252"/>
      <c r="D797" s="252"/>
      <c r="E797" s="252"/>
      <c r="F797" s="252"/>
      <c r="G797" s="252"/>
      <c r="H797" s="252"/>
      <c r="I797" s="252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  <c r="AA797" s="268"/>
      <c r="AB797" s="268"/>
      <c r="AC797" s="268"/>
      <c r="AD797" s="268"/>
      <c r="AE797" s="268"/>
    </row>
    <row r="798" spans="1:31" ht="15.75" customHeight="1">
      <c r="A798" s="252"/>
      <c r="B798" s="252"/>
      <c r="C798" s="252"/>
      <c r="D798" s="252"/>
      <c r="E798" s="252"/>
      <c r="F798" s="252"/>
      <c r="G798" s="252"/>
      <c r="H798" s="252"/>
      <c r="I798" s="252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  <c r="AA798" s="268"/>
      <c r="AB798" s="268"/>
      <c r="AC798" s="268"/>
      <c r="AD798" s="268"/>
      <c r="AE798" s="268"/>
    </row>
    <row r="799" spans="1:31" ht="15.75" customHeight="1">
      <c r="A799" s="252"/>
      <c r="B799" s="252"/>
      <c r="C799" s="252"/>
      <c r="D799" s="252"/>
      <c r="E799" s="252"/>
      <c r="F799" s="252"/>
      <c r="G799" s="252"/>
      <c r="H799" s="252"/>
      <c r="I799" s="252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  <c r="AA799" s="268"/>
      <c r="AB799" s="268"/>
      <c r="AC799" s="268"/>
      <c r="AD799" s="268"/>
      <c r="AE799" s="268"/>
    </row>
    <row r="800" spans="1:31" ht="15.75" customHeight="1">
      <c r="A800" s="252"/>
      <c r="B800" s="252"/>
      <c r="C800" s="252"/>
      <c r="D800" s="252"/>
      <c r="E800" s="252"/>
      <c r="F800" s="252"/>
      <c r="G800" s="252"/>
      <c r="H800" s="252"/>
      <c r="I800" s="252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  <c r="AA800" s="268"/>
      <c r="AB800" s="268"/>
      <c r="AC800" s="268"/>
      <c r="AD800" s="268"/>
      <c r="AE800" s="268"/>
    </row>
    <row r="801" spans="1:31" ht="15.75" customHeight="1">
      <c r="A801" s="252"/>
      <c r="B801" s="252"/>
      <c r="C801" s="252"/>
      <c r="D801" s="252"/>
      <c r="E801" s="252"/>
      <c r="F801" s="252"/>
      <c r="G801" s="252"/>
      <c r="H801" s="252"/>
      <c r="I801" s="252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  <c r="AA801" s="268"/>
      <c r="AB801" s="268"/>
      <c r="AC801" s="268"/>
      <c r="AD801" s="268"/>
      <c r="AE801" s="268"/>
    </row>
    <row r="802" spans="1:31" ht="15.75" customHeight="1">
      <c r="A802" s="252"/>
      <c r="B802" s="252"/>
      <c r="C802" s="252"/>
      <c r="D802" s="252"/>
      <c r="E802" s="252"/>
      <c r="F802" s="252"/>
      <c r="G802" s="252"/>
      <c r="H802" s="252"/>
      <c r="I802" s="252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  <c r="AA802" s="268"/>
      <c r="AB802" s="268"/>
      <c r="AC802" s="268"/>
      <c r="AD802" s="268"/>
      <c r="AE802" s="268"/>
    </row>
    <row r="803" spans="1:31" ht="15.75" customHeight="1">
      <c r="A803" s="252"/>
      <c r="B803" s="252"/>
      <c r="C803" s="252"/>
      <c r="D803" s="252"/>
      <c r="E803" s="252"/>
      <c r="F803" s="252"/>
      <c r="G803" s="252"/>
      <c r="H803" s="252"/>
      <c r="I803" s="252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  <c r="AA803" s="268"/>
      <c r="AB803" s="268"/>
      <c r="AC803" s="268"/>
      <c r="AD803" s="268"/>
      <c r="AE803" s="268"/>
    </row>
    <row r="804" spans="1:31" ht="15.75" customHeight="1">
      <c r="A804" s="252"/>
      <c r="B804" s="252"/>
      <c r="C804" s="252"/>
      <c r="D804" s="252"/>
      <c r="E804" s="252"/>
      <c r="F804" s="252"/>
      <c r="G804" s="252"/>
      <c r="H804" s="252"/>
      <c r="I804" s="252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  <c r="AA804" s="268"/>
      <c r="AB804" s="268"/>
      <c r="AC804" s="268"/>
      <c r="AD804" s="268"/>
      <c r="AE804" s="268"/>
    </row>
    <row r="805" spans="1:31" ht="15.75" customHeight="1">
      <c r="A805" s="252"/>
      <c r="B805" s="252"/>
      <c r="C805" s="252"/>
      <c r="D805" s="252"/>
      <c r="E805" s="252"/>
      <c r="F805" s="252"/>
      <c r="G805" s="252"/>
      <c r="H805" s="252"/>
      <c r="I805" s="252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  <c r="AA805" s="268"/>
      <c r="AB805" s="268"/>
      <c r="AC805" s="268"/>
      <c r="AD805" s="268"/>
      <c r="AE805" s="268"/>
    </row>
    <row r="806" spans="1:31" ht="15.75" customHeight="1">
      <c r="A806" s="252"/>
      <c r="B806" s="252"/>
      <c r="C806" s="252"/>
      <c r="D806" s="252"/>
      <c r="E806" s="252"/>
      <c r="F806" s="252"/>
      <c r="G806" s="252"/>
      <c r="H806" s="252"/>
      <c r="I806" s="252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  <c r="AA806" s="268"/>
      <c r="AB806" s="268"/>
      <c r="AC806" s="268"/>
      <c r="AD806" s="268"/>
      <c r="AE806" s="268"/>
    </row>
    <row r="807" spans="1:31" ht="15.75" customHeight="1">
      <c r="A807" s="252"/>
      <c r="B807" s="252"/>
      <c r="C807" s="252"/>
      <c r="D807" s="252"/>
      <c r="E807" s="252"/>
      <c r="F807" s="252"/>
      <c r="G807" s="252"/>
      <c r="H807" s="252"/>
      <c r="I807" s="252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  <c r="AA807" s="268"/>
      <c r="AB807" s="268"/>
      <c r="AC807" s="268"/>
      <c r="AD807" s="268"/>
      <c r="AE807" s="268"/>
    </row>
    <row r="808" spans="1:31" ht="15.75" customHeight="1">
      <c r="A808" s="252"/>
      <c r="B808" s="252"/>
      <c r="C808" s="252"/>
      <c r="D808" s="252"/>
      <c r="E808" s="252"/>
      <c r="F808" s="252"/>
      <c r="G808" s="252"/>
      <c r="H808" s="252"/>
      <c r="I808" s="252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  <c r="AA808" s="268"/>
      <c r="AB808" s="268"/>
      <c r="AC808" s="268"/>
      <c r="AD808" s="268"/>
      <c r="AE808" s="268"/>
    </row>
    <row r="809" spans="1:31" ht="15.75" customHeight="1">
      <c r="A809" s="252"/>
      <c r="B809" s="252"/>
      <c r="C809" s="252"/>
      <c r="D809" s="252"/>
      <c r="E809" s="252"/>
      <c r="F809" s="252"/>
      <c r="G809" s="252"/>
      <c r="H809" s="252"/>
      <c r="I809" s="252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  <c r="AA809" s="268"/>
      <c r="AB809" s="268"/>
      <c r="AC809" s="268"/>
      <c r="AD809" s="268"/>
      <c r="AE809" s="268"/>
    </row>
    <row r="810" spans="1:31" ht="15.75" customHeight="1">
      <c r="A810" s="252"/>
      <c r="B810" s="252"/>
      <c r="C810" s="252"/>
      <c r="D810" s="252"/>
      <c r="E810" s="252"/>
      <c r="F810" s="252"/>
      <c r="G810" s="252"/>
      <c r="H810" s="252"/>
      <c r="I810" s="252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  <c r="AA810" s="268"/>
      <c r="AB810" s="268"/>
      <c r="AC810" s="268"/>
      <c r="AD810" s="268"/>
      <c r="AE810" s="268"/>
    </row>
    <row r="811" spans="1:31" ht="15.75" customHeight="1">
      <c r="A811" s="252"/>
      <c r="B811" s="252"/>
      <c r="C811" s="252"/>
      <c r="D811" s="252"/>
      <c r="E811" s="252"/>
      <c r="F811" s="252"/>
      <c r="G811" s="252"/>
      <c r="H811" s="252"/>
      <c r="I811" s="252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  <c r="AA811" s="268"/>
      <c r="AB811" s="268"/>
      <c r="AC811" s="268"/>
      <c r="AD811" s="268"/>
      <c r="AE811" s="268"/>
    </row>
    <row r="812" spans="1:31" ht="15.75" customHeight="1">
      <c r="A812" s="252"/>
      <c r="B812" s="252"/>
      <c r="C812" s="252"/>
      <c r="D812" s="252"/>
      <c r="E812" s="252"/>
      <c r="F812" s="252"/>
      <c r="G812" s="252"/>
      <c r="H812" s="252"/>
      <c r="I812" s="252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  <c r="AA812" s="268"/>
      <c r="AB812" s="268"/>
      <c r="AC812" s="268"/>
      <c r="AD812" s="268"/>
      <c r="AE812" s="268"/>
    </row>
    <row r="813" spans="1:31" ht="15.75" customHeight="1">
      <c r="A813" s="252"/>
      <c r="B813" s="252"/>
      <c r="C813" s="252"/>
      <c r="D813" s="252"/>
      <c r="E813" s="252"/>
      <c r="F813" s="252"/>
      <c r="G813" s="252"/>
      <c r="H813" s="252"/>
      <c r="I813" s="252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  <c r="AA813" s="268"/>
      <c r="AB813" s="268"/>
      <c r="AC813" s="268"/>
      <c r="AD813" s="268"/>
      <c r="AE813" s="268"/>
    </row>
    <row r="814" spans="1:31" ht="15.75" customHeight="1">
      <c r="A814" s="252"/>
      <c r="B814" s="252"/>
      <c r="C814" s="252"/>
      <c r="D814" s="252"/>
      <c r="E814" s="252"/>
      <c r="F814" s="252"/>
      <c r="G814" s="252"/>
      <c r="H814" s="252"/>
      <c r="I814" s="252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  <c r="AA814" s="268"/>
      <c r="AB814" s="268"/>
      <c r="AC814" s="268"/>
      <c r="AD814" s="268"/>
      <c r="AE814" s="268"/>
    </row>
    <row r="815" spans="1:31" ht="15.75" customHeight="1">
      <c r="A815" s="252"/>
      <c r="B815" s="252"/>
      <c r="C815" s="252"/>
      <c r="D815" s="252"/>
      <c r="E815" s="252"/>
      <c r="F815" s="252"/>
      <c r="G815" s="252"/>
      <c r="H815" s="252"/>
      <c r="I815" s="252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  <c r="AA815" s="268"/>
      <c r="AB815" s="268"/>
      <c r="AC815" s="268"/>
      <c r="AD815" s="268"/>
      <c r="AE815" s="268"/>
    </row>
    <row r="816" spans="1:31" ht="15.75" customHeight="1">
      <c r="A816" s="252"/>
      <c r="B816" s="252"/>
      <c r="C816" s="252"/>
      <c r="D816" s="252"/>
      <c r="E816" s="252"/>
      <c r="F816" s="252"/>
      <c r="G816" s="252"/>
      <c r="H816" s="252"/>
      <c r="I816" s="252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  <c r="AA816" s="268"/>
      <c r="AB816" s="268"/>
      <c r="AC816" s="268"/>
      <c r="AD816" s="268"/>
      <c r="AE816" s="268"/>
    </row>
    <row r="817" spans="1:31" ht="15.75" customHeight="1">
      <c r="A817" s="252"/>
      <c r="B817" s="252"/>
      <c r="C817" s="252"/>
      <c r="D817" s="252"/>
      <c r="E817" s="252"/>
      <c r="F817" s="252"/>
      <c r="G817" s="252"/>
      <c r="H817" s="252"/>
      <c r="I817" s="252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  <c r="AA817" s="268"/>
      <c r="AB817" s="268"/>
      <c r="AC817" s="268"/>
      <c r="AD817" s="268"/>
      <c r="AE817" s="268"/>
    </row>
    <row r="818" spans="1:31" ht="15.75" customHeight="1">
      <c r="A818" s="252"/>
      <c r="B818" s="252"/>
      <c r="C818" s="252"/>
      <c r="D818" s="252"/>
      <c r="E818" s="252"/>
      <c r="F818" s="252"/>
      <c r="G818" s="252"/>
      <c r="H818" s="252"/>
      <c r="I818" s="252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  <c r="AA818" s="268"/>
      <c r="AB818" s="268"/>
      <c r="AC818" s="268"/>
      <c r="AD818" s="268"/>
      <c r="AE818" s="268"/>
    </row>
    <row r="819" spans="1:31" ht="15.75" customHeight="1">
      <c r="A819" s="252"/>
      <c r="B819" s="252"/>
      <c r="C819" s="252"/>
      <c r="D819" s="252"/>
      <c r="E819" s="252"/>
      <c r="F819" s="252"/>
      <c r="G819" s="252"/>
      <c r="H819" s="252"/>
      <c r="I819" s="252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  <c r="AA819" s="268"/>
      <c r="AB819" s="268"/>
      <c r="AC819" s="268"/>
      <c r="AD819" s="268"/>
      <c r="AE819" s="268"/>
    </row>
    <row r="820" spans="1:31" ht="15.75" customHeight="1">
      <c r="A820" s="252"/>
      <c r="B820" s="252"/>
      <c r="C820" s="252"/>
      <c r="D820" s="252"/>
      <c r="E820" s="252"/>
      <c r="F820" s="252"/>
      <c r="G820" s="252"/>
      <c r="H820" s="252"/>
      <c r="I820" s="252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  <c r="AA820" s="268"/>
      <c r="AB820" s="268"/>
      <c r="AC820" s="268"/>
      <c r="AD820" s="268"/>
      <c r="AE820" s="268"/>
    </row>
    <row r="821" spans="1:31" ht="15.75" customHeight="1">
      <c r="A821" s="252"/>
      <c r="B821" s="252"/>
      <c r="C821" s="252"/>
      <c r="D821" s="252"/>
      <c r="E821" s="252"/>
      <c r="F821" s="252"/>
      <c r="G821" s="252"/>
      <c r="H821" s="252"/>
      <c r="I821" s="252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  <c r="AA821" s="268"/>
      <c r="AB821" s="268"/>
      <c r="AC821" s="268"/>
      <c r="AD821" s="268"/>
      <c r="AE821" s="268"/>
    </row>
    <row r="822" spans="1:31" ht="15.75" customHeight="1">
      <c r="A822" s="252"/>
      <c r="B822" s="252"/>
      <c r="C822" s="252"/>
      <c r="D822" s="252"/>
      <c r="E822" s="252"/>
      <c r="F822" s="252"/>
      <c r="G822" s="252"/>
      <c r="H822" s="252"/>
      <c r="I822" s="252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  <c r="AA822" s="268"/>
      <c r="AB822" s="268"/>
      <c r="AC822" s="268"/>
      <c r="AD822" s="268"/>
      <c r="AE822" s="268"/>
    </row>
    <row r="823" spans="1:31" ht="15.75" customHeight="1">
      <c r="A823" s="252"/>
      <c r="B823" s="252"/>
      <c r="C823" s="252"/>
      <c r="D823" s="252"/>
      <c r="E823" s="252"/>
      <c r="F823" s="252"/>
      <c r="G823" s="252"/>
      <c r="H823" s="252"/>
      <c r="I823" s="252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  <c r="AA823" s="268"/>
      <c r="AB823" s="268"/>
      <c r="AC823" s="268"/>
      <c r="AD823" s="268"/>
      <c r="AE823" s="268"/>
    </row>
    <row r="824" spans="1:31" ht="15.75" customHeight="1">
      <c r="A824" s="252"/>
      <c r="B824" s="252"/>
      <c r="C824" s="252"/>
      <c r="D824" s="252"/>
      <c r="E824" s="252"/>
      <c r="F824" s="252"/>
      <c r="G824" s="252"/>
      <c r="H824" s="252"/>
      <c r="I824" s="252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  <c r="AA824" s="268"/>
      <c r="AB824" s="268"/>
      <c r="AC824" s="268"/>
      <c r="AD824" s="268"/>
      <c r="AE824" s="268"/>
    </row>
    <row r="825" spans="1:31" ht="15.75" customHeight="1">
      <c r="A825" s="252"/>
      <c r="B825" s="252"/>
      <c r="C825" s="252"/>
      <c r="D825" s="252"/>
      <c r="E825" s="252"/>
      <c r="F825" s="252"/>
      <c r="G825" s="252"/>
      <c r="H825" s="252"/>
      <c r="I825" s="252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  <c r="AA825" s="268"/>
      <c r="AB825" s="268"/>
      <c r="AC825" s="268"/>
      <c r="AD825" s="268"/>
      <c r="AE825" s="268"/>
    </row>
    <row r="826" spans="1:31" ht="15.75" customHeight="1">
      <c r="A826" s="252"/>
      <c r="B826" s="252"/>
      <c r="C826" s="252"/>
      <c r="D826" s="252"/>
      <c r="E826" s="252"/>
      <c r="F826" s="252"/>
      <c r="G826" s="252"/>
      <c r="H826" s="252"/>
      <c r="I826" s="252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  <c r="AA826" s="268"/>
      <c r="AB826" s="268"/>
      <c r="AC826" s="268"/>
      <c r="AD826" s="268"/>
      <c r="AE826" s="268"/>
    </row>
    <row r="827" spans="1:31" ht="15.75" customHeight="1">
      <c r="A827" s="252"/>
      <c r="B827" s="252"/>
      <c r="C827" s="252"/>
      <c r="D827" s="252"/>
      <c r="E827" s="252"/>
      <c r="F827" s="252"/>
      <c r="G827" s="252"/>
      <c r="H827" s="252"/>
      <c r="I827" s="252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  <c r="AA827" s="268"/>
      <c r="AB827" s="268"/>
      <c r="AC827" s="268"/>
      <c r="AD827" s="268"/>
      <c r="AE827" s="268"/>
    </row>
    <row r="828" spans="1:31" ht="15.75" customHeight="1">
      <c r="A828" s="252"/>
      <c r="B828" s="252"/>
      <c r="C828" s="252"/>
      <c r="D828" s="252"/>
      <c r="E828" s="252"/>
      <c r="F828" s="252"/>
      <c r="G828" s="252"/>
      <c r="H828" s="252"/>
      <c r="I828" s="252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  <c r="AA828" s="268"/>
      <c r="AB828" s="268"/>
      <c r="AC828" s="268"/>
      <c r="AD828" s="268"/>
      <c r="AE828" s="268"/>
    </row>
    <row r="829" spans="1:31" ht="15.75" customHeight="1">
      <c r="A829" s="252"/>
      <c r="B829" s="252"/>
      <c r="C829" s="252"/>
      <c r="D829" s="252"/>
      <c r="E829" s="252"/>
      <c r="F829" s="252"/>
      <c r="G829" s="252"/>
      <c r="H829" s="252"/>
      <c r="I829" s="252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  <c r="AA829" s="268"/>
      <c r="AB829" s="268"/>
      <c r="AC829" s="268"/>
      <c r="AD829" s="268"/>
      <c r="AE829" s="268"/>
    </row>
    <row r="830" spans="1:31" ht="15.75" customHeight="1">
      <c r="A830" s="252"/>
      <c r="B830" s="252"/>
      <c r="C830" s="252"/>
      <c r="D830" s="252"/>
      <c r="E830" s="252"/>
      <c r="F830" s="252"/>
      <c r="G830" s="252"/>
      <c r="H830" s="252"/>
      <c r="I830" s="252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  <c r="AA830" s="268"/>
      <c r="AB830" s="268"/>
      <c r="AC830" s="268"/>
      <c r="AD830" s="268"/>
      <c r="AE830" s="268"/>
    </row>
    <row r="831" spans="1:31" ht="15.75" customHeight="1">
      <c r="A831" s="252"/>
      <c r="B831" s="252"/>
      <c r="C831" s="252"/>
      <c r="D831" s="252"/>
      <c r="E831" s="252"/>
      <c r="F831" s="252"/>
      <c r="G831" s="252"/>
      <c r="H831" s="252"/>
      <c r="I831" s="252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  <c r="AA831" s="268"/>
      <c r="AB831" s="268"/>
      <c r="AC831" s="268"/>
      <c r="AD831" s="268"/>
      <c r="AE831" s="268"/>
    </row>
    <row r="832" spans="1:31" ht="15.75" customHeight="1">
      <c r="A832" s="252"/>
      <c r="B832" s="252"/>
      <c r="C832" s="252"/>
      <c r="D832" s="252"/>
      <c r="E832" s="252"/>
      <c r="F832" s="252"/>
      <c r="G832" s="252"/>
      <c r="H832" s="252"/>
      <c r="I832" s="252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  <c r="AA832" s="268"/>
      <c r="AB832" s="268"/>
      <c r="AC832" s="268"/>
      <c r="AD832" s="268"/>
      <c r="AE832" s="268"/>
    </row>
    <row r="833" spans="1:31" ht="15.75" customHeight="1">
      <c r="A833" s="252"/>
      <c r="B833" s="252"/>
      <c r="C833" s="252"/>
      <c r="D833" s="252"/>
      <c r="E833" s="252"/>
      <c r="F833" s="252"/>
      <c r="G833" s="252"/>
      <c r="H833" s="252"/>
      <c r="I833" s="252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  <c r="AA833" s="268"/>
      <c r="AB833" s="268"/>
      <c r="AC833" s="268"/>
      <c r="AD833" s="268"/>
      <c r="AE833" s="268"/>
    </row>
    <row r="834" spans="1:31" ht="15.75" customHeight="1">
      <c r="A834" s="252"/>
      <c r="B834" s="252"/>
      <c r="C834" s="252"/>
      <c r="D834" s="252"/>
      <c r="E834" s="252"/>
      <c r="F834" s="252"/>
      <c r="G834" s="252"/>
      <c r="H834" s="252"/>
      <c r="I834" s="252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  <c r="AA834" s="268"/>
      <c r="AB834" s="268"/>
      <c r="AC834" s="268"/>
      <c r="AD834" s="268"/>
      <c r="AE834" s="268"/>
    </row>
    <row r="835" spans="1:31" ht="15.75" customHeight="1">
      <c r="A835" s="252"/>
      <c r="B835" s="252"/>
      <c r="C835" s="252"/>
      <c r="D835" s="252"/>
      <c r="E835" s="252"/>
      <c r="F835" s="252"/>
      <c r="G835" s="252"/>
      <c r="H835" s="252"/>
      <c r="I835" s="252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  <c r="AA835" s="268"/>
      <c r="AB835" s="268"/>
      <c r="AC835" s="268"/>
      <c r="AD835" s="268"/>
      <c r="AE835" s="268"/>
    </row>
    <row r="836" spans="1:31" ht="15.75" customHeight="1">
      <c r="A836" s="252"/>
      <c r="B836" s="252"/>
      <c r="C836" s="252"/>
      <c r="D836" s="252"/>
      <c r="E836" s="252"/>
      <c r="F836" s="252"/>
      <c r="G836" s="252"/>
      <c r="H836" s="252"/>
      <c r="I836" s="252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  <c r="AA836" s="268"/>
      <c r="AB836" s="268"/>
      <c r="AC836" s="268"/>
      <c r="AD836" s="268"/>
      <c r="AE836" s="268"/>
    </row>
    <row r="837" spans="1:31" ht="15.75" customHeight="1">
      <c r="A837" s="252"/>
      <c r="B837" s="252"/>
      <c r="C837" s="252"/>
      <c r="D837" s="252"/>
      <c r="E837" s="252"/>
      <c r="F837" s="252"/>
      <c r="G837" s="252"/>
      <c r="H837" s="252"/>
      <c r="I837" s="252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  <c r="AA837" s="268"/>
      <c r="AB837" s="268"/>
      <c r="AC837" s="268"/>
      <c r="AD837" s="268"/>
      <c r="AE837" s="268"/>
    </row>
    <row r="838" spans="1:31" ht="15.75" customHeight="1">
      <c r="A838" s="252"/>
      <c r="B838" s="252"/>
      <c r="C838" s="252"/>
      <c r="D838" s="252"/>
      <c r="E838" s="252"/>
      <c r="F838" s="252"/>
      <c r="G838" s="252"/>
      <c r="H838" s="252"/>
      <c r="I838" s="252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  <c r="AA838" s="268"/>
      <c r="AB838" s="268"/>
      <c r="AC838" s="268"/>
      <c r="AD838" s="268"/>
      <c r="AE838" s="268"/>
    </row>
    <row r="839" spans="1:31" ht="15.75" customHeight="1">
      <c r="A839" s="252"/>
      <c r="B839" s="252"/>
      <c r="C839" s="252"/>
      <c r="D839" s="252"/>
      <c r="E839" s="252"/>
      <c r="F839" s="252"/>
      <c r="G839" s="252"/>
      <c r="H839" s="252"/>
      <c r="I839" s="252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  <c r="AA839" s="268"/>
      <c r="AB839" s="268"/>
      <c r="AC839" s="268"/>
      <c r="AD839" s="268"/>
      <c r="AE839" s="268"/>
    </row>
    <row r="840" spans="1:31" ht="15.75" customHeight="1">
      <c r="A840" s="252"/>
      <c r="B840" s="252"/>
      <c r="C840" s="252"/>
      <c r="D840" s="252"/>
      <c r="E840" s="252"/>
      <c r="F840" s="252"/>
      <c r="G840" s="252"/>
      <c r="H840" s="252"/>
      <c r="I840" s="252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  <c r="AA840" s="268"/>
      <c r="AB840" s="268"/>
      <c r="AC840" s="268"/>
      <c r="AD840" s="268"/>
      <c r="AE840" s="268"/>
    </row>
    <row r="841" spans="1:31" ht="15.75" customHeight="1">
      <c r="A841" s="252"/>
      <c r="B841" s="252"/>
      <c r="C841" s="252"/>
      <c r="D841" s="252"/>
      <c r="E841" s="252"/>
      <c r="F841" s="252"/>
      <c r="G841" s="252"/>
      <c r="H841" s="252"/>
      <c r="I841" s="252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  <c r="AA841" s="268"/>
      <c r="AB841" s="268"/>
      <c r="AC841" s="268"/>
      <c r="AD841" s="268"/>
      <c r="AE841" s="268"/>
    </row>
    <row r="842" spans="1:31" ht="15.75" customHeight="1">
      <c r="A842" s="252"/>
      <c r="B842" s="252"/>
      <c r="C842" s="252"/>
      <c r="D842" s="252"/>
      <c r="E842" s="252"/>
      <c r="F842" s="252"/>
      <c r="G842" s="252"/>
      <c r="H842" s="252"/>
      <c r="I842" s="252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  <c r="AA842" s="268"/>
      <c r="AB842" s="268"/>
      <c r="AC842" s="268"/>
      <c r="AD842" s="268"/>
      <c r="AE842" s="268"/>
    </row>
    <row r="843" spans="1:31" ht="15.75" customHeight="1">
      <c r="A843" s="252"/>
      <c r="B843" s="252"/>
      <c r="C843" s="252"/>
      <c r="D843" s="252"/>
      <c r="E843" s="252"/>
      <c r="F843" s="252"/>
      <c r="G843" s="252"/>
      <c r="H843" s="252"/>
      <c r="I843" s="252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  <c r="AA843" s="268"/>
      <c r="AB843" s="268"/>
      <c r="AC843" s="268"/>
      <c r="AD843" s="268"/>
      <c r="AE843" s="268"/>
    </row>
    <row r="844" spans="1:31" ht="15.75" customHeight="1">
      <c r="A844" s="252"/>
      <c r="B844" s="252"/>
      <c r="C844" s="252"/>
      <c r="D844" s="252"/>
      <c r="E844" s="252"/>
      <c r="F844" s="252"/>
      <c r="G844" s="252"/>
      <c r="H844" s="252"/>
      <c r="I844" s="252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  <c r="AA844" s="268"/>
      <c r="AB844" s="268"/>
      <c r="AC844" s="268"/>
      <c r="AD844" s="268"/>
      <c r="AE844" s="268"/>
    </row>
    <row r="845" spans="1:31" ht="15.75" customHeight="1">
      <c r="A845" s="252"/>
      <c r="B845" s="252"/>
      <c r="C845" s="252"/>
      <c r="D845" s="252"/>
      <c r="E845" s="252"/>
      <c r="F845" s="252"/>
      <c r="G845" s="252"/>
      <c r="H845" s="252"/>
      <c r="I845" s="252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  <c r="AA845" s="268"/>
      <c r="AB845" s="268"/>
      <c r="AC845" s="268"/>
      <c r="AD845" s="268"/>
      <c r="AE845" s="268"/>
    </row>
    <row r="846" spans="1:31" ht="15.75" customHeight="1">
      <c r="A846" s="252"/>
      <c r="B846" s="252"/>
      <c r="C846" s="252"/>
      <c r="D846" s="252"/>
      <c r="E846" s="252"/>
      <c r="F846" s="252"/>
      <c r="G846" s="252"/>
      <c r="H846" s="252"/>
      <c r="I846" s="252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  <c r="AA846" s="268"/>
      <c r="AB846" s="268"/>
      <c r="AC846" s="268"/>
      <c r="AD846" s="268"/>
      <c r="AE846" s="268"/>
    </row>
    <row r="847" spans="1:31" ht="15.75" customHeight="1">
      <c r="A847" s="252"/>
      <c r="B847" s="252"/>
      <c r="C847" s="252"/>
      <c r="D847" s="252"/>
      <c r="E847" s="252"/>
      <c r="F847" s="252"/>
      <c r="G847" s="252"/>
      <c r="H847" s="252"/>
      <c r="I847" s="252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  <c r="AA847" s="268"/>
      <c r="AB847" s="268"/>
      <c r="AC847" s="268"/>
      <c r="AD847" s="268"/>
      <c r="AE847" s="268"/>
    </row>
    <row r="848" spans="1:31" ht="15.75" customHeight="1">
      <c r="A848" s="252"/>
      <c r="B848" s="252"/>
      <c r="C848" s="252"/>
      <c r="D848" s="252"/>
      <c r="E848" s="252"/>
      <c r="F848" s="252"/>
      <c r="G848" s="252"/>
      <c r="H848" s="252"/>
      <c r="I848" s="252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  <c r="AA848" s="268"/>
      <c r="AB848" s="268"/>
      <c r="AC848" s="268"/>
      <c r="AD848" s="268"/>
      <c r="AE848" s="268"/>
    </row>
    <row r="849" spans="1:31" ht="15.75" customHeight="1">
      <c r="A849" s="252"/>
      <c r="B849" s="252"/>
      <c r="C849" s="252"/>
      <c r="D849" s="252"/>
      <c r="E849" s="252"/>
      <c r="F849" s="252"/>
      <c r="G849" s="252"/>
      <c r="H849" s="252"/>
      <c r="I849" s="252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  <c r="AA849" s="268"/>
      <c r="AB849" s="268"/>
      <c r="AC849" s="268"/>
      <c r="AD849" s="268"/>
      <c r="AE849" s="268"/>
    </row>
    <row r="850" spans="1:31" ht="15.75" customHeight="1">
      <c r="A850" s="252"/>
      <c r="B850" s="252"/>
      <c r="C850" s="252"/>
      <c r="D850" s="252"/>
      <c r="E850" s="252"/>
      <c r="F850" s="252"/>
      <c r="G850" s="252"/>
      <c r="H850" s="252"/>
      <c r="I850" s="252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  <c r="AA850" s="268"/>
      <c r="AB850" s="268"/>
      <c r="AC850" s="268"/>
      <c r="AD850" s="268"/>
      <c r="AE850" s="268"/>
    </row>
    <row r="851" spans="1:31" ht="15.75" customHeight="1">
      <c r="A851" s="252"/>
      <c r="B851" s="252"/>
      <c r="C851" s="252"/>
      <c r="D851" s="252"/>
      <c r="E851" s="252"/>
      <c r="F851" s="252"/>
      <c r="G851" s="252"/>
      <c r="H851" s="252"/>
      <c r="I851" s="252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  <c r="AA851" s="268"/>
      <c r="AB851" s="268"/>
      <c r="AC851" s="268"/>
      <c r="AD851" s="268"/>
      <c r="AE851" s="268"/>
    </row>
    <row r="852" spans="1:31" ht="15.75" customHeight="1">
      <c r="A852" s="252"/>
      <c r="B852" s="252"/>
      <c r="C852" s="252"/>
      <c r="D852" s="252"/>
      <c r="E852" s="252"/>
      <c r="F852" s="252"/>
      <c r="G852" s="252"/>
      <c r="H852" s="252"/>
      <c r="I852" s="252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  <c r="AA852" s="268"/>
      <c r="AB852" s="268"/>
      <c r="AC852" s="268"/>
      <c r="AD852" s="268"/>
      <c r="AE852" s="268"/>
    </row>
    <row r="853" spans="1:31" ht="15.75" customHeight="1">
      <c r="A853" s="252"/>
      <c r="B853" s="252"/>
      <c r="C853" s="252"/>
      <c r="D853" s="252"/>
      <c r="E853" s="252"/>
      <c r="F853" s="252"/>
      <c r="G853" s="252"/>
      <c r="H853" s="252"/>
      <c r="I853" s="252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  <c r="AA853" s="268"/>
      <c r="AB853" s="268"/>
      <c r="AC853" s="268"/>
      <c r="AD853" s="268"/>
      <c r="AE853" s="268"/>
    </row>
    <row r="854" spans="1:31" ht="15.75" customHeight="1">
      <c r="A854" s="252"/>
      <c r="B854" s="252"/>
      <c r="C854" s="252"/>
      <c r="D854" s="252"/>
      <c r="E854" s="252"/>
      <c r="F854" s="252"/>
      <c r="G854" s="252"/>
      <c r="H854" s="252"/>
      <c r="I854" s="252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  <c r="AA854" s="268"/>
      <c r="AB854" s="268"/>
      <c r="AC854" s="268"/>
      <c r="AD854" s="268"/>
      <c r="AE854" s="268"/>
    </row>
    <row r="855" spans="1:31" ht="15.75" customHeight="1">
      <c r="A855" s="252"/>
      <c r="B855" s="252"/>
      <c r="C855" s="252"/>
      <c r="D855" s="252"/>
      <c r="E855" s="252"/>
      <c r="F855" s="252"/>
      <c r="G855" s="252"/>
      <c r="H855" s="252"/>
      <c r="I855" s="252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  <c r="AA855" s="268"/>
      <c r="AB855" s="268"/>
      <c r="AC855" s="268"/>
      <c r="AD855" s="268"/>
      <c r="AE855" s="268"/>
    </row>
    <row r="856" spans="1:31" ht="15.75" customHeight="1">
      <c r="A856" s="252"/>
      <c r="B856" s="252"/>
      <c r="C856" s="252"/>
      <c r="D856" s="252"/>
      <c r="E856" s="252"/>
      <c r="F856" s="252"/>
      <c r="G856" s="252"/>
      <c r="H856" s="252"/>
      <c r="I856" s="252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  <c r="AA856" s="268"/>
      <c r="AB856" s="268"/>
      <c r="AC856" s="268"/>
      <c r="AD856" s="268"/>
      <c r="AE856" s="268"/>
    </row>
    <row r="857" spans="1:31" ht="15.75" customHeight="1">
      <c r="A857" s="252"/>
      <c r="B857" s="252"/>
      <c r="C857" s="252"/>
      <c r="D857" s="252"/>
      <c r="E857" s="252"/>
      <c r="F857" s="252"/>
      <c r="G857" s="252"/>
      <c r="H857" s="252"/>
      <c r="I857" s="252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  <c r="AA857" s="268"/>
      <c r="AB857" s="268"/>
      <c r="AC857" s="268"/>
      <c r="AD857" s="268"/>
      <c r="AE857" s="268"/>
    </row>
    <row r="858" spans="1:31" ht="15.75" customHeight="1">
      <c r="A858" s="252"/>
      <c r="B858" s="252"/>
      <c r="C858" s="252"/>
      <c r="D858" s="252"/>
      <c r="E858" s="252"/>
      <c r="F858" s="252"/>
      <c r="G858" s="252"/>
      <c r="H858" s="252"/>
      <c r="I858" s="252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  <c r="AA858" s="268"/>
      <c r="AB858" s="268"/>
      <c r="AC858" s="268"/>
      <c r="AD858" s="268"/>
      <c r="AE858" s="268"/>
    </row>
    <row r="859" spans="1:31" ht="15.75" customHeight="1">
      <c r="A859" s="252"/>
      <c r="B859" s="252"/>
      <c r="C859" s="252"/>
      <c r="D859" s="252"/>
      <c r="E859" s="252"/>
      <c r="F859" s="252"/>
      <c r="G859" s="252"/>
      <c r="H859" s="252"/>
      <c r="I859" s="252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  <c r="AA859" s="268"/>
      <c r="AB859" s="268"/>
      <c r="AC859" s="268"/>
      <c r="AD859" s="268"/>
      <c r="AE859" s="268"/>
    </row>
    <row r="860" spans="1:31" ht="15.75" customHeight="1">
      <c r="A860" s="252"/>
      <c r="B860" s="252"/>
      <c r="C860" s="252"/>
      <c r="D860" s="252"/>
      <c r="E860" s="252"/>
      <c r="F860" s="252"/>
      <c r="G860" s="252"/>
      <c r="H860" s="252"/>
      <c r="I860" s="252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  <c r="AA860" s="268"/>
      <c r="AB860" s="268"/>
      <c r="AC860" s="268"/>
      <c r="AD860" s="268"/>
      <c r="AE860" s="268"/>
    </row>
    <row r="861" spans="1:31" ht="15.75" customHeight="1">
      <c r="A861" s="252"/>
      <c r="B861" s="252"/>
      <c r="C861" s="252"/>
      <c r="D861" s="252"/>
      <c r="E861" s="252"/>
      <c r="F861" s="252"/>
      <c r="G861" s="252"/>
      <c r="H861" s="252"/>
      <c r="I861" s="252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  <c r="AA861" s="268"/>
      <c r="AB861" s="268"/>
      <c r="AC861" s="268"/>
      <c r="AD861" s="268"/>
      <c r="AE861" s="268"/>
    </row>
    <row r="862" spans="1:31" ht="15.75" customHeight="1">
      <c r="A862" s="252"/>
      <c r="B862" s="252"/>
      <c r="C862" s="252"/>
      <c r="D862" s="252"/>
      <c r="E862" s="252"/>
      <c r="F862" s="252"/>
      <c r="G862" s="252"/>
      <c r="H862" s="252"/>
      <c r="I862" s="252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  <c r="AA862" s="268"/>
      <c r="AB862" s="268"/>
      <c r="AC862" s="268"/>
      <c r="AD862" s="268"/>
      <c r="AE862" s="268"/>
    </row>
    <row r="863" spans="1:31" ht="15.75" customHeight="1">
      <c r="A863" s="252"/>
      <c r="B863" s="252"/>
      <c r="C863" s="252"/>
      <c r="D863" s="252"/>
      <c r="E863" s="252"/>
      <c r="F863" s="252"/>
      <c r="G863" s="252"/>
      <c r="H863" s="252"/>
      <c r="I863" s="252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  <c r="AA863" s="268"/>
      <c r="AB863" s="268"/>
      <c r="AC863" s="268"/>
      <c r="AD863" s="268"/>
      <c r="AE863" s="268"/>
    </row>
    <row r="864" spans="1:31" ht="15.75" customHeight="1">
      <c r="A864" s="252"/>
      <c r="B864" s="252"/>
      <c r="C864" s="252"/>
      <c r="D864" s="252"/>
      <c r="E864" s="252"/>
      <c r="F864" s="252"/>
      <c r="G864" s="252"/>
      <c r="H864" s="252"/>
      <c r="I864" s="252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  <c r="AA864" s="268"/>
      <c r="AB864" s="268"/>
      <c r="AC864" s="268"/>
      <c r="AD864" s="268"/>
      <c r="AE864" s="268"/>
    </row>
    <row r="865" spans="1:31" ht="15.75" customHeight="1">
      <c r="A865" s="252"/>
      <c r="B865" s="252"/>
      <c r="C865" s="252"/>
      <c r="D865" s="252"/>
      <c r="E865" s="252"/>
      <c r="F865" s="252"/>
      <c r="G865" s="252"/>
      <c r="H865" s="252"/>
      <c r="I865" s="252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  <c r="AA865" s="268"/>
      <c r="AB865" s="268"/>
      <c r="AC865" s="268"/>
      <c r="AD865" s="268"/>
      <c r="AE865" s="268"/>
    </row>
    <row r="866" spans="1:31" ht="15.75" customHeight="1">
      <c r="A866" s="252"/>
      <c r="B866" s="252"/>
      <c r="C866" s="252"/>
      <c r="D866" s="252"/>
      <c r="E866" s="252"/>
      <c r="F866" s="252"/>
      <c r="G866" s="252"/>
      <c r="H866" s="252"/>
      <c r="I866" s="252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  <c r="AA866" s="268"/>
      <c r="AB866" s="268"/>
      <c r="AC866" s="268"/>
      <c r="AD866" s="268"/>
      <c r="AE866" s="268"/>
    </row>
    <row r="867" spans="1:31" ht="15.75" customHeight="1">
      <c r="A867" s="252"/>
      <c r="B867" s="252"/>
      <c r="C867" s="252"/>
      <c r="D867" s="252"/>
      <c r="E867" s="252"/>
      <c r="F867" s="252"/>
      <c r="G867" s="252"/>
      <c r="H867" s="252"/>
      <c r="I867" s="252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  <c r="AA867" s="268"/>
      <c r="AB867" s="268"/>
      <c r="AC867" s="268"/>
      <c r="AD867" s="268"/>
      <c r="AE867" s="268"/>
    </row>
    <row r="868" spans="1:31" ht="15.75" customHeight="1">
      <c r="A868" s="252"/>
      <c r="B868" s="252"/>
      <c r="C868" s="252"/>
      <c r="D868" s="252"/>
      <c r="E868" s="252"/>
      <c r="F868" s="252"/>
      <c r="G868" s="252"/>
      <c r="H868" s="252"/>
      <c r="I868" s="252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  <c r="AA868" s="268"/>
      <c r="AB868" s="268"/>
      <c r="AC868" s="268"/>
      <c r="AD868" s="268"/>
      <c r="AE868" s="268"/>
    </row>
    <row r="869" spans="1:31" ht="15.75" customHeight="1">
      <c r="A869" s="252"/>
      <c r="B869" s="252"/>
      <c r="C869" s="252"/>
      <c r="D869" s="252"/>
      <c r="E869" s="252"/>
      <c r="F869" s="252"/>
      <c r="G869" s="252"/>
      <c r="H869" s="252"/>
      <c r="I869" s="252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  <c r="AA869" s="268"/>
      <c r="AB869" s="268"/>
      <c r="AC869" s="268"/>
      <c r="AD869" s="268"/>
      <c r="AE869" s="268"/>
    </row>
    <row r="870" spans="1:31" ht="15.75" customHeight="1">
      <c r="A870" s="252"/>
      <c r="B870" s="252"/>
      <c r="C870" s="252"/>
      <c r="D870" s="252"/>
      <c r="E870" s="252"/>
      <c r="F870" s="252"/>
      <c r="G870" s="252"/>
      <c r="H870" s="252"/>
      <c r="I870" s="252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  <c r="AA870" s="268"/>
      <c r="AB870" s="268"/>
      <c r="AC870" s="268"/>
      <c r="AD870" s="268"/>
      <c r="AE870" s="268"/>
    </row>
    <row r="871" spans="1:31" ht="15.75" customHeight="1">
      <c r="A871" s="252"/>
      <c r="B871" s="252"/>
      <c r="C871" s="252"/>
      <c r="D871" s="252"/>
      <c r="E871" s="252"/>
      <c r="F871" s="252"/>
      <c r="G871" s="252"/>
      <c r="H871" s="252"/>
      <c r="I871" s="252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  <c r="AA871" s="268"/>
      <c r="AB871" s="268"/>
      <c r="AC871" s="268"/>
      <c r="AD871" s="268"/>
      <c r="AE871" s="268"/>
    </row>
    <row r="872" spans="1:31" ht="15.75" customHeight="1">
      <c r="A872" s="252"/>
      <c r="B872" s="252"/>
      <c r="C872" s="252"/>
      <c r="D872" s="252"/>
      <c r="E872" s="252"/>
      <c r="F872" s="252"/>
      <c r="G872" s="252"/>
      <c r="H872" s="252"/>
      <c r="I872" s="252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  <c r="AA872" s="268"/>
      <c r="AB872" s="268"/>
      <c r="AC872" s="268"/>
      <c r="AD872" s="268"/>
      <c r="AE872" s="268"/>
    </row>
    <row r="873" spans="1:31" ht="15.75" customHeight="1">
      <c r="A873" s="252"/>
      <c r="B873" s="252"/>
      <c r="C873" s="252"/>
      <c r="D873" s="252"/>
      <c r="E873" s="252"/>
      <c r="F873" s="252"/>
      <c r="G873" s="252"/>
      <c r="H873" s="252"/>
      <c r="I873" s="252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  <c r="AA873" s="268"/>
      <c r="AB873" s="268"/>
      <c r="AC873" s="268"/>
      <c r="AD873" s="268"/>
      <c r="AE873" s="268"/>
    </row>
    <row r="874" spans="1:31" ht="15.75" customHeight="1">
      <c r="A874" s="252"/>
      <c r="B874" s="252"/>
      <c r="C874" s="252"/>
      <c r="D874" s="252"/>
      <c r="E874" s="252"/>
      <c r="F874" s="252"/>
      <c r="G874" s="252"/>
      <c r="H874" s="252"/>
      <c r="I874" s="252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  <c r="AA874" s="268"/>
      <c r="AB874" s="268"/>
      <c r="AC874" s="268"/>
      <c r="AD874" s="268"/>
      <c r="AE874" s="268"/>
    </row>
    <row r="875" spans="1:31" ht="15.75" customHeight="1">
      <c r="A875" s="252"/>
      <c r="B875" s="252"/>
      <c r="C875" s="252"/>
      <c r="D875" s="252"/>
      <c r="E875" s="252"/>
      <c r="F875" s="252"/>
      <c r="G875" s="252"/>
      <c r="H875" s="252"/>
      <c r="I875" s="252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  <c r="AA875" s="268"/>
      <c r="AB875" s="268"/>
      <c r="AC875" s="268"/>
      <c r="AD875" s="268"/>
      <c r="AE875" s="268"/>
    </row>
    <row r="876" spans="1:31" ht="15.75" customHeight="1">
      <c r="A876" s="252"/>
      <c r="B876" s="252"/>
      <c r="C876" s="252"/>
      <c r="D876" s="252"/>
      <c r="E876" s="252"/>
      <c r="F876" s="252"/>
      <c r="G876" s="252"/>
      <c r="H876" s="252"/>
      <c r="I876" s="252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  <c r="AA876" s="268"/>
      <c r="AB876" s="268"/>
      <c r="AC876" s="268"/>
      <c r="AD876" s="268"/>
      <c r="AE876" s="268"/>
    </row>
    <row r="877" spans="1:31" ht="15.75" customHeight="1">
      <c r="A877" s="252"/>
      <c r="B877" s="252"/>
      <c r="C877" s="252"/>
      <c r="D877" s="252"/>
      <c r="E877" s="252"/>
      <c r="F877" s="252"/>
      <c r="G877" s="252"/>
      <c r="H877" s="252"/>
      <c r="I877" s="252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  <c r="AA877" s="268"/>
      <c r="AB877" s="268"/>
      <c r="AC877" s="268"/>
      <c r="AD877" s="268"/>
      <c r="AE877" s="268"/>
    </row>
    <row r="878" spans="1:31" ht="15.75" customHeight="1">
      <c r="A878" s="252"/>
      <c r="B878" s="252"/>
      <c r="C878" s="252"/>
      <c r="D878" s="252"/>
      <c r="E878" s="252"/>
      <c r="F878" s="252"/>
      <c r="G878" s="252"/>
      <c r="H878" s="252"/>
      <c r="I878" s="252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  <c r="AA878" s="268"/>
      <c r="AB878" s="268"/>
      <c r="AC878" s="268"/>
      <c r="AD878" s="268"/>
      <c r="AE878" s="268"/>
    </row>
    <row r="879" spans="1:31" ht="15.75" customHeight="1">
      <c r="A879" s="252"/>
      <c r="B879" s="252"/>
      <c r="C879" s="252"/>
      <c r="D879" s="252"/>
      <c r="E879" s="252"/>
      <c r="F879" s="252"/>
      <c r="G879" s="252"/>
      <c r="H879" s="252"/>
      <c r="I879" s="252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  <c r="AA879" s="268"/>
      <c r="AB879" s="268"/>
      <c r="AC879" s="268"/>
      <c r="AD879" s="268"/>
      <c r="AE879" s="268"/>
    </row>
    <row r="880" spans="1:31" ht="15.75" customHeight="1">
      <c r="A880" s="252"/>
      <c r="B880" s="252"/>
      <c r="C880" s="252"/>
      <c r="D880" s="252"/>
      <c r="E880" s="252"/>
      <c r="F880" s="252"/>
      <c r="G880" s="252"/>
      <c r="H880" s="252"/>
      <c r="I880" s="252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  <c r="AA880" s="268"/>
      <c r="AB880" s="268"/>
      <c r="AC880" s="268"/>
      <c r="AD880" s="268"/>
      <c r="AE880" s="268"/>
    </row>
    <row r="881" spans="1:31" ht="15.75" customHeight="1">
      <c r="A881" s="252"/>
      <c r="B881" s="252"/>
      <c r="C881" s="252"/>
      <c r="D881" s="252"/>
      <c r="E881" s="252"/>
      <c r="F881" s="252"/>
      <c r="G881" s="252"/>
      <c r="H881" s="252"/>
      <c r="I881" s="252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  <c r="AA881" s="268"/>
      <c r="AB881" s="268"/>
      <c r="AC881" s="268"/>
      <c r="AD881" s="268"/>
      <c r="AE881" s="268"/>
    </row>
    <row r="882" spans="1:31" ht="15.75" customHeight="1">
      <c r="A882" s="252"/>
      <c r="B882" s="252"/>
      <c r="C882" s="252"/>
      <c r="D882" s="252"/>
      <c r="E882" s="252"/>
      <c r="F882" s="252"/>
      <c r="G882" s="252"/>
      <c r="H882" s="252"/>
      <c r="I882" s="252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  <c r="AA882" s="268"/>
      <c r="AB882" s="268"/>
      <c r="AC882" s="268"/>
      <c r="AD882" s="268"/>
      <c r="AE882" s="268"/>
    </row>
    <row r="883" spans="1:31" ht="15.75" customHeight="1">
      <c r="A883" s="252"/>
      <c r="B883" s="252"/>
      <c r="C883" s="252"/>
      <c r="D883" s="252"/>
      <c r="E883" s="252"/>
      <c r="F883" s="252"/>
      <c r="G883" s="252"/>
      <c r="H883" s="252"/>
      <c r="I883" s="252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  <c r="AA883" s="268"/>
      <c r="AB883" s="268"/>
      <c r="AC883" s="268"/>
      <c r="AD883" s="268"/>
      <c r="AE883" s="268"/>
    </row>
    <row r="884" spans="1:31" ht="15.75" customHeight="1">
      <c r="A884" s="252"/>
      <c r="B884" s="252"/>
      <c r="C884" s="252"/>
      <c r="D884" s="252"/>
      <c r="E884" s="252"/>
      <c r="F884" s="252"/>
      <c r="G884" s="252"/>
      <c r="H884" s="252"/>
      <c r="I884" s="252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  <c r="AA884" s="268"/>
      <c r="AB884" s="268"/>
      <c r="AC884" s="268"/>
      <c r="AD884" s="268"/>
      <c r="AE884" s="268"/>
    </row>
    <row r="885" spans="1:31" ht="15.75" customHeight="1">
      <c r="A885" s="252"/>
      <c r="B885" s="252"/>
      <c r="C885" s="252"/>
      <c r="D885" s="252"/>
      <c r="E885" s="252"/>
      <c r="F885" s="252"/>
      <c r="G885" s="252"/>
      <c r="H885" s="252"/>
      <c r="I885" s="252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  <c r="AA885" s="268"/>
      <c r="AB885" s="268"/>
      <c r="AC885" s="268"/>
      <c r="AD885" s="268"/>
      <c r="AE885" s="268"/>
    </row>
    <row r="886" spans="1:31" ht="15.75" customHeight="1">
      <c r="A886" s="252"/>
      <c r="B886" s="252"/>
      <c r="C886" s="252"/>
      <c r="D886" s="252"/>
      <c r="E886" s="252"/>
      <c r="F886" s="252"/>
      <c r="G886" s="252"/>
      <c r="H886" s="252"/>
      <c r="I886" s="252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  <c r="AA886" s="268"/>
      <c r="AB886" s="268"/>
      <c r="AC886" s="268"/>
      <c r="AD886" s="268"/>
      <c r="AE886" s="268"/>
    </row>
    <row r="887" spans="1:31" ht="15.75" customHeight="1">
      <c r="A887" s="252"/>
      <c r="B887" s="252"/>
      <c r="C887" s="252"/>
      <c r="D887" s="252"/>
      <c r="E887" s="252"/>
      <c r="F887" s="252"/>
      <c r="G887" s="252"/>
      <c r="H887" s="252"/>
      <c r="I887" s="252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  <c r="AA887" s="268"/>
      <c r="AB887" s="268"/>
      <c r="AC887" s="268"/>
      <c r="AD887" s="268"/>
      <c r="AE887" s="268"/>
    </row>
    <row r="888" spans="1:31" ht="15.75" customHeight="1">
      <c r="A888" s="252"/>
      <c r="B888" s="252"/>
      <c r="C888" s="252"/>
      <c r="D888" s="252"/>
      <c r="E888" s="252"/>
      <c r="F888" s="252"/>
      <c r="G888" s="252"/>
      <c r="H888" s="252"/>
      <c r="I888" s="252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  <c r="AA888" s="268"/>
      <c r="AB888" s="268"/>
      <c r="AC888" s="268"/>
      <c r="AD888" s="268"/>
      <c r="AE888" s="268"/>
    </row>
    <row r="889" spans="1:31" ht="15.75" customHeight="1">
      <c r="A889" s="252"/>
      <c r="B889" s="252"/>
      <c r="C889" s="252"/>
      <c r="D889" s="252"/>
      <c r="E889" s="252"/>
      <c r="F889" s="252"/>
      <c r="G889" s="252"/>
      <c r="H889" s="252"/>
      <c r="I889" s="252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  <c r="AA889" s="268"/>
      <c r="AB889" s="268"/>
      <c r="AC889" s="268"/>
      <c r="AD889" s="268"/>
      <c r="AE889" s="268"/>
    </row>
    <row r="890" spans="1:31" ht="15.75" customHeight="1">
      <c r="A890" s="252"/>
      <c r="B890" s="252"/>
      <c r="C890" s="252"/>
      <c r="D890" s="252"/>
      <c r="E890" s="252"/>
      <c r="F890" s="252"/>
      <c r="G890" s="252"/>
      <c r="H890" s="252"/>
      <c r="I890" s="252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  <c r="AA890" s="268"/>
      <c r="AB890" s="268"/>
      <c r="AC890" s="268"/>
      <c r="AD890" s="268"/>
      <c r="AE890" s="268"/>
    </row>
    <row r="891" spans="1:31" ht="15.75" customHeight="1">
      <c r="A891" s="252"/>
      <c r="B891" s="252"/>
      <c r="C891" s="252"/>
      <c r="D891" s="252"/>
      <c r="E891" s="252"/>
      <c r="F891" s="252"/>
      <c r="G891" s="252"/>
      <c r="H891" s="252"/>
      <c r="I891" s="252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  <c r="AA891" s="268"/>
      <c r="AB891" s="268"/>
      <c r="AC891" s="268"/>
      <c r="AD891" s="268"/>
      <c r="AE891" s="268"/>
    </row>
    <row r="892" spans="1:31" ht="15.75" customHeight="1">
      <c r="A892" s="252"/>
      <c r="B892" s="252"/>
      <c r="C892" s="252"/>
      <c r="D892" s="252"/>
      <c r="E892" s="252"/>
      <c r="F892" s="252"/>
      <c r="G892" s="252"/>
      <c r="H892" s="252"/>
      <c r="I892" s="252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  <c r="AA892" s="268"/>
      <c r="AB892" s="268"/>
      <c r="AC892" s="268"/>
      <c r="AD892" s="268"/>
      <c r="AE892" s="268"/>
    </row>
    <row r="893" spans="1:31" ht="15.75" customHeight="1">
      <c r="A893" s="252"/>
      <c r="B893" s="252"/>
      <c r="C893" s="252"/>
      <c r="D893" s="252"/>
      <c r="E893" s="252"/>
      <c r="F893" s="252"/>
      <c r="G893" s="252"/>
      <c r="H893" s="252"/>
      <c r="I893" s="252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  <c r="AA893" s="268"/>
      <c r="AB893" s="268"/>
      <c r="AC893" s="268"/>
      <c r="AD893" s="268"/>
      <c r="AE893" s="268"/>
    </row>
    <row r="894" spans="1:31" ht="15.75" customHeight="1">
      <c r="A894" s="252"/>
      <c r="B894" s="252"/>
      <c r="C894" s="252"/>
      <c r="D894" s="252"/>
      <c r="E894" s="252"/>
      <c r="F894" s="252"/>
      <c r="G894" s="252"/>
      <c r="H894" s="252"/>
      <c r="I894" s="252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  <c r="AA894" s="268"/>
      <c r="AB894" s="268"/>
      <c r="AC894" s="268"/>
      <c r="AD894" s="268"/>
      <c r="AE894" s="268"/>
    </row>
    <row r="895" spans="1:31" ht="15.75" customHeight="1">
      <c r="A895" s="252"/>
      <c r="B895" s="252"/>
      <c r="C895" s="252"/>
      <c r="D895" s="252"/>
      <c r="E895" s="252"/>
      <c r="F895" s="252"/>
      <c r="G895" s="252"/>
      <c r="H895" s="252"/>
      <c r="I895" s="252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  <c r="AA895" s="268"/>
      <c r="AB895" s="268"/>
      <c r="AC895" s="268"/>
      <c r="AD895" s="268"/>
      <c r="AE895" s="268"/>
    </row>
    <row r="896" spans="1:31" ht="15.75" customHeight="1">
      <c r="A896" s="252"/>
      <c r="B896" s="252"/>
      <c r="C896" s="252"/>
      <c r="D896" s="252"/>
      <c r="E896" s="252"/>
      <c r="F896" s="252"/>
      <c r="G896" s="252"/>
      <c r="H896" s="252"/>
      <c r="I896" s="252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  <c r="AA896" s="268"/>
      <c r="AB896" s="268"/>
      <c r="AC896" s="268"/>
      <c r="AD896" s="268"/>
      <c r="AE896" s="268"/>
    </row>
    <row r="897" spans="1:31" ht="15.75" customHeight="1">
      <c r="A897" s="252"/>
      <c r="B897" s="252"/>
      <c r="C897" s="252"/>
      <c r="D897" s="252"/>
      <c r="E897" s="252"/>
      <c r="F897" s="252"/>
      <c r="G897" s="252"/>
      <c r="H897" s="252"/>
      <c r="I897" s="252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  <c r="AA897" s="268"/>
      <c r="AB897" s="268"/>
      <c r="AC897" s="268"/>
      <c r="AD897" s="268"/>
      <c r="AE897" s="268"/>
    </row>
    <row r="898" spans="1:31" ht="15.75" customHeight="1">
      <c r="A898" s="252"/>
      <c r="B898" s="252"/>
      <c r="C898" s="252"/>
      <c r="D898" s="252"/>
      <c r="E898" s="252"/>
      <c r="F898" s="252"/>
      <c r="G898" s="252"/>
      <c r="H898" s="252"/>
      <c r="I898" s="252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  <c r="AA898" s="268"/>
      <c r="AB898" s="268"/>
      <c r="AC898" s="268"/>
      <c r="AD898" s="268"/>
      <c r="AE898" s="268"/>
    </row>
    <row r="899" spans="1:31" ht="15.75" customHeight="1">
      <c r="A899" s="252"/>
      <c r="B899" s="252"/>
      <c r="C899" s="252"/>
      <c r="D899" s="252"/>
      <c r="E899" s="252"/>
      <c r="F899" s="252"/>
      <c r="G899" s="252"/>
      <c r="H899" s="252"/>
      <c r="I899" s="252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  <c r="AA899" s="268"/>
      <c r="AB899" s="268"/>
      <c r="AC899" s="268"/>
      <c r="AD899" s="268"/>
      <c r="AE899" s="268"/>
    </row>
    <row r="900" spans="1:31" ht="15.75" customHeight="1">
      <c r="A900" s="252"/>
      <c r="B900" s="252"/>
      <c r="C900" s="252"/>
      <c r="D900" s="252"/>
      <c r="E900" s="252"/>
      <c r="F900" s="252"/>
      <c r="G900" s="252"/>
      <c r="H900" s="252"/>
      <c r="I900" s="252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  <c r="AA900" s="268"/>
      <c r="AB900" s="268"/>
      <c r="AC900" s="268"/>
      <c r="AD900" s="268"/>
      <c r="AE900" s="268"/>
    </row>
    <row r="901" spans="1:31" ht="15.75" customHeight="1">
      <c r="A901" s="252"/>
      <c r="B901" s="252"/>
      <c r="C901" s="252"/>
      <c r="D901" s="252"/>
      <c r="E901" s="252"/>
      <c r="F901" s="252"/>
      <c r="G901" s="252"/>
      <c r="H901" s="252"/>
      <c r="I901" s="252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  <c r="AA901" s="268"/>
      <c r="AB901" s="268"/>
      <c r="AC901" s="268"/>
      <c r="AD901" s="268"/>
      <c r="AE901" s="268"/>
    </row>
    <row r="902" spans="1:31" ht="15.75" customHeight="1">
      <c r="A902" s="252"/>
      <c r="B902" s="252"/>
      <c r="C902" s="252"/>
      <c r="D902" s="252"/>
      <c r="E902" s="252"/>
      <c r="F902" s="252"/>
      <c r="G902" s="252"/>
      <c r="H902" s="252"/>
      <c r="I902" s="252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  <c r="AA902" s="268"/>
      <c r="AB902" s="268"/>
      <c r="AC902" s="268"/>
      <c r="AD902" s="268"/>
      <c r="AE902" s="268"/>
    </row>
    <row r="903" spans="1:31" ht="15.75" customHeight="1">
      <c r="A903" s="252"/>
      <c r="B903" s="252"/>
      <c r="C903" s="252"/>
      <c r="D903" s="252"/>
      <c r="E903" s="252"/>
      <c r="F903" s="252"/>
      <c r="G903" s="252"/>
      <c r="H903" s="252"/>
      <c r="I903" s="252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  <c r="AA903" s="268"/>
      <c r="AB903" s="268"/>
      <c r="AC903" s="268"/>
      <c r="AD903" s="268"/>
      <c r="AE903" s="268"/>
    </row>
    <row r="904" spans="1:31" ht="15.75" customHeight="1">
      <c r="A904" s="252"/>
      <c r="B904" s="252"/>
      <c r="C904" s="252"/>
      <c r="D904" s="252"/>
      <c r="E904" s="252"/>
      <c r="F904" s="252"/>
      <c r="G904" s="252"/>
      <c r="H904" s="252"/>
      <c r="I904" s="252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  <c r="AA904" s="268"/>
      <c r="AB904" s="268"/>
      <c r="AC904" s="268"/>
      <c r="AD904" s="268"/>
      <c r="AE904" s="268"/>
    </row>
    <row r="905" spans="1:31" ht="15.75" customHeight="1">
      <c r="A905" s="252"/>
      <c r="B905" s="252"/>
      <c r="C905" s="252"/>
      <c r="D905" s="252"/>
      <c r="E905" s="252"/>
      <c r="F905" s="252"/>
      <c r="G905" s="252"/>
      <c r="H905" s="252"/>
      <c r="I905" s="252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  <c r="AA905" s="268"/>
      <c r="AB905" s="268"/>
      <c r="AC905" s="268"/>
      <c r="AD905" s="268"/>
      <c r="AE905" s="268"/>
    </row>
    <row r="906" spans="1:31" ht="15.75" customHeight="1">
      <c r="A906" s="252"/>
      <c r="B906" s="252"/>
      <c r="C906" s="252"/>
      <c r="D906" s="252"/>
      <c r="E906" s="252"/>
      <c r="F906" s="252"/>
      <c r="G906" s="252"/>
      <c r="H906" s="252"/>
      <c r="I906" s="252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  <c r="AA906" s="268"/>
      <c r="AB906" s="268"/>
      <c r="AC906" s="268"/>
      <c r="AD906" s="268"/>
      <c r="AE906" s="268"/>
    </row>
    <row r="907" spans="1:31" ht="15.75" customHeight="1">
      <c r="A907" s="252"/>
      <c r="B907" s="252"/>
      <c r="C907" s="252"/>
      <c r="D907" s="252"/>
      <c r="E907" s="252"/>
      <c r="F907" s="252"/>
      <c r="G907" s="252"/>
      <c r="H907" s="252"/>
      <c r="I907" s="252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  <c r="AA907" s="268"/>
      <c r="AB907" s="268"/>
      <c r="AC907" s="268"/>
      <c r="AD907" s="268"/>
      <c r="AE907" s="268"/>
    </row>
    <row r="908" spans="1:31" ht="15.75" customHeight="1">
      <c r="A908" s="252"/>
      <c r="B908" s="252"/>
      <c r="C908" s="252"/>
      <c r="D908" s="252"/>
      <c r="E908" s="252"/>
      <c r="F908" s="252"/>
      <c r="G908" s="252"/>
      <c r="H908" s="252"/>
      <c r="I908" s="252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  <c r="AA908" s="268"/>
      <c r="AB908" s="268"/>
      <c r="AC908" s="268"/>
      <c r="AD908" s="268"/>
      <c r="AE908" s="268"/>
    </row>
    <row r="909" spans="1:31" ht="15.75" customHeight="1">
      <c r="A909" s="252"/>
      <c r="B909" s="252"/>
      <c r="C909" s="252"/>
      <c r="D909" s="252"/>
      <c r="E909" s="252"/>
      <c r="F909" s="252"/>
      <c r="G909" s="252"/>
      <c r="H909" s="252"/>
      <c r="I909" s="252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  <c r="AA909" s="268"/>
      <c r="AB909" s="268"/>
      <c r="AC909" s="268"/>
      <c r="AD909" s="268"/>
      <c r="AE909" s="268"/>
    </row>
    <row r="910" spans="1:31" ht="15.75" customHeight="1">
      <c r="A910" s="252"/>
      <c r="B910" s="252"/>
      <c r="C910" s="252"/>
      <c r="D910" s="252"/>
      <c r="E910" s="252"/>
      <c r="F910" s="252"/>
      <c r="G910" s="252"/>
      <c r="H910" s="252"/>
      <c r="I910" s="252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  <c r="AA910" s="268"/>
      <c r="AB910" s="268"/>
      <c r="AC910" s="268"/>
      <c r="AD910" s="268"/>
      <c r="AE910" s="268"/>
    </row>
    <row r="911" spans="1:31" ht="15.75" customHeight="1">
      <c r="A911" s="252"/>
      <c r="B911" s="252"/>
      <c r="C911" s="252"/>
      <c r="D911" s="252"/>
      <c r="E911" s="252"/>
      <c r="F911" s="252"/>
      <c r="G911" s="252"/>
      <c r="H911" s="252"/>
      <c r="I911" s="252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  <c r="AA911" s="268"/>
      <c r="AB911" s="268"/>
      <c r="AC911" s="268"/>
      <c r="AD911" s="268"/>
      <c r="AE911" s="268"/>
    </row>
    <row r="912" spans="1:31" ht="15.75" customHeight="1">
      <c r="A912" s="252"/>
      <c r="B912" s="252"/>
      <c r="C912" s="252"/>
      <c r="D912" s="252"/>
      <c r="E912" s="252"/>
      <c r="F912" s="252"/>
      <c r="G912" s="252"/>
      <c r="H912" s="252"/>
      <c r="I912" s="252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  <c r="AA912" s="268"/>
      <c r="AB912" s="268"/>
      <c r="AC912" s="268"/>
      <c r="AD912" s="268"/>
      <c r="AE912" s="268"/>
    </row>
    <row r="913" spans="1:31" ht="15.75" customHeight="1">
      <c r="A913" s="252"/>
      <c r="B913" s="252"/>
      <c r="C913" s="252"/>
      <c r="D913" s="252"/>
      <c r="E913" s="252"/>
      <c r="F913" s="252"/>
      <c r="G913" s="252"/>
      <c r="H913" s="252"/>
      <c r="I913" s="252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  <c r="AA913" s="268"/>
      <c r="AB913" s="268"/>
      <c r="AC913" s="268"/>
      <c r="AD913" s="268"/>
      <c r="AE913" s="268"/>
    </row>
    <row r="914" spans="1:31" ht="15.75" customHeight="1">
      <c r="A914" s="252"/>
      <c r="B914" s="252"/>
      <c r="C914" s="252"/>
      <c r="D914" s="252"/>
      <c r="E914" s="252"/>
      <c r="F914" s="252"/>
      <c r="G914" s="252"/>
      <c r="H914" s="252"/>
      <c r="I914" s="252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  <c r="AA914" s="268"/>
      <c r="AB914" s="268"/>
      <c r="AC914" s="268"/>
      <c r="AD914" s="268"/>
      <c r="AE914" s="268"/>
    </row>
    <row r="915" spans="1:31" ht="15.75" customHeight="1">
      <c r="A915" s="252"/>
      <c r="B915" s="252"/>
      <c r="C915" s="252"/>
      <c r="D915" s="252"/>
      <c r="E915" s="252"/>
      <c r="F915" s="252"/>
      <c r="G915" s="252"/>
      <c r="H915" s="252"/>
      <c r="I915" s="252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  <c r="AA915" s="268"/>
      <c r="AB915" s="268"/>
      <c r="AC915" s="268"/>
      <c r="AD915" s="268"/>
      <c r="AE915" s="268"/>
    </row>
    <row r="916" spans="1:31" ht="15.75" customHeight="1">
      <c r="A916" s="252"/>
      <c r="B916" s="252"/>
      <c r="C916" s="252"/>
      <c r="D916" s="252"/>
      <c r="E916" s="252"/>
      <c r="F916" s="252"/>
      <c r="G916" s="252"/>
      <c r="H916" s="252"/>
      <c r="I916" s="252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  <c r="AA916" s="268"/>
      <c r="AB916" s="268"/>
      <c r="AC916" s="268"/>
      <c r="AD916" s="268"/>
      <c r="AE916" s="268"/>
    </row>
    <row r="917" spans="1:31" ht="15.75" customHeight="1">
      <c r="A917" s="252"/>
      <c r="B917" s="252"/>
      <c r="C917" s="252"/>
      <c r="D917" s="252"/>
      <c r="E917" s="252"/>
      <c r="F917" s="252"/>
      <c r="G917" s="252"/>
      <c r="H917" s="252"/>
      <c r="I917" s="252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  <c r="AA917" s="268"/>
      <c r="AB917" s="268"/>
      <c r="AC917" s="268"/>
      <c r="AD917" s="268"/>
      <c r="AE917" s="268"/>
    </row>
    <row r="918" spans="1:31" ht="15.75" customHeight="1">
      <c r="A918" s="252"/>
      <c r="B918" s="252"/>
      <c r="C918" s="252"/>
      <c r="D918" s="252"/>
      <c r="E918" s="252"/>
      <c r="F918" s="252"/>
      <c r="G918" s="252"/>
      <c r="H918" s="252"/>
      <c r="I918" s="252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  <c r="AA918" s="268"/>
      <c r="AB918" s="268"/>
      <c r="AC918" s="268"/>
      <c r="AD918" s="268"/>
      <c r="AE918" s="268"/>
    </row>
    <row r="919" spans="1:31" ht="15.75" customHeight="1">
      <c r="A919" s="252"/>
      <c r="B919" s="252"/>
      <c r="C919" s="252"/>
      <c r="D919" s="252"/>
      <c r="E919" s="252"/>
      <c r="F919" s="252"/>
      <c r="G919" s="252"/>
      <c r="H919" s="252"/>
      <c r="I919" s="252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  <c r="AA919" s="268"/>
      <c r="AB919" s="268"/>
      <c r="AC919" s="268"/>
      <c r="AD919" s="268"/>
      <c r="AE919" s="268"/>
    </row>
    <row r="920" spans="1:31" ht="15.75" customHeight="1">
      <c r="A920" s="252"/>
      <c r="B920" s="252"/>
      <c r="C920" s="252"/>
      <c r="D920" s="252"/>
      <c r="E920" s="252"/>
      <c r="F920" s="252"/>
      <c r="G920" s="252"/>
      <c r="H920" s="252"/>
      <c r="I920" s="252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  <c r="AA920" s="268"/>
      <c r="AB920" s="268"/>
      <c r="AC920" s="268"/>
      <c r="AD920" s="268"/>
      <c r="AE920" s="268"/>
    </row>
    <row r="921" spans="1:31" ht="15.75" customHeight="1">
      <c r="A921" s="252"/>
      <c r="B921" s="252"/>
      <c r="C921" s="252"/>
      <c r="D921" s="252"/>
      <c r="E921" s="252"/>
      <c r="F921" s="252"/>
      <c r="G921" s="252"/>
      <c r="H921" s="252"/>
      <c r="I921" s="252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  <c r="AA921" s="268"/>
      <c r="AB921" s="268"/>
      <c r="AC921" s="268"/>
      <c r="AD921" s="268"/>
      <c r="AE921" s="268"/>
    </row>
    <row r="922" spans="1:31" ht="15.75" customHeight="1">
      <c r="A922" s="252"/>
      <c r="B922" s="252"/>
      <c r="C922" s="252"/>
      <c r="D922" s="252"/>
      <c r="E922" s="252"/>
      <c r="F922" s="252"/>
      <c r="G922" s="252"/>
      <c r="H922" s="252"/>
      <c r="I922" s="252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  <c r="AA922" s="268"/>
      <c r="AB922" s="268"/>
      <c r="AC922" s="268"/>
      <c r="AD922" s="268"/>
      <c r="AE922" s="268"/>
    </row>
    <row r="923" spans="1:31" ht="15.75" customHeight="1">
      <c r="A923" s="252"/>
      <c r="B923" s="252"/>
      <c r="C923" s="252"/>
      <c r="D923" s="252"/>
      <c r="E923" s="252"/>
      <c r="F923" s="252"/>
      <c r="G923" s="252"/>
      <c r="H923" s="252"/>
      <c r="I923" s="252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  <c r="AA923" s="268"/>
      <c r="AB923" s="268"/>
      <c r="AC923" s="268"/>
      <c r="AD923" s="268"/>
      <c r="AE923" s="268"/>
    </row>
    <row r="924" spans="1:31" ht="15.75" customHeight="1">
      <c r="A924" s="252"/>
      <c r="B924" s="252"/>
      <c r="C924" s="252"/>
      <c r="D924" s="252"/>
      <c r="E924" s="252"/>
      <c r="F924" s="252"/>
      <c r="G924" s="252"/>
      <c r="H924" s="252"/>
      <c r="I924" s="252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  <c r="AA924" s="268"/>
      <c r="AB924" s="268"/>
      <c r="AC924" s="268"/>
      <c r="AD924" s="268"/>
      <c r="AE924" s="268"/>
    </row>
    <row r="925" spans="1:31" ht="15.75" customHeight="1">
      <c r="A925" s="252"/>
      <c r="B925" s="252"/>
      <c r="C925" s="252"/>
      <c r="D925" s="252"/>
      <c r="E925" s="252"/>
      <c r="F925" s="252"/>
      <c r="G925" s="252"/>
      <c r="H925" s="252"/>
      <c r="I925" s="252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  <c r="AA925" s="268"/>
      <c r="AB925" s="268"/>
      <c r="AC925" s="268"/>
      <c r="AD925" s="268"/>
      <c r="AE925" s="268"/>
    </row>
    <row r="926" spans="1:31" ht="15.75" customHeight="1">
      <c r="A926" s="252"/>
      <c r="B926" s="252"/>
      <c r="C926" s="252"/>
      <c r="D926" s="252"/>
      <c r="E926" s="252"/>
      <c r="F926" s="252"/>
      <c r="G926" s="252"/>
      <c r="H926" s="252"/>
      <c r="I926" s="252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  <c r="AA926" s="268"/>
      <c r="AB926" s="268"/>
      <c r="AC926" s="268"/>
      <c r="AD926" s="268"/>
      <c r="AE926" s="268"/>
    </row>
    <row r="927" spans="1:31" ht="15.75" customHeight="1">
      <c r="A927" s="252"/>
      <c r="B927" s="252"/>
      <c r="C927" s="252"/>
      <c r="D927" s="252"/>
      <c r="E927" s="252"/>
      <c r="F927" s="252"/>
      <c r="G927" s="252"/>
      <c r="H927" s="252"/>
      <c r="I927" s="252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  <c r="AA927" s="268"/>
      <c r="AB927" s="268"/>
      <c r="AC927" s="268"/>
      <c r="AD927" s="268"/>
      <c r="AE927" s="268"/>
    </row>
    <row r="928" spans="1:31" ht="15.75" customHeight="1">
      <c r="A928" s="252"/>
      <c r="B928" s="252"/>
      <c r="C928" s="252"/>
      <c r="D928" s="252"/>
      <c r="E928" s="252"/>
      <c r="F928" s="252"/>
      <c r="G928" s="252"/>
      <c r="H928" s="252"/>
      <c r="I928" s="252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  <c r="AA928" s="268"/>
      <c r="AB928" s="268"/>
      <c r="AC928" s="268"/>
      <c r="AD928" s="268"/>
      <c r="AE928" s="268"/>
    </row>
    <row r="929" spans="1:31" ht="15.75" customHeight="1">
      <c r="A929" s="252"/>
      <c r="B929" s="252"/>
      <c r="C929" s="252"/>
      <c r="D929" s="252"/>
      <c r="E929" s="252"/>
      <c r="F929" s="252"/>
      <c r="G929" s="252"/>
      <c r="H929" s="252"/>
      <c r="I929" s="252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  <c r="AA929" s="268"/>
      <c r="AB929" s="268"/>
      <c r="AC929" s="268"/>
      <c r="AD929" s="268"/>
      <c r="AE929" s="268"/>
    </row>
    <row r="930" spans="1:31" ht="15.75" customHeight="1">
      <c r="A930" s="252"/>
      <c r="B930" s="252"/>
      <c r="C930" s="252"/>
      <c r="D930" s="252"/>
      <c r="E930" s="252"/>
      <c r="F930" s="252"/>
      <c r="G930" s="252"/>
      <c r="H930" s="252"/>
      <c r="I930" s="252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  <c r="AA930" s="268"/>
      <c r="AB930" s="268"/>
      <c r="AC930" s="268"/>
      <c r="AD930" s="268"/>
      <c r="AE930" s="268"/>
    </row>
    <row r="931" spans="1:31" ht="15.75" customHeight="1">
      <c r="A931" s="252"/>
      <c r="B931" s="252"/>
      <c r="C931" s="252"/>
      <c r="D931" s="252"/>
      <c r="E931" s="252"/>
      <c r="F931" s="252"/>
      <c r="G931" s="252"/>
      <c r="H931" s="252"/>
      <c r="I931" s="252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  <c r="AA931" s="268"/>
      <c r="AB931" s="268"/>
      <c r="AC931" s="268"/>
      <c r="AD931" s="268"/>
      <c r="AE931" s="268"/>
    </row>
    <row r="932" spans="1:31" ht="15.75" customHeight="1">
      <c r="A932" s="252"/>
      <c r="B932" s="252"/>
      <c r="C932" s="252"/>
      <c r="D932" s="252"/>
      <c r="E932" s="252"/>
      <c r="F932" s="252"/>
      <c r="G932" s="252"/>
      <c r="H932" s="252"/>
      <c r="I932" s="252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  <c r="AA932" s="268"/>
      <c r="AB932" s="268"/>
      <c r="AC932" s="268"/>
      <c r="AD932" s="268"/>
      <c r="AE932" s="268"/>
    </row>
    <row r="933" spans="1:31" ht="15.75" customHeight="1">
      <c r="A933" s="252"/>
      <c r="B933" s="252"/>
      <c r="C933" s="252"/>
      <c r="D933" s="252"/>
      <c r="E933" s="252"/>
      <c r="F933" s="252"/>
      <c r="G933" s="252"/>
      <c r="H933" s="252"/>
      <c r="I933" s="252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  <c r="AA933" s="268"/>
      <c r="AB933" s="268"/>
      <c r="AC933" s="268"/>
      <c r="AD933" s="268"/>
      <c r="AE933" s="268"/>
    </row>
    <row r="934" spans="1:31" ht="15.75" customHeight="1">
      <c r="A934" s="252"/>
      <c r="B934" s="252"/>
      <c r="C934" s="252"/>
      <c r="D934" s="252"/>
      <c r="E934" s="252"/>
      <c r="F934" s="252"/>
      <c r="G934" s="252"/>
      <c r="H934" s="252"/>
      <c r="I934" s="252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  <c r="AA934" s="268"/>
      <c r="AB934" s="268"/>
      <c r="AC934" s="268"/>
      <c r="AD934" s="268"/>
      <c r="AE934" s="268"/>
    </row>
    <row r="935" spans="1:31" ht="15.75" customHeight="1">
      <c r="A935" s="252"/>
      <c r="B935" s="252"/>
      <c r="C935" s="252"/>
      <c r="D935" s="252"/>
      <c r="E935" s="252"/>
      <c r="F935" s="252"/>
      <c r="G935" s="252"/>
      <c r="H935" s="252"/>
      <c r="I935" s="252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  <c r="AA935" s="268"/>
      <c r="AB935" s="268"/>
      <c r="AC935" s="268"/>
      <c r="AD935" s="268"/>
      <c r="AE935" s="268"/>
    </row>
    <row r="936" spans="1:31" ht="15.75" customHeight="1">
      <c r="A936" s="252"/>
      <c r="B936" s="252"/>
      <c r="C936" s="252"/>
      <c r="D936" s="252"/>
      <c r="E936" s="252"/>
      <c r="F936" s="252"/>
      <c r="G936" s="252"/>
      <c r="H936" s="252"/>
      <c r="I936" s="252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  <c r="AA936" s="268"/>
      <c r="AB936" s="268"/>
      <c r="AC936" s="268"/>
      <c r="AD936" s="268"/>
      <c r="AE936" s="268"/>
    </row>
    <row r="937" spans="1:31" ht="15.75" customHeight="1">
      <c r="A937" s="252"/>
      <c r="B937" s="252"/>
      <c r="C937" s="252"/>
      <c r="D937" s="252"/>
      <c r="E937" s="252"/>
      <c r="F937" s="252"/>
      <c r="G937" s="252"/>
      <c r="H937" s="252"/>
      <c r="I937" s="252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  <c r="AA937" s="268"/>
      <c r="AB937" s="268"/>
      <c r="AC937" s="268"/>
      <c r="AD937" s="268"/>
      <c r="AE937" s="268"/>
    </row>
    <row r="938" spans="1:31" ht="15.75" customHeight="1">
      <c r="A938" s="252"/>
      <c r="B938" s="252"/>
      <c r="C938" s="252"/>
      <c r="D938" s="252"/>
      <c r="E938" s="252"/>
      <c r="F938" s="252"/>
      <c r="G938" s="252"/>
      <c r="H938" s="252"/>
      <c r="I938" s="252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  <c r="AA938" s="268"/>
      <c r="AB938" s="268"/>
      <c r="AC938" s="268"/>
      <c r="AD938" s="268"/>
      <c r="AE938" s="268"/>
    </row>
    <row r="939" spans="1:31" ht="15.75" customHeight="1">
      <c r="A939" s="252"/>
      <c r="B939" s="252"/>
      <c r="C939" s="252"/>
      <c r="D939" s="252"/>
      <c r="E939" s="252"/>
      <c r="F939" s="252"/>
      <c r="G939" s="252"/>
      <c r="H939" s="252"/>
      <c r="I939" s="252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  <c r="AA939" s="268"/>
      <c r="AB939" s="268"/>
      <c r="AC939" s="268"/>
      <c r="AD939" s="268"/>
      <c r="AE939" s="268"/>
    </row>
    <row r="940" spans="1:31" ht="15.75" customHeight="1">
      <c r="A940" s="252"/>
      <c r="B940" s="252"/>
      <c r="C940" s="252"/>
      <c r="D940" s="252"/>
      <c r="E940" s="252"/>
      <c r="F940" s="252"/>
      <c r="G940" s="252"/>
      <c r="H940" s="252"/>
      <c r="I940" s="252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  <c r="AA940" s="268"/>
      <c r="AB940" s="268"/>
      <c r="AC940" s="268"/>
      <c r="AD940" s="268"/>
      <c r="AE940" s="268"/>
    </row>
    <row r="941" spans="1:31" ht="15.75" customHeight="1">
      <c r="A941" s="252"/>
      <c r="B941" s="252"/>
      <c r="C941" s="252"/>
      <c r="D941" s="252"/>
      <c r="E941" s="252"/>
      <c r="F941" s="252"/>
      <c r="G941" s="252"/>
      <c r="H941" s="252"/>
      <c r="I941" s="252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  <c r="AA941" s="268"/>
      <c r="AB941" s="268"/>
      <c r="AC941" s="268"/>
      <c r="AD941" s="268"/>
      <c r="AE941" s="268"/>
    </row>
    <row r="942" spans="1:31" ht="15.75" customHeight="1">
      <c r="A942" s="252"/>
      <c r="B942" s="252"/>
      <c r="C942" s="252"/>
      <c r="D942" s="252"/>
      <c r="E942" s="252"/>
      <c r="F942" s="252"/>
      <c r="G942" s="252"/>
      <c r="H942" s="252"/>
      <c r="I942" s="252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  <c r="AA942" s="268"/>
      <c r="AB942" s="268"/>
      <c r="AC942" s="268"/>
      <c r="AD942" s="268"/>
      <c r="AE942" s="268"/>
    </row>
    <row r="943" spans="1:31" ht="15.75" customHeight="1">
      <c r="A943" s="252"/>
      <c r="B943" s="252"/>
      <c r="C943" s="252"/>
      <c r="D943" s="252"/>
      <c r="E943" s="252"/>
      <c r="F943" s="252"/>
      <c r="G943" s="252"/>
      <c r="H943" s="252"/>
      <c r="I943" s="252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  <c r="AA943" s="268"/>
      <c r="AB943" s="268"/>
      <c r="AC943" s="268"/>
      <c r="AD943" s="268"/>
      <c r="AE943" s="268"/>
    </row>
    <row r="944" spans="1:31" ht="15.75" customHeight="1">
      <c r="A944" s="252"/>
      <c r="B944" s="252"/>
      <c r="C944" s="252"/>
      <c r="D944" s="252"/>
      <c r="E944" s="252"/>
      <c r="F944" s="252"/>
      <c r="G944" s="252"/>
      <c r="H944" s="252"/>
      <c r="I944" s="252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  <c r="AA944" s="268"/>
      <c r="AB944" s="268"/>
      <c r="AC944" s="268"/>
      <c r="AD944" s="268"/>
      <c r="AE944" s="268"/>
    </row>
    <row r="945" spans="1:31" ht="15.75" customHeigh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  <c r="AA945" s="268"/>
      <c r="AB945" s="268"/>
      <c r="AC945" s="268"/>
      <c r="AD945" s="268"/>
      <c r="AE945" s="268"/>
    </row>
    <row r="946" spans="1:31" ht="15.75" customHeight="1">
      <c r="A946" s="252"/>
      <c r="B946" s="252"/>
      <c r="C946" s="252"/>
      <c r="D946" s="252"/>
      <c r="E946" s="252"/>
      <c r="F946" s="252"/>
      <c r="G946" s="252"/>
      <c r="H946" s="252"/>
      <c r="I946" s="252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  <c r="AA946" s="268"/>
      <c r="AB946" s="268"/>
      <c r="AC946" s="268"/>
      <c r="AD946" s="268"/>
      <c r="AE946" s="268"/>
    </row>
    <row r="947" spans="1:31" ht="15.75" customHeight="1">
      <c r="A947" s="252"/>
      <c r="B947" s="252"/>
      <c r="C947" s="252"/>
      <c r="D947" s="252"/>
      <c r="E947" s="252"/>
      <c r="F947" s="252"/>
      <c r="G947" s="252"/>
      <c r="H947" s="252"/>
      <c r="I947" s="252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  <c r="AA947" s="268"/>
      <c r="AB947" s="268"/>
      <c r="AC947" s="268"/>
      <c r="AD947" s="268"/>
      <c r="AE947" s="268"/>
    </row>
    <row r="948" spans="1:31" ht="15.75" customHeight="1">
      <c r="A948" s="252"/>
      <c r="B948" s="252"/>
      <c r="C948" s="252"/>
      <c r="D948" s="252"/>
      <c r="E948" s="252"/>
      <c r="F948" s="252"/>
      <c r="G948" s="252"/>
      <c r="H948" s="252"/>
      <c r="I948" s="252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  <c r="AA948" s="268"/>
      <c r="AB948" s="268"/>
      <c r="AC948" s="268"/>
      <c r="AD948" s="268"/>
      <c r="AE948" s="268"/>
    </row>
    <row r="949" spans="1:31" ht="15.75" customHeight="1">
      <c r="A949" s="252"/>
      <c r="B949" s="252"/>
      <c r="C949" s="252"/>
      <c r="D949" s="252"/>
      <c r="E949" s="252"/>
      <c r="F949" s="252"/>
      <c r="G949" s="252"/>
      <c r="H949" s="252"/>
      <c r="I949" s="252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  <c r="AA949" s="268"/>
      <c r="AB949" s="268"/>
      <c r="AC949" s="268"/>
      <c r="AD949" s="268"/>
      <c r="AE949" s="268"/>
    </row>
    <row r="950" spans="1:31" ht="15.75" customHeight="1">
      <c r="A950" s="252"/>
      <c r="B950" s="252"/>
      <c r="C950" s="252"/>
      <c r="D950" s="252"/>
      <c r="E950" s="252"/>
      <c r="F950" s="252"/>
      <c r="G950" s="252"/>
      <c r="H950" s="252"/>
      <c r="I950" s="252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  <c r="AA950" s="268"/>
      <c r="AB950" s="268"/>
      <c r="AC950" s="268"/>
      <c r="AD950" s="268"/>
      <c r="AE950" s="268"/>
    </row>
    <row r="951" spans="1:31" ht="15.75" customHeight="1">
      <c r="A951" s="252"/>
      <c r="B951" s="252"/>
      <c r="C951" s="252"/>
      <c r="D951" s="252"/>
      <c r="E951" s="252"/>
      <c r="F951" s="252"/>
      <c r="G951" s="252"/>
      <c r="H951" s="252"/>
      <c r="I951" s="252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  <c r="AA951" s="268"/>
      <c r="AB951" s="268"/>
      <c r="AC951" s="268"/>
      <c r="AD951" s="268"/>
      <c r="AE951" s="268"/>
    </row>
    <row r="952" spans="1:31" ht="15.75" customHeight="1">
      <c r="A952" s="252"/>
      <c r="B952" s="252"/>
      <c r="C952" s="252"/>
      <c r="D952" s="252"/>
      <c r="E952" s="252"/>
      <c r="F952" s="252"/>
      <c r="G952" s="252"/>
      <c r="H952" s="252"/>
      <c r="I952" s="252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  <c r="AA952" s="268"/>
      <c r="AB952" s="268"/>
      <c r="AC952" s="268"/>
      <c r="AD952" s="268"/>
      <c r="AE952" s="268"/>
    </row>
    <row r="953" spans="1:31" ht="15.75" customHeight="1">
      <c r="A953" s="252"/>
      <c r="B953" s="252"/>
      <c r="C953" s="252"/>
      <c r="D953" s="252"/>
      <c r="E953" s="252"/>
      <c r="F953" s="252"/>
      <c r="G953" s="252"/>
      <c r="H953" s="252"/>
      <c r="I953" s="252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  <c r="AA953" s="268"/>
      <c r="AB953" s="268"/>
      <c r="AC953" s="268"/>
      <c r="AD953" s="268"/>
      <c r="AE953" s="268"/>
    </row>
    <row r="954" spans="1:31" ht="15.75" customHeight="1">
      <c r="A954" s="252"/>
      <c r="B954" s="252"/>
      <c r="C954" s="252"/>
      <c r="D954" s="252"/>
      <c r="E954" s="252"/>
      <c r="F954" s="252"/>
      <c r="G954" s="252"/>
      <c r="H954" s="252"/>
      <c r="I954" s="252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  <c r="AA954" s="268"/>
      <c r="AB954" s="268"/>
      <c r="AC954" s="268"/>
      <c r="AD954" s="268"/>
      <c r="AE954" s="268"/>
    </row>
    <row r="955" spans="1:31" ht="15.75" customHeight="1">
      <c r="A955" s="252"/>
      <c r="B955" s="252"/>
      <c r="C955" s="252"/>
      <c r="D955" s="252"/>
      <c r="E955" s="252"/>
      <c r="F955" s="252"/>
      <c r="G955" s="252"/>
      <c r="H955" s="252"/>
      <c r="I955" s="252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  <c r="AA955" s="268"/>
      <c r="AB955" s="268"/>
      <c r="AC955" s="268"/>
      <c r="AD955" s="268"/>
      <c r="AE955" s="268"/>
    </row>
    <row r="956" spans="1:31" ht="15.75" customHeight="1">
      <c r="A956" s="252"/>
      <c r="B956" s="252"/>
      <c r="C956" s="252"/>
      <c r="D956" s="252"/>
      <c r="E956" s="252"/>
      <c r="F956" s="252"/>
      <c r="G956" s="252"/>
      <c r="H956" s="252"/>
      <c r="I956" s="252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  <c r="AA956" s="268"/>
      <c r="AB956" s="268"/>
      <c r="AC956" s="268"/>
      <c r="AD956" s="268"/>
      <c r="AE956" s="268"/>
    </row>
    <row r="957" spans="1:31" ht="15.75" customHeight="1">
      <c r="A957" s="252"/>
      <c r="B957" s="252"/>
      <c r="C957" s="252"/>
      <c r="D957" s="252"/>
      <c r="E957" s="252"/>
      <c r="F957" s="252"/>
      <c r="G957" s="252"/>
      <c r="H957" s="252"/>
      <c r="I957" s="252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  <c r="AA957" s="268"/>
      <c r="AB957" s="268"/>
      <c r="AC957" s="268"/>
      <c r="AD957" s="268"/>
      <c r="AE957" s="268"/>
    </row>
    <row r="958" spans="1:31" ht="15.75" customHeight="1">
      <c r="A958" s="252"/>
      <c r="B958" s="252"/>
      <c r="C958" s="252"/>
      <c r="D958" s="252"/>
      <c r="E958" s="252"/>
      <c r="F958" s="252"/>
      <c r="G958" s="252"/>
      <c r="H958" s="252"/>
      <c r="I958" s="252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  <c r="AA958" s="268"/>
      <c r="AB958" s="268"/>
      <c r="AC958" s="268"/>
      <c r="AD958" s="268"/>
      <c r="AE958" s="268"/>
    </row>
    <row r="959" spans="1:31" ht="15.75" customHeight="1">
      <c r="A959" s="252"/>
      <c r="B959" s="252"/>
      <c r="C959" s="252"/>
      <c r="D959" s="252"/>
      <c r="E959" s="252"/>
      <c r="F959" s="252"/>
      <c r="G959" s="252"/>
      <c r="H959" s="252"/>
      <c r="I959" s="252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  <c r="AA959" s="268"/>
      <c r="AB959" s="268"/>
      <c r="AC959" s="268"/>
      <c r="AD959" s="268"/>
      <c r="AE959" s="268"/>
    </row>
    <row r="960" spans="1:31" ht="15.75" customHeight="1">
      <c r="A960" s="252"/>
      <c r="B960" s="252"/>
      <c r="C960" s="252"/>
      <c r="D960" s="252"/>
      <c r="E960" s="252"/>
      <c r="F960" s="252"/>
      <c r="G960" s="252"/>
      <c r="H960" s="252"/>
      <c r="I960" s="252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  <c r="AA960" s="268"/>
      <c r="AB960" s="268"/>
      <c r="AC960" s="268"/>
      <c r="AD960" s="268"/>
      <c r="AE960" s="268"/>
    </row>
    <row r="961" spans="1:31" ht="15.75" customHeight="1">
      <c r="A961" s="252"/>
      <c r="B961" s="252"/>
      <c r="C961" s="252"/>
      <c r="D961" s="252"/>
      <c r="E961" s="252"/>
      <c r="F961" s="252"/>
      <c r="G961" s="252"/>
      <c r="H961" s="252"/>
      <c r="I961" s="252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  <c r="AA961" s="268"/>
      <c r="AB961" s="268"/>
      <c r="AC961" s="268"/>
      <c r="AD961" s="268"/>
      <c r="AE961" s="268"/>
    </row>
    <row r="962" spans="1:31" ht="15.75" customHeight="1">
      <c r="A962" s="252"/>
      <c r="B962" s="252"/>
      <c r="C962" s="252"/>
      <c r="D962" s="252"/>
      <c r="E962" s="252"/>
      <c r="F962" s="252"/>
      <c r="G962" s="252"/>
      <c r="H962" s="252"/>
      <c r="I962" s="252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  <c r="AA962" s="268"/>
      <c r="AB962" s="268"/>
      <c r="AC962" s="268"/>
      <c r="AD962" s="268"/>
      <c r="AE962" s="268"/>
    </row>
    <row r="963" spans="1:31" ht="15.75" customHeight="1">
      <c r="A963" s="252"/>
      <c r="B963" s="252"/>
      <c r="C963" s="252"/>
      <c r="D963" s="252"/>
      <c r="E963" s="252"/>
      <c r="F963" s="252"/>
      <c r="G963" s="252"/>
      <c r="H963" s="252"/>
      <c r="I963" s="252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  <c r="AA963" s="268"/>
      <c r="AB963" s="268"/>
      <c r="AC963" s="268"/>
      <c r="AD963" s="268"/>
      <c r="AE963" s="268"/>
    </row>
    <row r="964" spans="1:31" ht="15.75" customHeight="1">
      <c r="A964" s="252"/>
      <c r="B964" s="252"/>
      <c r="C964" s="252"/>
      <c r="D964" s="252"/>
      <c r="E964" s="252"/>
      <c r="F964" s="252"/>
      <c r="G964" s="252"/>
      <c r="H964" s="252"/>
      <c r="I964" s="252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  <c r="AA964" s="268"/>
      <c r="AB964" s="268"/>
      <c r="AC964" s="268"/>
      <c r="AD964" s="268"/>
      <c r="AE964" s="268"/>
    </row>
    <row r="965" spans="1:31" ht="15.75" customHeight="1">
      <c r="A965" s="252"/>
      <c r="B965" s="252"/>
      <c r="C965" s="252"/>
      <c r="D965" s="252"/>
      <c r="E965" s="252"/>
      <c r="F965" s="252"/>
      <c r="G965" s="252"/>
      <c r="H965" s="252"/>
      <c r="I965" s="252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  <c r="AA965" s="268"/>
      <c r="AB965" s="268"/>
      <c r="AC965" s="268"/>
      <c r="AD965" s="268"/>
      <c r="AE965" s="268"/>
    </row>
    <row r="966" spans="1:31" ht="15.75" customHeight="1">
      <c r="A966" s="252"/>
      <c r="B966" s="252"/>
      <c r="C966" s="252"/>
      <c r="D966" s="252"/>
      <c r="E966" s="252"/>
      <c r="F966" s="252"/>
      <c r="G966" s="252"/>
      <c r="H966" s="252"/>
      <c r="I966" s="252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  <c r="AA966" s="268"/>
      <c r="AB966" s="268"/>
      <c r="AC966" s="268"/>
      <c r="AD966" s="268"/>
      <c r="AE966" s="268"/>
    </row>
    <row r="967" spans="1:31" ht="15.75" customHeight="1">
      <c r="A967" s="252"/>
      <c r="B967" s="252"/>
      <c r="C967" s="252"/>
      <c r="D967" s="252"/>
      <c r="E967" s="252"/>
      <c r="F967" s="252"/>
      <c r="G967" s="252"/>
      <c r="H967" s="252"/>
      <c r="I967" s="252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  <c r="AA967" s="268"/>
      <c r="AB967" s="268"/>
      <c r="AC967" s="268"/>
      <c r="AD967" s="268"/>
      <c r="AE967" s="268"/>
    </row>
    <row r="968" spans="1:31" ht="15.75" customHeight="1">
      <c r="A968" s="252"/>
      <c r="B968" s="252"/>
      <c r="C968" s="252"/>
      <c r="D968" s="252"/>
      <c r="E968" s="252"/>
      <c r="F968" s="252"/>
      <c r="G968" s="252"/>
      <c r="H968" s="252"/>
      <c r="I968" s="252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  <c r="AA968" s="268"/>
      <c r="AB968" s="268"/>
      <c r="AC968" s="268"/>
      <c r="AD968" s="268"/>
      <c r="AE968" s="268"/>
    </row>
    <row r="969" spans="1:31" ht="15.75" customHeight="1">
      <c r="A969" s="252"/>
      <c r="B969" s="252"/>
      <c r="C969" s="252"/>
      <c r="D969" s="252"/>
      <c r="E969" s="252"/>
      <c r="F969" s="252"/>
      <c r="G969" s="252"/>
      <c r="H969" s="252"/>
      <c r="I969" s="252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  <c r="AA969" s="268"/>
      <c r="AB969" s="268"/>
      <c r="AC969" s="268"/>
      <c r="AD969" s="268"/>
      <c r="AE969" s="268"/>
    </row>
    <row r="970" spans="1:31" ht="15.75" customHeight="1">
      <c r="A970" s="252"/>
      <c r="B970" s="252"/>
      <c r="C970" s="252"/>
      <c r="D970" s="252"/>
      <c r="E970" s="252"/>
      <c r="F970" s="252"/>
      <c r="G970" s="252"/>
      <c r="H970" s="252"/>
      <c r="I970" s="252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  <c r="AA970" s="268"/>
      <c r="AB970" s="268"/>
      <c r="AC970" s="268"/>
      <c r="AD970" s="268"/>
      <c r="AE970" s="268"/>
    </row>
    <row r="971" spans="1:31" ht="15.75" customHeight="1">
      <c r="A971" s="252"/>
      <c r="B971" s="252"/>
      <c r="C971" s="252"/>
      <c r="D971" s="252"/>
      <c r="E971" s="252"/>
      <c r="F971" s="252"/>
      <c r="G971" s="252"/>
      <c r="H971" s="252"/>
      <c r="I971" s="252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  <c r="AA971" s="268"/>
      <c r="AB971" s="268"/>
      <c r="AC971" s="268"/>
      <c r="AD971" s="268"/>
      <c r="AE971" s="268"/>
    </row>
    <row r="972" spans="1:31" ht="15.75" customHeight="1">
      <c r="A972" s="252"/>
      <c r="B972" s="252"/>
      <c r="C972" s="252"/>
      <c r="D972" s="252"/>
      <c r="E972" s="252"/>
      <c r="F972" s="252"/>
      <c r="G972" s="252"/>
      <c r="H972" s="252"/>
      <c r="I972" s="252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  <c r="AA972" s="268"/>
      <c r="AB972" s="268"/>
      <c r="AC972" s="268"/>
      <c r="AD972" s="268"/>
      <c r="AE972" s="268"/>
    </row>
    <row r="973" spans="1:31" ht="15.75" customHeight="1">
      <c r="A973" s="252"/>
      <c r="B973" s="252"/>
      <c r="C973" s="252"/>
      <c r="D973" s="252"/>
      <c r="E973" s="252"/>
      <c r="F973" s="252"/>
      <c r="G973" s="252"/>
      <c r="H973" s="252"/>
      <c r="I973" s="252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  <c r="AA973" s="268"/>
      <c r="AB973" s="268"/>
      <c r="AC973" s="268"/>
      <c r="AD973" s="268"/>
      <c r="AE973" s="268"/>
    </row>
    <row r="974" spans="1:31" ht="15.75" customHeight="1">
      <c r="A974" s="252"/>
      <c r="B974" s="252"/>
      <c r="C974" s="252"/>
      <c r="D974" s="252"/>
      <c r="E974" s="252"/>
      <c r="F974" s="252"/>
      <c r="G974" s="252"/>
      <c r="H974" s="252"/>
      <c r="I974" s="252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  <c r="AA974" s="268"/>
      <c r="AB974" s="268"/>
      <c r="AC974" s="268"/>
      <c r="AD974" s="268"/>
      <c r="AE974" s="268"/>
    </row>
    <row r="975" spans="1:31" ht="15.75" customHeight="1">
      <c r="A975" s="252"/>
      <c r="B975" s="252"/>
      <c r="C975" s="252"/>
      <c r="D975" s="252"/>
      <c r="E975" s="252"/>
      <c r="F975" s="252"/>
      <c r="G975" s="252"/>
      <c r="H975" s="252"/>
      <c r="I975" s="252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  <c r="AA975" s="268"/>
      <c r="AB975" s="268"/>
      <c r="AC975" s="268"/>
      <c r="AD975" s="268"/>
      <c r="AE975" s="268"/>
    </row>
    <row r="976" spans="1:31" ht="15.75" customHeight="1">
      <c r="A976" s="252"/>
      <c r="B976" s="252"/>
      <c r="C976" s="252"/>
      <c r="D976" s="252"/>
      <c r="E976" s="252"/>
      <c r="F976" s="252"/>
      <c r="G976" s="252"/>
      <c r="H976" s="252"/>
      <c r="I976" s="252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  <c r="AA976" s="268"/>
      <c r="AB976" s="268"/>
      <c r="AC976" s="268"/>
      <c r="AD976" s="268"/>
      <c r="AE976" s="268"/>
    </row>
    <row r="977" spans="1:31" ht="15.75" customHeight="1">
      <c r="A977" s="252"/>
      <c r="B977" s="252"/>
      <c r="C977" s="252"/>
      <c r="D977" s="252"/>
      <c r="E977" s="252"/>
      <c r="F977" s="252"/>
      <c r="G977" s="252"/>
      <c r="H977" s="252"/>
      <c r="I977" s="252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  <c r="AA977" s="268"/>
      <c r="AB977" s="268"/>
      <c r="AC977" s="268"/>
      <c r="AD977" s="268"/>
      <c r="AE977" s="268"/>
    </row>
    <row r="978" spans="1:31" ht="15.75" customHeight="1">
      <c r="A978" s="252"/>
      <c r="B978" s="252"/>
      <c r="C978" s="252"/>
      <c r="D978" s="252"/>
      <c r="E978" s="252"/>
      <c r="F978" s="252"/>
      <c r="G978" s="252"/>
      <c r="H978" s="252"/>
      <c r="I978" s="252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  <c r="AA978" s="268"/>
      <c r="AB978" s="268"/>
      <c r="AC978" s="268"/>
      <c r="AD978" s="268"/>
      <c r="AE978" s="268"/>
    </row>
    <row r="979" spans="1:31" ht="15.75" customHeight="1">
      <c r="A979" s="252"/>
      <c r="B979" s="252"/>
      <c r="C979" s="252"/>
      <c r="D979" s="252"/>
      <c r="E979" s="252"/>
      <c r="F979" s="252"/>
      <c r="G979" s="252"/>
      <c r="H979" s="252"/>
      <c r="I979" s="252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  <c r="AA979" s="268"/>
      <c r="AB979" s="268"/>
      <c r="AC979" s="268"/>
      <c r="AD979" s="268"/>
      <c r="AE979" s="268"/>
    </row>
    <row r="980" spans="1:31" ht="15.75" customHeight="1">
      <c r="A980" s="252"/>
      <c r="B980" s="252"/>
      <c r="C980" s="252"/>
      <c r="D980" s="252"/>
      <c r="E980" s="252"/>
      <c r="F980" s="252"/>
      <c r="G980" s="252"/>
      <c r="H980" s="252"/>
      <c r="I980" s="252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  <c r="AA980" s="268"/>
      <c r="AB980" s="268"/>
      <c r="AC980" s="268"/>
      <c r="AD980" s="268"/>
      <c r="AE980" s="268"/>
    </row>
    <row r="981" spans="1:31" ht="15.75" customHeight="1">
      <c r="A981" s="252"/>
      <c r="B981" s="252"/>
      <c r="C981" s="252"/>
      <c r="D981" s="252"/>
      <c r="E981" s="252"/>
      <c r="F981" s="252"/>
      <c r="G981" s="252"/>
      <c r="H981" s="252"/>
      <c r="I981" s="252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  <c r="AA981" s="268"/>
      <c r="AB981" s="268"/>
      <c r="AC981" s="268"/>
      <c r="AD981" s="268"/>
      <c r="AE981" s="268"/>
    </row>
    <row r="982" spans="1:31" ht="15.75" customHeight="1">
      <c r="A982" s="252"/>
      <c r="B982" s="252"/>
      <c r="C982" s="252"/>
      <c r="D982" s="252"/>
      <c r="E982" s="252"/>
      <c r="F982" s="252"/>
      <c r="G982" s="252"/>
      <c r="H982" s="252"/>
      <c r="I982" s="252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  <c r="AA982" s="268"/>
      <c r="AB982" s="268"/>
      <c r="AC982" s="268"/>
      <c r="AD982" s="268"/>
      <c r="AE982" s="268"/>
    </row>
    <row r="983" spans="1:31" ht="15.75" customHeight="1">
      <c r="A983" s="252"/>
      <c r="B983" s="252"/>
      <c r="C983" s="252"/>
      <c r="D983" s="252"/>
      <c r="E983" s="252"/>
      <c r="F983" s="252"/>
      <c r="G983" s="252"/>
      <c r="H983" s="252"/>
      <c r="I983" s="252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  <c r="AA983" s="268"/>
      <c r="AB983" s="268"/>
      <c r="AC983" s="268"/>
      <c r="AD983" s="268"/>
      <c r="AE983" s="268"/>
    </row>
    <row r="984" spans="1:31" ht="15.75" customHeight="1">
      <c r="A984" s="252"/>
      <c r="B984" s="252"/>
      <c r="C984" s="252"/>
      <c r="D984" s="252"/>
      <c r="E984" s="252"/>
      <c r="F984" s="252"/>
      <c r="G984" s="252"/>
      <c r="H984" s="252"/>
      <c r="I984" s="252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  <c r="AA984" s="268"/>
      <c r="AB984" s="268"/>
      <c r="AC984" s="268"/>
      <c r="AD984" s="268"/>
      <c r="AE984" s="268"/>
    </row>
    <row r="985" spans="1:31" ht="15.75" customHeight="1">
      <c r="A985" s="252"/>
      <c r="B985" s="252"/>
      <c r="C985" s="252"/>
      <c r="D985" s="252"/>
      <c r="E985" s="252"/>
      <c r="F985" s="252"/>
      <c r="G985" s="252"/>
      <c r="H985" s="252"/>
      <c r="I985" s="252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  <c r="AA985" s="268"/>
      <c r="AB985" s="268"/>
      <c r="AC985" s="268"/>
      <c r="AD985" s="268"/>
      <c r="AE985" s="268"/>
    </row>
    <row r="986" spans="1:31" ht="15.75" customHeight="1">
      <c r="A986" s="252"/>
      <c r="B986" s="252"/>
      <c r="C986" s="252"/>
      <c r="D986" s="252"/>
      <c r="E986" s="252"/>
      <c r="F986" s="252"/>
      <c r="G986" s="252"/>
      <c r="H986" s="252"/>
      <c r="I986" s="252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  <c r="AA986" s="268"/>
      <c r="AB986" s="268"/>
      <c r="AC986" s="268"/>
      <c r="AD986" s="268"/>
      <c r="AE986" s="268"/>
    </row>
    <row r="987" spans="1:31" ht="15.75" customHeight="1">
      <c r="A987" s="252"/>
      <c r="B987" s="252"/>
      <c r="C987" s="252"/>
      <c r="D987" s="252"/>
      <c r="E987" s="252"/>
      <c r="F987" s="252"/>
      <c r="G987" s="252"/>
      <c r="H987" s="252"/>
      <c r="I987" s="252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  <c r="AA987" s="268"/>
      <c r="AB987" s="268"/>
      <c r="AC987" s="268"/>
      <c r="AD987" s="268"/>
      <c r="AE987" s="268"/>
    </row>
    <row r="988" spans="1:31" ht="15.75" customHeight="1">
      <c r="A988" s="252"/>
      <c r="B988" s="252"/>
      <c r="C988" s="252"/>
      <c r="D988" s="252"/>
      <c r="E988" s="252"/>
      <c r="F988" s="252"/>
      <c r="G988" s="252"/>
      <c r="H988" s="252"/>
      <c r="I988" s="252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  <c r="AA988" s="268"/>
      <c r="AB988" s="268"/>
      <c r="AC988" s="268"/>
      <c r="AD988" s="268"/>
      <c r="AE988" s="268"/>
    </row>
    <row r="989" spans="1:31" ht="15.75" customHeight="1">
      <c r="A989" s="252"/>
      <c r="B989" s="252"/>
      <c r="C989" s="252"/>
      <c r="D989" s="252"/>
      <c r="E989" s="252"/>
      <c r="F989" s="252"/>
      <c r="G989" s="252"/>
      <c r="H989" s="252"/>
      <c r="I989" s="252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  <c r="AA989" s="268"/>
      <c r="AB989" s="268"/>
      <c r="AC989" s="268"/>
      <c r="AD989" s="268"/>
      <c r="AE989" s="268"/>
    </row>
    <row r="990" spans="1:31" ht="15.75" customHeight="1">
      <c r="A990" s="252"/>
      <c r="B990" s="252"/>
      <c r="C990" s="252"/>
      <c r="D990" s="252"/>
      <c r="E990" s="252"/>
      <c r="F990" s="252"/>
      <c r="G990" s="252"/>
      <c r="H990" s="252"/>
      <c r="I990" s="252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  <c r="AA990" s="268"/>
      <c r="AB990" s="268"/>
      <c r="AC990" s="268"/>
      <c r="AD990" s="268"/>
      <c r="AE990" s="268"/>
    </row>
    <row r="991" spans="1:31" ht="15.75" customHeight="1">
      <c r="A991" s="252"/>
      <c r="B991" s="252"/>
      <c r="C991" s="252"/>
      <c r="D991" s="252"/>
      <c r="E991" s="252"/>
      <c r="F991" s="252"/>
      <c r="G991" s="252"/>
      <c r="H991" s="252"/>
      <c r="I991" s="252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  <c r="AA991" s="268"/>
      <c r="AB991" s="268"/>
      <c r="AC991" s="268"/>
      <c r="AD991" s="268"/>
      <c r="AE991" s="268"/>
    </row>
    <row r="992" spans="1:31" ht="15.75" customHeight="1">
      <c r="A992" s="252"/>
      <c r="B992" s="252"/>
      <c r="C992" s="252"/>
      <c r="D992" s="252"/>
      <c r="E992" s="252"/>
      <c r="F992" s="252"/>
      <c r="G992" s="252"/>
      <c r="H992" s="252"/>
      <c r="I992" s="252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  <c r="AA992" s="268"/>
      <c r="AB992" s="268"/>
      <c r="AC992" s="268"/>
      <c r="AD992" s="268"/>
      <c r="AE992" s="268"/>
    </row>
    <row r="993" spans="1:31" ht="15.75" customHeight="1">
      <c r="A993" s="252"/>
      <c r="B993" s="252"/>
      <c r="C993" s="252"/>
      <c r="D993" s="252"/>
      <c r="E993" s="252"/>
      <c r="F993" s="252"/>
      <c r="G993" s="252"/>
      <c r="H993" s="252"/>
      <c r="I993" s="252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  <c r="AA993" s="268"/>
      <c r="AB993" s="268"/>
      <c r="AC993" s="268"/>
      <c r="AD993" s="268"/>
      <c r="AE993" s="268"/>
    </row>
    <row r="994" spans="1:31" ht="15.75" customHeight="1">
      <c r="A994" s="252"/>
      <c r="B994" s="252"/>
      <c r="C994" s="252"/>
      <c r="D994" s="252"/>
      <c r="E994" s="252"/>
      <c r="F994" s="252"/>
      <c r="G994" s="252"/>
      <c r="H994" s="252"/>
      <c r="I994" s="252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  <c r="AA994" s="268"/>
      <c r="AB994" s="268"/>
      <c r="AC994" s="268"/>
      <c r="AD994" s="268"/>
      <c r="AE994" s="268"/>
    </row>
    <row r="995" spans="1:31" ht="15.75" customHeight="1">
      <c r="A995" s="252"/>
      <c r="B995" s="252"/>
      <c r="C995" s="252"/>
      <c r="D995" s="252"/>
      <c r="E995" s="252"/>
      <c r="F995" s="252"/>
      <c r="G995" s="252"/>
      <c r="H995" s="252"/>
      <c r="I995" s="252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  <c r="AA995" s="268"/>
      <c r="AB995" s="268"/>
      <c r="AC995" s="268"/>
      <c r="AD995" s="268"/>
      <c r="AE995" s="268"/>
    </row>
    <row r="996" spans="1:31" ht="15.75" customHeight="1">
      <c r="A996" s="252"/>
      <c r="B996" s="252"/>
      <c r="C996" s="252"/>
      <c r="D996" s="252"/>
      <c r="E996" s="252"/>
      <c r="F996" s="252"/>
      <c r="G996" s="252"/>
      <c r="H996" s="252"/>
      <c r="I996" s="252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  <c r="AA996" s="268"/>
      <c r="AB996" s="268"/>
      <c r="AC996" s="268"/>
      <c r="AD996" s="268"/>
      <c r="AE996" s="268"/>
    </row>
    <row r="997" spans="1:31" ht="15.75" customHeight="1">
      <c r="A997" s="252"/>
      <c r="B997" s="252"/>
      <c r="C997" s="252"/>
      <c r="D997" s="252"/>
      <c r="E997" s="252"/>
      <c r="F997" s="252"/>
      <c r="G997" s="252"/>
      <c r="H997" s="252"/>
      <c r="I997" s="252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  <c r="AA997" s="268"/>
      <c r="AB997" s="268"/>
      <c r="AC997" s="268"/>
      <c r="AD997" s="268"/>
      <c r="AE997" s="268"/>
    </row>
    <row r="998" spans="1:31" ht="15.75" customHeight="1">
      <c r="A998" s="252"/>
      <c r="B998" s="252"/>
      <c r="C998" s="252"/>
      <c r="D998" s="252"/>
      <c r="E998" s="252"/>
      <c r="F998" s="252"/>
      <c r="G998" s="252"/>
      <c r="H998" s="252"/>
      <c r="I998" s="252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  <c r="AA998" s="268"/>
      <c r="AB998" s="268"/>
      <c r="AC998" s="268"/>
      <c r="AD998" s="268"/>
      <c r="AE998" s="268"/>
    </row>
    <row r="999" spans="1:31" ht="15.75" customHeight="1">
      <c r="A999" s="252"/>
      <c r="B999" s="252"/>
      <c r="C999" s="252"/>
      <c r="D999" s="252"/>
      <c r="E999" s="252"/>
      <c r="F999" s="252"/>
      <c r="G999" s="252"/>
      <c r="H999" s="252"/>
      <c r="I999" s="252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  <c r="AA999" s="268"/>
      <c r="AB999" s="268"/>
      <c r="AC999" s="268"/>
      <c r="AD999" s="268"/>
      <c r="AE999" s="268"/>
    </row>
    <row r="1000" spans="1:31" ht="15.75" customHeight="1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  <c r="AA1000" s="268"/>
      <c r="AB1000" s="268"/>
      <c r="AC1000" s="268"/>
      <c r="AD1000" s="268"/>
      <c r="AE1000" s="268"/>
    </row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4:D1000"/>
  <sheetViews>
    <sheetView workbookViewId="0"/>
  </sheetViews>
  <sheetFormatPr defaultColWidth="12.54296875" defaultRowHeight="15" customHeight="1"/>
  <cols>
    <col min="1" max="3" width="15.7265625" customWidth="1"/>
    <col min="4" max="4" width="74.7265625" customWidth="1"/>
    <col min="5" max="26" width="8.54296875" customWidth="1"/>
  </cols>
  <sheetData>
    <row r="4" spans="1:4" ht="14.5">
      <c r="A4" s="3" t="s">
        <v>523</v>
      </c>
      <c r="C4" s="25"/>
      <c r="D4" s="3" t="s">
        <v>524</v>
      </c>
    </row>
    <row r="5" spans="1:4" ht="14.5">
      <c r="B5" s="272">
        <v>46053</v>
      </c>
      <c r="C5" s="25">
        <v>566.69000000000005</v>
      </c>
    </row>
    <row r="6" spans="1:4" ht="14.5">
      <c r="B6" s="272">
        <v>46081</v>
      </c>
      <c r="C6" s="25">
        <v>839.27</v>
      </c>
    </row>
    <row r="7" spans="1:4" ht="14.5">
      <c r="B7" s="272">
        <v>46112</v>
      </c>
      <c r="C7" s="25">
        <v>839.27</v>
      </c>
    </row>
    <row r="8" spans="1:4" ht="14.5">
      <c r="B8" s="272">
        <f>EOMONTH(B7,1)</f>
        <v>46142</v>
      </c>
      <c r="C8" s="25">
        <v>566.69000000000005</v>
      </c>
    </row>
    <row r="9" spans="1:4" ht="14.5">
      <c r="A9" s="3" t="s">
        <v>414</v>
      </c>
      <c r="B9" s="272">
        <v>46112</v>
      </c>
      <c r="C9" s="25">
        <v>19080</v>
      </c>
      <c r="D9" s="3" t="s">
        <v>525</v>
      </c>
    </row>
    <row r="10" spans="1:4" ht="14.5">
      <c r="A10" s="3" t="s">
        <v>526</v>
      </c>
      <c r="C10" s="25"/>
      <c r="D10" s="3" t="s">
        <v>527</v>
      </c>
    </row>
    <row r="11" spans="1:4" ht="14.5">
      <c r="B11" s="272">
        <v>46081</v>
      </c>
      <c r="C11" s="25">
        <v>222.71</v>
      </c>
    </row>
    <row r="12" spans="1:4" ht="14.5">
      <c r="B12" s="272">
        <v>46112</v>
      </c>
      <c r="C12" s="25">
        <v>138.19999999999999</v>
      </c>
    </row>
    <row r="13" spans="1:4" ht="14.5">
      <c r="A13" s="3" t="s">
        <v>145</v>
      </c>
      <c r="C13" s="25"/>
      <c r="D13" s="3" t="s">
        <v>528</v>
      </c>
    </row>
    <row r="14" spans="1:4" ht="14.5">
      <c r="B14" s="272">
        <v>46053</v>
      </c>
      <c r="C14" s="25">
        <v>895.31</v>
      </c>
    </row>
    <row r="15" spans="1:4" ht="14.5">
      <c r="B15" s="272">
        <v>46081</v>
      </c>
      <c r="C15" s="25">
        <v>895.31</v>
      </c>
    </row>
    <row r="16" spans="1:4" ht="14.5">
      <c r="B16" s="272">
        <v>46112</v>
      </c>
      <c r="C16" s="25">
        <v>895.31</v>
      </c>
    </row>
    <row r="17" spans="1:4" ht="14.5">
      <c r="B17" s="272">
        <f>EOMONTH(B16,1)</f>
        <v>46142</v>
      </c>
      <c r="C17" s="25">
        <v>895.31</v>
      </c>
    </row>
    <row r="18" spans="1:4" ht="14.5">
      <c r="A18" s="3" t="s">
        <v>529</v>
      </c>
      <c r="C18" s="25"/>
      <c r="D18" s="3" t="s">
        <v>525</v>
      </c>
    </row>
    <row r="19" spans="1:4" ht="14.5">
      <c r="B19" s="272">
        <v>46081</v>
      </c>
      <c r="C19" s="25">
        <v>9996.2749999999996</v>
      </c>
    </row>
    <row r="20" spans="1:4" ht="14.5">
      <c r="B20" s="272">
        <v>46112</v>
      </c>
      <c r="C20" s="25">
        <v>9996.2749999999996</v>
      </c>
    </row>
    <row r="21" spans="1:4" ht="15.75" customHeight="1">
      <c r="A21" s="3" t="s">
        <v>530</v>
      </c>
      <c r="C21" s="25"/>
      <c r="D21" s="3" t="s">
        <v>531</v>
      </c>
    </row>
    <row r="22" spans="1:4" ht="15.75" customHeight="1">
      <c r="B22" s="272">
        <v>46053</v>
      </c>
      <c r="C22" s="25">
        <v>517.75</v>
      </c>
    </row>
    <row r="23" spans="1:4" ht="15.75" customHeight="1">
      <c r="B23" s="272">
        <v>46081</v>
      </c>
      <c r="C23" s="25">
        <v>517.75</v>
      </c>
    </row>
    <row r="24" spans="1:4" ht="15.75" customHeight="1">
      <c r="B24" s="272">
        <v>46112</v>
      </c>
      <c r="C24" s="25">
        <v>517.75</v>
      </c>
    </row>
    <row r="25" spans="1:4" ht="15.75" customHeight="1">
      <c r="B25" s="272">
        <f>EOMONTH(B24,1)</f>
        <v>46142</v>
      </c>
      <c r="C25" s="25">
        <v>517.75</v>
      </c>
    </row>
    <row r="26" spans="1:4" ht="15.75" customHeight="1">
      <c r="A26" s="3" t="s">
        <v>511</v>
      </c>
      <c r="C26" s="25"/>
      <c r="D26" s="3" t="s">
        <v>532</v>
      </c>
    </row>
    <row r="27" spans="1:4" ht="15.75" customHeight="1">
      <c r="B27" s="272">
        <v>46053</v>
      </c>
      <c r="C27" s="25">
        <v>664.83500000000004</v>
      </c>
    </row>
    <row r="28" spans="1:4" ht="15.75" customHeight="1">
      <c r="B28" s="272">
        <v>46081</v>
      </c>
      <c r="C28" s="25">
        <v>664.83500000000004</v>
      </c>
    </row>
    <row r="29" spans="1:4" ht="15.75" customHeight="1">
      <c r="B29" s="272">
        <v>46112</v>
      </c>
      <c r="C29" s="25">
        <v>664.83500000000004</v>
      </c>
    </row>
    <row r="30" spans="1:4" ht="15.75" customHeight="1">
      <c r="B30" s="272">
        <f>EOMONTH(B29,1)</f>
        <v>46142</v>
      </c>
      <c r="C30" s="25">
        <v>664.83500000000004</v>
      </c>
    </row>
    <row r="31" spans="1:4" ht="15.75" customHeight="1">
      <c r="A31" s="18" t="s">
        <v>195</v>
      </c>
      <c r="B31" s="18"/>
      <c r="C31" s="18"/>
      <c r="D31" s="18"/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00"/>
  <sheetViews>
    <sheetView workbookViewId="0"/>
  </sheetViews>
  <sheetFormatPr defaultColWidth="12.54296875" defaultRowHeight="15" customHeight="1"/>
  <cols>
    <col min="1" max="26" width="8.54296875" customWidth="1"/>
  </cols>
  <sheetData>
    <row r="1" spans="1:5" ht="40.5" customHeight="1">
      <c r="A1" s="273" t="s">
        <v>533</v>
      </c>
      <c r="B1" s="274"/>
      <c r="C1" s="274"/>
      <c r="D1" s="274"/>
      <c r="E1" s="275"/>
    </row>
    <row r="2" spans="1:5" ht="15.5">
      <c r="A2" s="276" t="s">
        <v>74</v>
      </c>
      <c r="B2" s="277" t="s">
        <v>1</v>
      </c>
      <c r="C2" s="277" t="s">
        <v>534</v>
      </c>
      <c r="D2" s="277" t="s">
        <v>76</v>
      </c>
      <c r="E2" s="277" t="s">
        <v>535</v>
      </c>
    </row>
    <row r="3" spans="1:5" ht="15.5">
      <c r="A3" s="278">
        <v>45688</v>
      </c>
      <c r="B3" s="279">
        <v>250</v>
      </c>
      <c r="C3" s="279">
        <v>58</v>
      </c>
      <c r="D3" s="279">
        <v>29</v>
      </c>
      <c r="E3" s="280">
        <v>0.12</v>
      </c>
    </row>
    <row r="4" spans="1:5" ht="15.5">
      <c r="A4" s="278">
        <f t="shared" ref="A4:A19" si="0">EOMONTH(A3,1)</f>
        <v>45716</v>
      </c>
      <c r="B4" s="279">
        <v>181</v>
      </c>
      <c r="C4" s="279">
        <v>-11</v>
      </c>
      <c r="D4" s="279">
        <v>16</v>
      </c>
      <c r="E4" s="280">
        <v>0.09</v>
      </c>
    </row>
    <row r="5" spans="1:5" ht="15.5">
      <c r="A5" s="278">
        <f t="shared" si="0"/>
        <v>45747</v>
      </c>
      <c r="B5" s="279">
        <v>162</v>
      </c>
      <c r="C5" s="279">
        <v>-30</v>
      </c>
      <c r="D5" s="279">
        <v>17</v>
      </c>
      <c r="E5" s="280">
        <v>0.1</v>
      </c>
    </row>
    <row r="6" spans="1:5" ht="15.5">
      <c r="A6" s="278">
        <f t="shared" si="0"/>
        <v>45777</v>
      </c>
      <c r="B6" s="279">
        <v>174</v>
      </c>
      <c r="C6" s="279">
        <v>-18</v>
      </c>
      <c r="D6" s="279">
        <v>13</v>
      </c>
      <c r="E6" s="280">
        <v>7.0000000000000007E-2</v>
      </c>
    </row>
    <row r="7" spans="1:5" ht="15.5">
      <c r="A7" s="278">
        <f t="shared" si="0"/>
        <v>45808</v>
      </c>
      <c r="B7" s="279">
        <v>172</v>
      </c>
      <c r="C7" s="279">
        <v>-20</v>
      </c>
      <c r="D7" s="279">
        <v>19</v>
      </c>
      <c r="E7" s="280">
        <v>0.11</v>
      </c>
    </row>
    <row r="8" spans="1:5" ht="15.5">
      <c r="A8" s="278">
        <f t="shared" si="0"/>
        <v>45838</v>
      </c>
      <c r="B8" s="279">
        <v>195</v>
      </c>
      <c r="C8" s="279">
        <v>3</v>
      </c>
      <c r="D8" s="279">
        <v>24</v>
      </c>
      <c r="E8" s="280">
        <v>0.12</v>
      </c>
    </row>
    <row r="9" spans="1:5" ht="15.5">
      <c r="A9" s="278">
        <f t="shared" si="0"/>
        <v>45869</v>
      </c>
      <c r="B9" s="279">
        <v>237</v>
      </c>
      <c r="C9" s="279">
        <v>45</v>
      </c>
      <c r="D9" s="279">
        <v>34</v>
      </c>
      <c r="E9" s="280">
        <v>0.14000000000000001</v>
      </c>
    </row>
    <row r="10" spans="1:5" ht="15.5">
      <c r="A10" s="278">
        <f t="shared" si="0"/>
        <v>45900</v>
      </c>
      <c r="B10" s="279">
        <v>172</v>
      </c>
      <c r="C10" s="279">
        <v>-20</v>
      </c>
      <c r="D10" s="279">
        <v>30</v>
      </c>
      <c r="E10" s="280">
        <v>0.17</v>
      </c>
    </row>
    <row r="11" spans="1:5" ht="15.5">
      <c r="A11" s="278">
        <f t="shared" si="0"/>
        <v>45930</v>
      </c>
      <c r="B11" s="279">
        <v>216</v>
      </c>
      <c r="C11" s="279">
        <v>24</v>
      </c>
      <c r="D11" s="279">
        <v>24</v>
      </c>
      <c r="E11" s="280">
        <v>0.11</v>
      </c>
    </row>
    <row r="12" spans="1:5" ht="15.5">
      <c r="A12" s="278">
        <f t="shared" si="0"/>
        <v>45961</v>
      </c>
      <c r="B12" s="279">
        <v>220</v>
      </c>
      <c r="C12" s="279">
        <v>28</v>
      </c>
      <c r="D12" s="279">
        <v>25</v>
      </c>
      <c r="E12" s="280">
        <v>0.11</v>
      </c>
    </row>
    <row r="13" spans="1:5" ht="15.5">
      <c r="A13" s="278">
        <f t="shared" si="0"/>
        <v>45991</v>
      </c>
      <c r="B13" s="279">
        <v>197</v>
      </c>
      <c r="C13" s="279">
        <v>5</v>
      </c>
      <c r="D13" s="279">
        <v>26</v>
      </c>
      <c r="E13" s="280">
        <v>0.13</v>
      </c>
    </row>
    <row r="14" spans="1:5" ht="15.5">
      <c r="A14" s="278">
        <f t="shared" si="0"/>
        <v>46022</v>
      </c>
      <c r="B14" s="279">
        <v>192</v>
      </c>
      <c r="C14" s="279">
        <v>0</v>
      </c>
      <c r="D14" s="279">
        <v>24</v>
      </c>
      <c r="E14" s="280">
        <v>0.13</v>
      </c>
    </row>
    <row r="15" spans="1:5" ht="15.5">
      <c r="A15" s="278">
        <f t="shared" si="0"/>
        <v>46053</v>
      </c>
      <c r="B15" s="279">
        <v>219</v>
      </c>
      <c r="C15" s="279">
        <v>27</v>
      </c>
      <c r="D15" s="279">
        <v>26</v>
      </c>
      <c r="E15" s="280">
        <v>0.12</v>
      </c>
    </row>
    <row r="16" spans="1:5" ht="15.5">
      <c r="A16" s="278">
        <f t="shared" si="0"/>
        <v>46081</v>
      </c>
      <c r="B16" s="279">
        <v>139</v>
      </c>
      <c r="C16" s="279">
        <v>-53</v>
      </c>
      <c r="D16" s="279">
        <v>21</v>
      </c>
      <c r="E16" s="280">
        <v>0.15</v>
      </c>
    </row>
    <row r="17" spans="1:5" ht="15.5">
      <c r="A17" s="278">
        <f t="shared" si="0"/>
        <v>46112</v>
      </c>
      <c r="B17" s="279">
        <v>219</v>
      </c>
      <c r="C17" s="279">
        <v>27</v>
      </c>
      <c r="D17" s="279">
        <v>30</v>
      </c>
      <c r="E17" s="280">
        <v>0.14000000000000001</v>
      </c>
    </row>
    <row r="18" spans="1:5" ht="15.5">
      <c r="A18" s="278">
        <f t="shared" si="0"/>
        <v>46142</v>
      </c>
      <c r="B18" s="279">
        <v>130</v>
      </c>
      <c r="C18" s="279">
        <v>-62</v>
      </c>
      <c r="D18" s="279">
        <v>29</v>
      </c>
      <c r="E18" s="280">
        <v>0.22</v>
      </c>
    </row>
    <row r="19" spans="1:5" ht="15.5">
      <c r="A19" s="278">
        <f t="shared" si="0"/>
        <v>46173</v>
      </c>
      <c r="B19" s="281">
        <v>167</v>
      </c>
      <c r="C19" s="282"/>
      <c r="D19" s="283">
        <v>16</v>
      </c>
      <c r="E19" s="280">
        <v>0.1</v>
      </c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Z1000"/>
  <sheetViews>
    <sheetView workbookViewId="0">
      <selection activeCell="D37" sqref="D37"/>
    </sheetView>
  </sheetViews>
  <sheetFormatPr defaultColWidth="12.54296875" defaultRowHeight="15" customHeight="1"/>
  <cols>
    <col min="1" max="1" width="8.54296875" customWidth="1"/>
    <col min="2" max="2" width="17.7265625" customWidth="1"/>
    <col min="3" max="7" width="14.7265625" customWidth="1"/>
    <col min="8" max="26" width="8.54296875" customWidth="1"/>
  </cols>
  <sheetData>
    <row r="2" spans="2:5" ht="14.5">
      <c r="B2" s="19" t="s">
        <v>197</v>
      </c>
      <c r="C2" s="19" t="s">
        <v>536</v>
      </c>
    </row>
    <row r="3" spans="2:5" ht="14.5">
      <c r="B3" s="3" t="s">
        <v>537</v>
      </c>
      <c r="C3" s="250">
        <v>4516.666666666667</v>
      </c>
    </row>
    <row r="4" spans="2:5" ht="14.5">
      <c r="B4" s="3" t="s">
        <v>220</v>
      </c>
      <c r="C4" s="250">
        <v>4491.666666666667</v>
      </c>
    </row>
    <row r="5" spans="2:5" ht="14.5">
      <c r="B5" s="3" t="s">
        <v>538</v>
      </c>
      <c r="C5" s="250">
        <v>1579.090909090909</v>
      </c>
    </row>
    <row r="6" spans="2:5" ht="14.5">
      <c r="B6" s="3" t="s">
        <v>217</v>
      </c>
      <c r="C6" s="250">
        <v>3500</v>
      </c>
    </row>
    <row r="7" spans="2:5" ht="14.5">
      <c r="B7" s="3" t="s">
        <v>539</v>
      </c>
      <c r="C7" s="250">
        <v>2054.5454545454545</v>
      </c>
    </row>
    <row r="8" spans="2:5" ht="14.5">
      <c r="B8" s="33" t="s">
        <v>540</v>
      </c>
      <c r="C8" s="250"/>
    </row>
    <row r="9" spans="2:5" ht="14.5">
      <c r="B9" s="3" t="s">
        <v>541</v>
      </c>
      <c r="C9" s="250">
        <v>3000</v>
      </c>
    </row>
    <row r="10" spans="2:5" ht="14.5">
      <c r="B10" s="3" t="s">
        <v>542</v>
      </c>
      <c r="C10" s="250">
        <v>1300</v>
      </c>
    </row>
    <row r="11" spans="2:5" ht="14.5">
      <c r="B11" s="3" t="s">
        <v>543</v>
      </c>
      <c r="C11" s="250">
        <v>425</v>
      </c>
    </row>
    <row r="12" spans="2:5" ht="14.5">
      <c r="B12" s="3" t="s">
        <v>544</v>
      </c>
      <c r="C12" s="250">
        <v>1580</v>
      </c>
    </row>
    <row r="16" spans="2:5" ht="14.5">
      <c r="B16" s="19" t="s">
        <v>545</v>
      </c>
      <c r="C16" s="19" t="s">
        <v>248</v>
      </c>
      <c r="D16" s="19" t="s">
        <v>249</v>
      </c>
      <c r="E16" s="19" t="s">
        <v>250</v>
      </c>
    </row>
    <row r="17" spans="1:26" ht="14.5">
      <c r="A17" s="3">
        <v>1</v>
      </c>
      <c r="B17" s="3" t="s">
        <v>546</v>
      </c>
      <c r="C17" s="3">
        <f>COUNTIFS('24-25 events'!$Z:$Z,$A17,'24-25 events'!$N:$N,C$16)</f>
        <v>12</v>
      </c>
      <c r="D17" s="3">
        <f>COUNTIFS('24-25 events'!$Z:$Z,$A17,'24-25 events'!$N:$N,D$16)</f>
        <v>73</v>
      </c>
      <c r="E17" s="3">
        <f>COUNTIFS('24-25 events'!$Z:$Z,$A17,'24-25 events'!$N:$N,E$16)</f>
        <v>0</v>
      </c>
    </row>
    <row r="18" spans="1:26" ht="14.5">
      <c r="A18" s="3">
        <f t="shared" ref="A18:A23" si="0">A17+1</f>
        <v>2</v>
      </c>
      <c r="B18" s="3" t="s">
        <v>547</v>
      </c>
      <c r="C18" s="3">
        <f>COUNTIFS('24-25 events'!$Z:$Z,$A18,'24-25 events'!$N:$N,C$16)</f>
        <v>0</v>
      </c>
      <c r="D18" s="3">
        <f>COUNTIFS('24-25 events'!$Z:$Z,$A18,'24-25 events'!$N:$N,D$16)</f>
        <v>2</v>
      </c>
      <c r="E18" s="3">
        <f>COUNTIFS('24-25 events'!$Z:$Z,$A18,'24-25 events'!$N:$N,E$16)</f>
        <v>0</v>
      </c>
    </row>
    <row r="19" spans="1:26" ht="14.5">
      <c r="A19" s="3">
        <f t="shared" si="0"/>
        <v>3</v>
      </c>
      <c r="B19" s="3" t="s">
        <v>548</v>
      </c>
      <c r="C19" s="3">
        <f>COUNTIFS('24-25 events'!$Z:$Z,$A19,'24-25 events'!$N:$N,C$16)</f>
        <v>1</v>
      </c>
      <c r="D19" s="3">
        <f>COUNTIFS('24-25 events'!$Z:$Z,$A19,'24-25 events'!$N:$N,D$16)</f>
        <v>1</v>
      </c>
      <c r="E19" s="3">
        <f>COUNTIFS('24-25 events'!$Z:$Z,$A19,'24-25 events'!$N:$N,E$16)</f>
        <v>82</v>
      </c>
    </row>
    <row r="20" spans="1:26" ht="14.5">
      <c r="A20" s="3">
        <f t="shared" si="0"/>
        <v>4</v>
      </c>
      <c r="B20" s="3" t="s">
        <v>549</v>
      </c>
      <c r="C20" s="3">
        <f>COUNTIFS('24-25 events'!$Z:$Z,$A20,'24-25 events'!$N:$N,C$16)</f>
        <v>0</v>
      </c>
      <c r="D20" s="3">
        <f>COUNTIFS('24-25 events'!$Z:$Z,$A20,'24-25 events'!$N:$N,D$16)</f>
        <v>0</v>
      </c>
      <c r="E20" s="3">
        <f>COUNTIFS('24-25 events'!$Z:$Z,$A20,'24-25 events'!$N:$N,E$16)</f>
        <v>0</v>
      </c>
    </row>
    <row r="21" spans="1:26" ht="15.75" customHeight="1">
      <c r="A21" s="3">
        <f t="shared" si="0"/>
        <v>5</v>
      </c>
      <c r="B21" s="3" t="s">
        <v>550</v>
      </c>
      <c r="C21" s="3">
        <f>COUNTIFS('24-25 events'!$Z:$Z,$A21,'24-25 events'!$N:$N,C$16)</f>
        <v>0</v>
      </c>
      <c r="D21" s="3">
        <f>COUNTIFS('24-25 events'!$Z:$Z,$A21,'24-25 events'!$N:$N,D$16)</f>
        <v>0</v>
      </c>
      <c r="E21" s="3">
        <f>COUNTIFS('24-25 events'!$Z:$Z,$A21,'24-25 events'!$N:$N,E$16)</f>
        <v>0</v>
      </c>
    </row>
    <row r="22" spans="1:26" ht="15.75" customHeight="1">
      <c r="A22" s="3">
        <f t="shared" si="0"/>
        <v>6</v>
      </c>
      <c r="B22" s="3" t="s">
        <v>551</v>
      </c>
      <c r="C22" s="3">
        <f>COUNTIFS('24-25 events'!$Z:$Z,$A22,'24-25 events'!$N:$N,C$16)</f>
        <v>44</v>
      </c>
      <c r="D22" s="3">
        <f>COUNTIFS('24-25 events'!$Z:$Z,$A22,'24-25 events'!$N:$N,D$16)</f>
        <v>102</v>
      </c>
      <c r="E22" s="3">
        <f>COUNTIFS('24-25 events'!$Z:$Z,$A22,'24-25 events'!$N:$N,E$16)</f>
        <v>0</v>
      </c>
    </row>
    <row r="23" spans="1:26" ht="15.75" customHeight="1">
      <c r="A23" s="3">
        <f t="shared" si="0"/>
        <v>7</v>
      </c>
      <c r="B23" s="3" t="s">
        <v>552</v>
      </c>
      <c r="C23" s="3">
        <f>COUNTIFS('24-25 events'!$Z:$Z,$A23,'24-25 events'!$N:$N,C$16)</f>
        <v>94</v>
      </c>
      <c r="D23" s="3">
        <f>COUNTIFS('24-25 events'!$Z:$Z,$A23,'24-25 events'!$N:$N,D$16)</f>
        <v>116</v>
      </c>
      <c r="E23" s="3">
        <f>COUNTIFS('24-25 events'!$Z:$Z,$A23,'24-25 events'!$N:$N,E$16)</f>
        <v>0</v>
      </c>
    </row>
    <row r="24" spans="1:26" ht="15.75" customHeight="1"/>
    <row r="25" spans="1:26" ht="15.75" customHeight="1">
      <c r="B25" s="19"/>
      <c r="C25" s="19"/>
      <c r="D25" s="516" t="s">
        <v>553</v>
      </c>
      <c r="E25" s="515"/>
      <c r="F25" s="516" t="s">
        <v>554</v>
      </c>
      <c r="G25" s="515"/>
    </row>
    <row r="26" spans="1:26" ht="15.75" customHeight="1">
      <c r="B26" s="19" t="s">
        <v>545</v>
      </c>
      <c r="C26" s="19" t="s">
        <v>555</v>
      </c>
      <c r="D26" s="19" t="s">
        <v>248</v>
      </c>
      <c r="E26" s="19" t="s">
        <v>249</v>
      </c>
      <c r="F26" s="19" t="s">
        <v>248</v>
      </c>
      <c r="G26" s="19" t="s">
        <v>249</v>
      </c>
    </row>
    <row r="27" spans="1:26" ht="15.75" customHeight="1">
      <c r="B27" s="3" t="s">
        <v>551</v>
      </c>
      <c r="C27" s="63">
        <f t="shared" ref="C27:C28" si="1">SUM(C22:D22)/SUM($C$17:$D$23)</f>
        <v>0.32808988764044944</v>
      </c>
      <c r="D27" s="284">
        <v>6500</v>
      </c>
      <c r="E27" s="284">
        <v>7750</v>
      </c>
      <c r="F27" s="284">
        <v>6750</v>
      </c>
      <c r="G27" s="284">
        <v>8000</v>
      </c>
    </row>
    <row r="28" spans="1:26" ht="15.75" customHeight="1">
      <c r="B28" s="3" t="s">
        <v>552</v>
      </c>
      <c r="C28" s="63">
        <f t="shared" si="1"/>
        <v>0.47191011235955055</v>
      </c>
      <c r="D28" s="284">
        <v>7250</v>
      </c>
      <c r="E28" s="284">
        <v>8250</v>
      </c>
      <c r="F28" s="284">
        <v>7500</v>
      </c>
      <c r="G28" s="284">
        <v>8500</v>
      </c>
    </row>
    <row r="29" spans="1:26" ht="15.75" customHeight="1">
      <c r="B29" s="3" t="s">
        <v>546</v>
      </c>
      <c r="C29" s="63">
        <f>SUM(C17:D17)/SUM($C$17:$D$23)</f>
        <v>0.19101123595505617</v>
      </c>
      <c r="D29" s="284">
        <v>7250</v>
      </c>
      <c r="E29" s="284">
        <v>8250</v>
      </c>
      <c r="F29" s="284">
        <v>7500</v>
      </c>
      <c r="G29" s="284">
        <v>8500</v>
      </c>
    </row>
    <row r="30" spans="1:26" ht="15.75" customHeight="1">
      <c r="A30" s="17"/>
      <c r="B30" s="127" t="s">
        <v>556</v>
      </c>
      <c r="C30" s="285"/>
      <c r="D30" s="286">
        <f t="shared" ref="D30:G30" si="2">SUMPRODUCT(D27:D29,$C$27:$C$29)</f>
        <v>6938.7640449438204</v>
      </c>
      <c r="E30" s="286">
        <f t="shared" si="2"/>
        <v>8011.7977528089887</v>
      </c>
      <c r="F30" s="286">
        <f t="shared" si="2"/>
        <v>7186.5168539325841</v>
      </c>
      <c r="G30" s="286">
        <f t="shared" si="2"/>
        <v>8259.5505617977524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C31" s="63"/>
    </row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5:E25"/>
    <mergeCell ref="F25:G25"/>
  </mergeCells>
  <pageMargins left="0.7" right="0.7" top="0.75" bottom="0.75" header="0" footer="0"/>
  <pageSetup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00"/>
  <sheetViews>
    <sheetView workbookViewId="0"/>
  </sheetViews>
  <sheetFormatPr defaultColWidth="12.54296875" defaultRowHeight="15" customHeight="1"/>
  <cols>
    <col min="1" max="1" width="31.7265625" customWidth="1"/>
    <col min="2" max="2" width="40.1796875" customWidth="1"/>
    <col min="3" max="3" width="11" customWidth="1"/>
    <col min="4" max="4" width="10.1796875" customWidth="1"/>
    <col min="5" max="26" width="8.54296875" customWidth="1"/>
  </cols>
  <sheetData>
    <row r="1" spans="1:5" ht="14.5">
      <c r="A1" s="287" t="s">
        <v>557</v>
      </c>
      <c r="B1" s="288"/>
      <c r="C1" s="289"/>
    </row>
    <row r="2" spans="1:5" ht="14.5">
      <c r="A2" s="290" t="s">
        <v>558</v>
      </c>
      <c r="B2" s="291" t="s">
        <v>558</v>
      </c>
      <c r="C2" s="292">
        <v>3600</v>
      </c>
      <c r="D2" s="293">
        <v>45731</v>
      </c>
      <c r="E2" s="65">
        <f t="shared" ref="E2:E44" si="0">EOMONTH(D2,0)</f>
        <v>45747</v>
      </c>
    </row>
    <row r="3" spans="1:5" ht="14.5">
      <c r="A3" s="290" t="s">
        <v>559</v>
      </c>
      <c r="B3" s="291" t="s">
        <v>560</v>
      </c>
      <c r="C3" s="292">
        <v>8000</v>
      </c>
      <c r="D3" s="293">
        <v>45773</v>
      </c>
      <c r="E3" s="65">
        <f t="shared" si="0"/>
        <v>45777</v>
      </c>
    </row>
    <row r="4" spans="1:5" ht="14.5">
      <c r="A4" s="287" t="s">
        <v>561</v>
      </c>
      <c r="B4" s="288" t="s">
        <v>562</v>
      </c>
      <c r="C4" s="294">
        <v>5550</v>
      </c>
      <c r="D4" s="293">
        <v>45774</v>
      </c>
      <c r="E4" s="65">
        <f t="shared" si="0"/>
        <v>45777</v>
      </c>
    </row>
    <row r="5" spans="1:5" ht="14.5">
      <c r="A5" s="287" t="s">
        <v>563</v>
      </c>
      <c r="B5" s="288" t="s">
        <v>564</v>
      </c>
      <c r="C5" s="294">
        <v>3325</v>
      </c>
      <c r="D5" s="293">
        <v>45800</v>
      </c>
      <c r="E5" s="65">
        <f t="shared" si="0"/>
        <v>45808</v>
      </c>
    </row>
    <row r="6" spans="1:5" ht="14.5">
      <c r="A6" s="287" t="s">
        <v>565</v>
      </c>
      <c r="B6" s="288" t="s">
        <v>566</v>
      </c>
      <c r="C6" s="294">
        <v>2760</v>
      </c>
      <c r="D6" s="293">
        <v>45801</v>
      </c>
      <c r="E6" s="65">
        <f t="shared" si="0"/>
        <v>45808</v>
      </c>
    </row>
    <row r="7" spans="1:5" ht="14.5">
      <c r="A7" s="287" t="s">
        <v>567</v>
      </c>
      <c r="B7" s="288" t="s">
        <v>568</v>
      </c>
      <c r="C7" s="294">
        <v>4177</v>
      </c>
      <c r="D7" s="293">
        <v>45802</v>
      </c>
      <c r="E7" s="65">
        <f t="shared" si="0"/>
        <v>45808</v>
      </c>
    </row>
    <row r="8" spans="1:5" ht="14.5">
      <c r="A8" s="287" t="s">
        <v>569</v>
      </c>
      <c r="B8" s="288" t="s">
        <v>570</v>
      </c>
      <c r="C8" s="294">
        <v>550</v>
      </c>
      <c r="D8" s="293">
        <v>45804</v>
      </c>
      <c r="E8" s="65">
        <f t="shared" si="0"/>
        <v>45808</v>
      </c>
    </row>
    <row r="9" spans="1:5" ht="14.5">
      <c r="A9" s="287" t="s">
        <v>571</v>
      </c>
      <c r="B9" s="288" t="s">
        <v>572</v>
      </c>
      <c r="C9" s="294">
        <v>3278</v>
      </c>
      <c r="D9" s="293">
        <v>45814</v>
      </c>
      <c r="E9" s="65">
        <f t="shared" si="0"/>
        <v>45838</v>
      </c>
    </row>
    <row r="10" spans="1:5" ht="14.5">
      <c r="A10" s="287" t="s">
        <v>573</v>
      </c>
      <c r="B10" s="288" t="s">
        <v>574</v>
      </c>
      <c r="C10" s="294">
        <v>7290</v>
      </c>
      <c r="D10" s="293">
        <v>45822</v>
      </c>
      <c r="E10" s="65">
        <f t="shared" si="0"/>
        <v>45838</v>
      </c>
    </row>
    <row r="11" spans="1:5" ht="14.5">
      <c r="A11" s="287" t="s">
        <v>575</v>
      </c>
      <c r="B11" s="288" t="s">
        <v>576</v>
      </c>
      <c r="C11" s="294">
        <v>2250</v>
      </c>
      <c r="D11" s="293">
        <v>45822</v>
      </c>
      <c r="E11" s="65">
        <f t="shared" si="0"/>
        <v>45838</v>
      </c>
    </row>
    <row r="12" spans="1:5" ht="14.5">
      <c r="A12" s="287" t="s">
        <v>577</v>
      </c>
      <c r="B12" s="288" t="s">
        <v>578</v>
      </c>
      <c r="C12" s="294">
        <v>6231</v>
      </c>
      <c r="D12" s="293">
        <v>45829</v>
      </c>
      <c r="E12" s="65">
        <f t="shared" si="0"/>
        <v>45838</v>
      </c>
    </row>
    <row r="13" spans="1:5" ht="14.5">
      <c r="A13" s="295" t="s">
        <v>579</v>
      </c>
      <c r="B13" s="288" t="s">
        <v>580</v>
      </c>
      <c r="C13" s="294">
        <v>550</v>
      </c>
      <c r="D13" s="293">
        <v>45860</v>
      </c>
      <c r="E13" s="65">
        <f t="shared" si="0"/>
        <v>45869</v>
      </c>
    </row>
    <row r="14" spans="1:5" ht="14.5">
      <c r="A14" s="287" t="s">
        <v>581</v>
      </c>
      <c r="B14" s="288" t="s">
        <v>582</v>
      </c>
      <c r="C14" s="294">
        <v>2002</v>
      </c>
      <c r="D14" s="293">
        <v>45899</v>
      </c>
      <c r="E14" s="65">
        <f t="shared" si="0"/>
        <v>45900</v>
      </c>
    </row>
    <row r="15" spans="1:5" ht="14.5">
      <c r="A15" s="287" t="s">
        <v>583</v>
      </c>
      <c r="B15" s="288" t="s">
        <v>584</v>
      </c>
      <c r="C15" s="294">
        <v>200</v>
      </c>
      <c r="D15" s="293">
        <v>45906</v>
      </c>
      <c r="E15" s="65">
        <f t="shared" si="0"/>
        <v>45930</v>
      </c>
    </row>
    <row r="16" spans="1:5" ht="14.5">
      <c r="A16" s="287" t="s">
        <v>585</v>
      </c>
      <c r="B16" s="288" t="s">
        <v>586</v>
      </c>
      <c r="C16" s="294">
        <v>6300</v>
      </c>
      <c r="D16" s="293">
        <v>45920</v>
      </c>
      <c r="E16" s="65">
        <f t="shared" si="0"/>
        <v>45930</v>
      </c>
    </row>
    <row r="17" spans="1:5" ht="14.5">
      <c r="A17" s="287" t="s">
        <v>587</v>
      </c>
      <c r="B17" s="288" t="s">
        <v>588</v>
      </c>
      <c r="C17" s="294">
        <v>4351</v>
      </c>
      <c r="D17" s="293">
        <v>45926</v>
      </c>
      <c r="E17" s="65">
        <f t="shared" si="0"/>
        <v>45930</v>
      </c>
    </row>
    <row r="18" spans="1:5" ht="14.5">
      <c r="A18" s="287" t="s">
        <v>589</v>
      </c>
      <c r="B18" s="288" t="s">
        <v>590</v>
      </c>
      <c r="C18" s="294">
        <v>5535</v>
      </c>
      <c r="D18" s="293">
        <v>45934</v>
      </c>
      <c r="E18" s="65">
        <f t="shared" si="0"/>
        <v>45961</v>
      </c>
    </row>
    <row r="19" spans="1:5" ht="14.5">
      <c r="A19" s="287" t="s">
        <v>591</v>
      </c>
      <c r="B19" s="288" t="s">
        <v>592</v>
      </c>
      <c r="C19" s="294">
        <v>3330</v>
      </c>
      <c r="D19" s="293">
        <v>45942</v>
      </c>
      <c r="E19" s="65">
        <f t="shared" si="0"/>
        <v>45961</v>
      </c>
    </row>
    <row r="20" spans="1:5" ht="14.5">
      <c r="A20" s="287" t="s">
        <v>593</v>
      </c>
      <c r="B20" s="288" t="s">
        <v>594</v>
      </c>
      <c r="C20" s="294">
        <v>4430</v>
      </c>
      <c r="D20" s="293">
        <v>45947</v>
      </c>
      <c r="E20" s="65">
        <f t="shared" si="0"/>
        <v>45961</v>
      </c>
    </row>
    <row r="21" spans="1:5" ht="15.75" customHeight="1">
      <c r="A21" s="287" t="s">
        <v>595</v>
      </c>
      <c r="B21" s="288" t="s">
        <v>596</v>
      </c>
      <c r="C21" s="294">
        <v>5165</v>
      </c>
      <c r="D21" s="293">
        <v>45948</v>
      </c>
      <c r="E21" s="65">
        <f t="shared" si="0"/>
        <v>45961</v>
      </c>
    </row>
    <row r="22" spans="1:5" ht="15.75" customHeight="1">
      <c r="A22" s="287" t="s">
        <v>597</v>
      </c>
      <c r="B22" s="288" t="s">
        <v>598</v>
      </c>
      <c r="C22" s="296">
        <v>550</v>
      </c>
      <c r="D22" s="293">
        <v>45958</v>
      </c>
      <c r="E22" s="65">
        <f t="shared" si="0"/>
        <v>45961</v>
      </c>
    </row>
    <row r="23" spans="1:5" ht="15.75" customHeight="1">
      <c r="A23" s="287" t="s">
        <v>599</v>
      </c>
      <c r="B23" s="297" t="s">
        <v>600</v>
      </c>
      <c r="C23" s="298">
        <v>3776</v>
      </c>
      <c r="D23" s="293">
        <v>45955</v>
      </c>
      <c r="E23" s="65">
        <f t="shared" si="0"/>
        <v>45961</v>
      </c>
    </row>
    <row r="24" spans="1:5" ht="15.75" customHeight="1">
      <c r="A24" s="287" t="s">
        <v>601</v>
      </c>
      <c r="B24" s="297" t="s">
        <v>602</v>
      </c>
      <c r="C24" s="294">
        <v>200</v>
      </c>
      <c r="D24" s="293">
        <v>45961</v>
      </c>
      <c r="E24" s="65">
        <f t="shared" si="0"/>
        <v>45961</v>
      </c>
    </row>
    <row r="25" spans="1:5" ht="15.75" customHeight="1">
      <c r="A25" s="287" t="s">
        <v>603</v>
      </c>
      <c r="B25" s="288" t="s">
        <v>604</v>
      </c>
      <c r="C25" s="294">
        <v>200</v>
      </c>
      <c r="D25" s="293">
        <v>45962</v>
      </c>
      <c r="E25" s="65">
        <f t="shared" si="0"/>
        <v>45991</v>
      </c>
    </row>
    <row r="26" spans="1:5" ht="15.75" customHeight="1">
      <c r="A26" s="287" t="s">
        <v>605</v>
      </c>
      <c r="B26" s="288" t="s">
        <v>606</v>
      </c>
      <c r="C26" s="294">
        <v>200</v>
      </c>
      <c r="D26" s="293">
        <v>45968</v>
      </c>
      <c r="E26" s="65">
        <f t="shared" si="0"/>
        <v>45991</v>
      </c>
    </row>
    <row r="27" spans="1:5" ht="15.75" customHeight="1">
      <c r="A27" s="287" t="s">
        <v>607</v>
      </c>
      <c r="B27" s="288" t="s">
        <v>608</v>
      </c>
      <c r="C27" s="294">
        <v>200</v>
      </c>
      <c r="D27" s="293">
        <v>45983</v>
      </c>
      <c r="E27" s="65">
        <f t="shared" si="0"/>
        <v>45991</v>
      </c>
    </row>
    <row r="28" spans="1:5" ht="15.75" customHeight="1">
      <c r="B28" s="299" t="s">
        <v>609</v>
      </c>
      <c r="C28" s="300">
        <v>550</v>
      </c>
      <c r="D28" s="301">
        <v>46161</v>
      </c>
      <c r="E28" s="65">
        <f t="shared" si="0"/>
        <v>46173</v>
      </c>
    </row>
    <row r="29" spans="1:5" ht="15.75" customHeight="1">
      <c r="B29" s="299" t="s">
        <v>610</v>
      </c>
      <c r="C29" s="300">
        <v>3600</v>
      </c>
      <c r="D29" s="301">
        <v>46166</v>
      </c>
      <c r="E29" s="65">
        <f t="shared" si="0"/>
        <v>46173</v>
      </c>
    </row>
    <row r="30" spans="1:5" ht="15.75" customHeight="1">
      <c r="B30" s="299" t="s">
        <v>611</v>
      </c>
      <c r="C30" s="300">
        <v>550</v>
      </c>
      <c r="D30" s="301">
        <v>46168</v>
      </c>
      <c r="E30" s="65">
        <f t="shared" si="0"/>
        <v>46173</v>
      </c>
    </row>
    <row r="31" spans="1:5" ht="15.75" customHeight="1">
      <c r="B31" s="299" t="s">
        <v>612</v>
      </c>
      <c r="C31" s="300">
        <v>4000</v>
      </c>
      <c r="D31" s="301">
        <v>46199</v>
      </c>
      <c r="E31" s="65">
        <f t="shared" si="0"/>
        <v>46203</v>
      </c>
    </row>
    <row r="32" spans="1:5" ht="15.75" customHeight="1">
      <c r="B32" s="299" t="s">
        <v>613</v>
      </c>
      <c r="C32" s="300">
        <v>3600</v>
      </c>
      <c r="D32" s="301">
        <v>46242</v>
      </c>
      <c r="E32" s="65">
        <f t="shared" si="0"/>
        <v>46265</v>
      </c>
    </row>
    <row r="33" spans="2:5" ht="15.75" customHeight="1">
      <c r="B33" s="299" t="s">
        <v>614</v>
      </c>
      <c r="C33" s="300">
        <v>4000</v>
      </c>
      <c r="D33" s="301">
        <v>46255</v>
      </c>
      <c r="E33" s="65">
        <f t="shared" si="0"/>
        <v>46265</v>
      </c>
    </row>
    <row r="34" spans="2:5" ht="15.75" customHeight="1">
      <c r="B34" s="299" t="s">
        <v>615</v>
      </c>
      <c r="C34" s="300">
        <v>3500</v>
      </c>
      <c r="D34" s="301">
        <v>46257</v>
      </c>
      <c r="E34" s="65">
        <f t="shared" si="0"/>
        <v>46265</v>
      </c>
    </row>
    <row r="35" spans="2:5" ht="15.75" customHeight="1">
      <c r="B35" s="299" t="s">
        <v>616</v>
      </c>
      <c r="C35" s="300">
        <v>3500</v>
      </c>
      <c r="D35" s="301">
        <v>46284</v>
      </c>
      <c r="E35" s="65">
        <f t="shared" si="0"/>
        <v>46295</v>
      </c>
    </row>
    <row r="36" spans="2:5" ht="15.75" customHeight="1">
      <c r="B36" s="299" t="s">
        <v>617</v>
      </c>
      <c r="C36" s="300">
        <v>3500</v>
      </c>
      <c r="D36" s="301">
        <v>46285</v>
      </c>
      <c r="E36" s="65">
        <f t="shared" si="0"/>
        <v>46295</v>
      </c>
    </row>
    <row r="37" spans="2:5" ht="15.75" customHeight="1">
      <c r="B37" s="299" t="s">
        <v>618</v>
      </c>
      <c r="C37" s="300">
        <v>3500</v>
      </c>
      <c r="D37" s="301">
        <v>46305</v>
      </c>
      <c r="E37" s="65">
        <f t="shared" si="0"/>
        <v>46326</v>
      </c>
    </row>
    <row r="38" spans="2:5" ht="15.75" customHeight="1">
      <c r="B38" s="299" t="s">
        <v>619</v>
      </c>
      <c r="C38" s="300">
        <v>4000</v>
      </c>
      <c r="D38" s="301">
        <v>46333</v>
      </c>
      <c r="E38" s="65">
        <f t="shared" si="0"/>
        <v>46356</v>
      </c>
    </row>
    <row r="39" spans="2:5" ht="15.75" customHeight="1">
      <c r="B39" s="299" t="s">
        <v>620</v>
      </c>
      <c r="C39" s="300">
        <v>3500</v>
      </c>
      <c r="D39" s="301">
        <v>46514</v>
      </c>
      <c r="E39" s="65">
        <f t="shared" si="0"/>
        <v>46538</v>
      </c>
    </row>
    <row r="40" spans="2:5" ht="15.75" customHeight="1">
      <c r="B40" s="299" t="s">
        <v>621</v>
      </c>
      <c r="C40" s="300">
        <v>3700</v>
      </c>
      <c r="D40" s="301">
        <v>46521</v>
      </c>
      <c r="E40" s="65">
        <f t="shared" si="0"/>
        <v>46538</v>
      </c>
    </row>
    <row r="41" spans="2:5" ht="15.75" customHeight="1">
      <c r="B41" s="299" t="s">
        <v>622</v>
      </c>
      <c r="C41" s="300">
        <v>3800</v>
      </c>
      <c r="D41" s="301">
        <v>46528</v>
      </c>
      <c r="E41" s="65">
        <f t="shared" si="0"/>
        <v>46538</v>
      </c>
    </row>
    <row r="42" spans="2:5" ht="15.75" customHeight="1">
      <c r="B42" s="299" t="s">
        <v>623</v>
      </c>
      <c r="C42" s="300">
        <v>3500</v>
      </c>
      <c r="D42" s="301">
        <v>46550</v>
      </c>
      <c r="E42" s="65">
        <f t="shared" si="0"/>
        <v>46568</v>
      </c>
    </row>
    <row r="43" spans="2:5" ht="15.75" customHeight="1">
      <c r="B43" s="299" t="s">
        <v>624</v>
      </c>
      <c r="C43" s="300">
        <v>2200</v>
      </c>
      <c r="D43" s="301">
        <v>46647</v>
      </c>
      <c r="E43" s="65">
        <f t="shared" si="0"/>
        <v>46660</v>
      </c>
    </row>
    <row r="44" spans="2:5" ht="15.75" customHeight="1">
      <c r="B44" s="299" t="s">
        <v>625</v>
      </c>
      <c r="C44" s="300">
        <v>3500</v>
      </c>
      <c r="D44" s="301">
        <v>46662</v>
      </c>
      <c r="E44" s="65">
        <f t="shared" si="0"/>
        <v>46691</v>
      </c>
    </row>
    <row r="45" spans="2:5" ht="15.75" customHeight="1">
      <c r="B45" s="8"/>
    </row>
    <row r="46" spans="2:5" ht="15.75" customHeight="1">
      <c r="B46" s="8"/>
    </row>
    <row r="47" spans="2:5" ht="15.75" customHeight="1">
      <c r="B47" s="3">
        <v>2025</v>
      </c>
      <c r="C47" s="302">
        <f>SUM(C2:C27)</f>
        <v>84000</v>
      </c>
    </row>
    <row r="48" spans="2:5" ht="15.75" customHeight="1">
      <c r="B48" s="303" t="s">
        <v>626</v>
      </c>
      <c r="C48" s="302">
        <f>SUM(C5:C27)</f>
        <v>66850</v>
      </c>
    </row>
    <row r="49" spans="2:2" ht="15.75" customHeight="1">
      <c r="B49" s="8"/>
    </row>
    <row r="50" spans="2:2" ht="15.75" customHeight="1">
      <c r="B50" s="8"/>
    </row>
    <row r="51" spans="2:2" ht="15.75" customHeight="1">
      <c r="B51" s="8"/>
    </row>
    <row r="52" spans="2:2" ht="15.75" customHeight="1">
      <c r="B52" s="8"/>
    </row>
    <row r="53" spans="2:2" ht="15.75" customHeight="1">
      <c r="B53" s="8"/>
    </row>
    <row r="54" spans="2:2" ht="15.75" customHeight="1">
      <c r="B54" s="8"/>
    </row>
    <row r="55" spans="2:2" ht="15.75" customHeight="1">
      <c r="B55" s="8"/>
    </row>
    <row r="56" spans="2:2" ht="15.75" customHeight="1">
      <c r="B56" s="8"/>
    </row>
    <row r="57" spans="2:2" ht="15.75" customHeight="1">
      <c r="B57" s="8"/>
    </row>
    <row r="58" spans="2:2" ht="15.75" customHeight="1">
      <c r="B58" s="8"/>
    </row>
    <row r="59" spans="2:2" ht="15.75" customHeight="1">
      <c r="B59" s="8"/>
    </row>
    <row r="60" spans="2:2" ht="15.75" customHeight="1">
      <c r="B60" s="8"/>
    </row>
    <row r="61" spans="2:2" ht="15.75" customHeight="1">
      <c r="B61" s="8"/>
    </row>
    <row r="62" spans="2:2" ht="15.75" customHeight="1">
      <c r="B62" s="8"/>
    </row>
    <row r="63" spans="2:2" ht="15.75" customHeight="1">
      <c r="B63" s="8"/>
    </row>
    <row r="64" spans="2:2" ht="15.75" customHeight="1">
      <c r="B64" s="8"/>
    </row>
    <row r="65" spans="2:2" ht="15.75" customHeight="1">
      <c r="B65" s="8"/>
    </row>
    <row r="66" spans="2:2" ht="15.75" customHeight="1">
      <c r="B66" s="8"/>
    </row>
    <row r="67" spans="2:2" ht="15.75" customHeight="1">
      <c r="B67" s="8"/>
    </row>
    <row r="68" spans="2:2" ht="15.75" customHeight="1">
      <c r="B68" s="8"/>
    </row>
    <row r="69" spans="2:2" ht="15.75" customHeight="1">
      <c r="B69" s="8"/>
    </row>
    <row r="70" spans="2:2" ht="15.75" customHeight="1">
      <c r="B70" s="8"/>
    </row>
    <row r="71" spans="2:2" ht="15.75" customHeight="1">
      <c r="B71" s="8"/>
    </row>
    <row r="72" spans="2:2" ht="15.75" customHeight="1">
      <c r="B72" s="8"/>
    </row>
    <row r="73" spans="2:2" ht="15.75" customHeight="1">
      <c r="B73" s="8"/>
    </row>
    <row r="74" spans="2:2" ht="15.75" customHeight="1">
      <c r="B74" s="8"/>
    </row>
    <row r="75" spans="2:2" ht="15.75" customHeight="1">
      <c r="B75" s="8"/>
    </row>
    <row r="76" spans="2:2" ht="15.75" customHeight="1">
      <c r="B76" s="8"/>
    </row>
    <row r="77" spans="2:2" ht="15.75" customHeight="1">
      <c r="B77" s="8"/>
    </row>
    <row r="78" spans="2:2" ht="15.75" customHeight="1">
      <c r="B78" s="8"/>
    </row>
    <row r="79" spans="2:2" ht="15.75" customHeight="1">
      <c r="B79" s="8"/>
    </row>
    <row r="80" spans="2:2" ht="15.75" customHeight="1">
      <c r="B80" s="8"/>
    </row>
    <row r="81" spans="2:2" ht="15.75" customHeight="1">
      <c r="B81" s="8"/>
    </row>
    <row r="82" spans="2:2" ht="15.75" customHeight="1">
      <c r="B82" s="8"/>
    </row>
    <row r="83" spans="2:2" ht="15.75" customHeight="1">
      <c r="B83" s="8"/>
    </row>
    <row r="84" spans="2:2" ht="15.75" customHeight="1">
      <c r="B84" s="8"/>
    </row>
    <row r="85" spans="2:2" ht="15.75" customHeight="1">
      <c r="B85" s="8"/>
    </row>
    <row r="86" spans="2:2" ht="15.75" customHeight="1">
      <c r="B86" s="8"/>
    </row>
    <row r="87" spans="2:2" ht="15.75" customHeight="1">
      <c r="B87" s="8"/>
    </row>
    <row r="88" spans="2:2" ht="15.75" customHeight="1">
      <c r="B88" s="8"/>
    </row>
    <row r="89" spans="2:2" ht="15.75" customHeight="1">
      <c r="B89" s="8"/>
    </row>
    <row r="90" spans="2:2" ht="15.75" customHeight="1">
      <c r="B90" s="8"/>
    </row>
    <row r="91" spans="2:2" ht="15.75" customHeight="1">
      <c r="B91" s="8"/>
    </row>
    <row r="92" spans="2:2" ht="15.75" customHeight="1">
      <c r="B92" s="8"/>
    </row>
    <row r="93" spans="2:2" ht="15.75" customHeight="1">
      <c r="B93" s="8"/>
    </row>
    <row r="94" spans="2:2" ht="15.75" customHeight="1">
      <c r="B94" s="8"/>
    </row>
    <row r="95" spans="2:2" ht="15.75" customHeight="1">
      <c r="B95" s="8"/>
    </row>
    <row r="96" spans="2:2" ht="15.75" customHeight="1">
      <c r="B96" s="8"/>
    </row>
    <row r="97" spans="2:2" ht="15.75" customHeight="1">
      <c r="B97" s="8"/>
    </row>
    <row r="98" spans="2:2" ht="15.75" customHeight="1">
      <c r="B98" s="8"/>
    </row>
    <row r="99" spans="2:2" ht="15.75" customHeight="1">
      <c r="B99" s="8"/>
    </row>
    <row r="100" spans="2:2" ht="15.75" customHeight="1">
      <c r="B100" s="8"/>
    </row>
    <row r="101" spans="2:2" ht="15.75" customHeight="1">
      <c r="B101" s="8"/>
    </row>
    <row r="102" spans="2:2" ht="15.75" customHeight="1">
      <c r="B102" s="8"/>
    </row>
    <row r="103" spans="2:2" ht="15.75" customHeight="1">
      <c r="B103" s="8"/>
    </row>
    <row r="104" spans="2:2" ht="15.75" customHeight="1">
      <c r="B104" s="8"/>
    </row>
    <row r="105" spans="2:2" ht="15.75" customHeight="1">
      <c r="B105" s="8"/>
    </row>
    <row r="106" spans="2:2" ht="15.75" customHeight="1">
      <c r="B106" s="8"/>
    </row>
    <row r="107" spans="2:2" ht="15.75" customHeight="1">
      <c r="B107" s="8"/>
    </row>
    <row r="108" spans="2:2" ht="15.75" customHeight="1">
      <c r="B108" s="8"/>
    </row>
    <row r="109" spans="2:2" ht="15.75" customHeight="1">
      <c r="B109" s="8"/>
    </row>
    <row r="110" spans="2:2" ht="15.75" customHeight="1">
      <c r="B110" s="8"/>
    </row>
    <row r="111" spans="2:2" ht="15.75" customHeight="1">
      <c r="B111" s="8"/>
    </row>
    <row r="112" spans="2:2" ht="15.75" customHeight="1">
      <c r="B112" s="8"/>
    </row>
    <row r="113" spans="2:2" ht="15.75" customHeight="1">
      <c r="B113" s="8"/>
    </row>
    <row r="114" spans="2:2" ht="15.75" customHeight="1">
      <c r="B114" s="8"/>
    </row>
    <row r="115" spans="2:2" ht="15.75" customHeight="1">
      <c r="B115" s="8"/>
    </row>
    <row r="116" spans="2:2" ht="15.75" customHeight="1">
      <c r="B116" s="8"/>
    </row>
    <row r="117" spans="2:2" ht="15.75" customHeight="1">
      <c r="B117" s="8"/>
    </row>
    <row r="118" spans="2:2" ht="15.75" customHeight="1">
      <c r="B118" s="8"/>
    </row>
    <row r="119" spans="2:2" ht="15.75" customHeight="1">
      <c r="B119" s="8"/>
    </row>
    <row r="120" spans="2:2" ht="15.75" customHeight="1">
      <c r="B120" s="8"/>
    </row>
    <row r="121" spans="2:2" ht="15.75" customHeight="1">
      <c r="B121" s="8"/>
    </row>
    <row r="122" spans="2:2" ht="15.75" customHeight="1">
      <c r="B122" s="8"/>
    </row>
    <row r="123" spans="2:2" ht="15.75" customHeight="1">
      <c r="B123" s="8"/>
    </row>
    <row r="124" spans="2:2" ht="15.75" customHeight="1">
      <c r="B124" s="8"/>
    </row>
    <row r="125" spans="2:2" ht="15.75" customHeight="1">
      <c r="B125" s="8"/>
    </row>
    <row r="126" spans="2:2" ht="15.75" customHeight="1">
      <c r="B126" s="8"/>
    </row>
    <row r="127" spans="2:2" ht="15.75" customHeight="1">
      <c r="B127" s="8"/>
    </row>
    <row r="128" spans="2:2" ht="15.75" customHeight="1">
      <c r="B128" s="8"/>
    </row>
    <row r="129" spans="2:2" ht="15.75" customHeight="1">
      <c r="B129" s="8"/>
    </row>
    <row r="130" spans="2:2" ht="15.75" customHeight="1">
      <c r="B130" s="8"/>
    </row>
    <row r="131" spans="2:2" ht="15.75" customHeight="1">
      <c r="B131" s="8"/>
    </row>
    <row r="132" spans="2:2" ht="15.75" customHeight="1">
      <c r="B132" s="8"/>
    </row>
    <row r="133" spans="2:2" ht="15.75" customHeight="1">
      <c r="B133" s="8"/>
    </row>
    <row r="134" spans="2:2" ht="15.75" customHeight="1">
      <c r="B134" s="8"/>
    </row>
    <row r="135" spans="2:2" ht="15.75" customHeight="1">
      <c r="B135" s="8"/>
    </row>
    <row r="136" spans="2:2" ht="15.75" customHeight="1">
      <c r="B136" s="8"/>
    </row>
    <row r="137" spans="2:2" ht="15.75" customHeight="1">
      <c r="B137" s="8"/>
    </row>
    <row r="138" spans="2:2" ht="15.75" customHeight="1">
      <c r="B138" s="8"/>
    </row>
    <row r="139" spans="2:2" ht="15.75" customHeight="1">
      <c r="B139" s="8"/>
    </row>
    <row r="140" spans="2:2" ht="15.75" customHeight="1">
      <c r="B140" s="8"/>
    </row>
    <row r="141" spans="2:2" ht="15.75" customHeight="1">
      <c r="B141" s="8"/>
    </row>
    <row r="142" spans="2:2" ht="15.75" customHeight="1">
      <c r="B142" s="8"/>
    </row>
    <row r="143" spans="2:2" ht="15.75" customHeight="1">
      <c r="B143" s="8"/>
    </row>
    <row r="144" spans="2:2" ht="15.75" customHeight="1">
      <c r="B144" s="8"/>
    </row>
    <row r="145" spans="2:2" ht="15.75" customHeight="1">
      <c r="B145" s="8"/>
    </row>
    <row r="146" spans="2:2" ht="15.75" customHeight="1">
      <c r="B146" s="8"/>
    </row>
    <row r="147" spans="2:2" ht="15.75" customHeight="1">
      <c r="B147" s="8"/>
    </row>
    <row r="148" spans="2:2" ht="15.75" customHeight="1">
      <c r="B148" s="8"/>
    </row>
    <row r="149" spans="2:2" ht="15.75" customHeight="1">
      <c r="B149" s="8"/>
    </row>
    <row r="150" spans="2:2" ht="15.75" customHeight="1">
      <c r="B150" s="8"/>
    </row>
    <row r="151" spans="2:2" ht="15.75" customHeight="1">
      <c r="B151" s="8"/>
    </row>
    <row r="152" spans="2:2" ht="15.75" customHeight="1">
      <c r="B152" s="8"/>
    </row>
    <row r="153" spans="2:2" ht="15.75" customHeight="1">
      <c r="B153" s="8"/>
    </row>
    <row r="154" spans="2:2" ht="15.75" customHeight="1">
      <c r="B154" s="8"/>
    </row>
    <row r="155" spans="2:2" ht="15.75" customHeight="1">
      <c r="B155" s="8"/>
    </row>
    <row r="156" spans="2:2" ht="15.75" customHeight="1">
      <c r="B156" s="8"/>
    </row>
    <row r="157" spans="2:2" ht="15.75" customHeight="1">
      <c r="B157" s="8"/>
    </row>
    <row r="158" spans="2:2" ht="15.75" customHeight="1">
      <c r="B158" s="8"/>
    </row>
    <row r="159" spans="2:2" ht="15.75" customHeight="1">
      <c r="B159" s="8"/>
    </row>
    <row r="160" spans="2:2" ht="15.75" customHeight="1">
      <c r="B160" s="8"/>
    </row>
    <row r="161" spans="2:2" ht="15.75" customHeight="1">
      <c r="B161" s="8"/>
    </row>
    <row r="162" spans="2:2" ht="15.75" customHeight="1">
      <c r="B162" s="8"/>
    </row>
    <row r="163" spans="2:2" ht="15.75" customHeight="1">
      <c r="B163" s="8"/>
    </row>
    <row r="164" spans="2:2" ht="15.75" customHeight="1">
      <c r="B164" s="8"/>
    </row>
    <row r="165" spans="2:2" ht="15.75" customHeight="1">
      <c r="B165" s="8"/>
    </row>
    <row r="166" spans="2:2" ht="15.75" customHeight="1">
      <c r="B166" s="8"/>
    </row>
    <row r="167" spans="2:2" ht="15.75" customHeight="1">
      <c r="B167" s="8"/>
    </row>
    <row r="168" spans="2:2" ht="15.75" customHeight="1">
      <c r="B168" s="8"/>
    </row>
    <row r="169" spans="2:2" ht="15.75" customHeight="1">
      <c r="B169" s="8"/>
    </row>
    <row r="170" spans="2:2" ht="15.75" customHeight="1">
      <c r="B170" s="8"/>
    </row>
    <row r="171" spans="2:2" ht="15.75" customHeight="1">
      <c r="B171" s="8"/>
    </row>
    <row r="172" spans="2:2" ht="15.75" customHeight="1">
      <c r="B172" s="8"/>
    </row>
    <row r="173" spans="2:2" ht="15.75" customHeight="1">
      <c r="B173" s="8"/>
    </row>
    <row r="174" spans="2:2" ht="15.75" customHeight="1">
      <c r="B174" s="8"/>
    </row>
    <row r="175" spans="2:2" ht="15.75" customHeight="1">
      <c r="B175" s="8"/>
    </row>
    <row r="176" spans="2:2" ht="15.75" customHeight="1">
      <c r="B176" s="8"/>
    </row>
    <row r="177" spans="2:2" ht="15.75" customHeight="1">
      <c r="B177" s="8"/>
    </row>
    <row r="178" spans="2:2" ht="15.75" customHeight="1">
      <c r="B178" s="8"/>
    </row>
    <row r="179" spans="2:2" ht="15.75" customHeight="1">
      <c r="B179" s="8"/>
    </row>
    <row r="180" spans="2:2" ht="15.75" customHeight="1">
      <c r="B180" s="8"/>
    </row>
    <row r="181" spans="2:2" ht="15.75" customHeight="1">
      <c r="B181" s="8"/>
    </row>
    <row r="182" spans="2:2" ht="15.75" customHeight="1">
      <c r="B182" s="8"/>
    </row>
    <row r="183" spans="2:2" ht="15.75" customHeight="1">
      <c r="B183" s="8"/>
    </row>
    <row r="184" spans="2:2" ht="15.75" customHeight="1">
      <c r="B184" s="8"/>
    </row>
    <row r="185" spans="2:2" ht="15.75" customHeight="1">
      <c r="B185" s="8"/>
    </row>
    <row r="186" spans="2:2" ht="15.75" customHeight="1">
      <c r="B186" s="8"/>
    </row>
    <row r="187" spans="2:2" ht="15.75" customHeight="1">
      <c r="B187" s="8"/>
    </row>
    <row r="188" spans="2:2" ht="15.75" customHeight="1">
      <c r="B188" s="8"/>
    </row>
    <row r="189" spans="2:2" ht="15.75" customHeight="1">
      <c r="B189" s="8"/>
    </row>
    <row r="190" spans="2:2" ht="15.75" customHeight="1">
      <c r="B190" s="8"/>
    </row>
    <row r="191" spans="2:2" ht="15.75" customHeight="1">
      <c r="B191" s="8"/>
    </row>
    <row r="192" spans="2:2" ht="15.75" customHeight="1">
      <c r="B192" s="8"/>
    </row>
    <row r="193" spans="2:2" ht="15.75" customHeight="1">
      <c r="B193" s="8"/>
    </row>
    <row r="194" spans="2:2" ht="15.75" customHeight="1">
      <c r="B194" s="8"/>
    </row>
    <row r="195" spans="2:2" ht="15.75" customHeight="1">
      <c r="B195" s="8"/>
    </row>
    <row r="196" spans="2:2" ht="15.75" customHeight="1">
      <c r="B196" s="8"/>
    </row>
    <row r="197" spans="2:2" ht="15.75" customHeight="1">
      <c r="B197" s="8"/>
    </row>
    <row r="198" spans="2:2" ht="15.75" customHeight="1">
      <c r="B198" s="8"/>
    </row>
    <row r="199" spans="2:2" ht="15.75" customHeight="1">
      <c r="B199" s="8"/>
    </row>
    <row r="200" spans="2:2" ht="15.75" customHeight="1">
      <c r="B200" s="8"/>
    </row>
    <row r="201" spans="2:2" ht="15.75" customHeight="1">
      <c r="B201" s="8"/>
    </row>
    <row r="202" spans="2:2" ht="15.75" customHeight="1">
      <c r="B202" s="8"/>
    </row>
    <row r="203" spans="2:2" ht="15.75" customHeight="1">
      <c r="B203" s="8"/>
    </row>
    <row r="204" spans="2:2" ht="15.75" customHeight="1">
      <c r="B204" s="8"/>
    </row>
    <row r="205" spans="2:2" ht="15.75" customHeight="1">
      <c r="B205" s="8"/>
    </row>
    <row r="206" spans="2:2" ht="15.75" customHeight="1">
      <c r="B206" s="8"/>
    </row>
    <row r="207" spans="2:2" ht="15.75" customHeight="1">
      <c r="B207" s="8"/>
    </row>
    <row r="208" spans="2:2" ht="15.75" customHeight="1">
      <c r="B208" s="8"/>
    </row>
    <row r="209" spans="2:2" ht="15.75" customHeight="1">
      <c r="B209" s="8"/>
    </row>
    <row r="210" spans="2:2" ht="15.75" customHeight="1">
      <c r="B210" s="8"/>
    </row>
    <row r="211" spans="2:2" ht="15.75" customHeight="1">
      <c r="B211" s="8"/>
    </row>
    <row r="212" spans="2:2" ht="15.75" customHeight="1">
      <c r="B212" s="8"/>
    </row>
    <row r="213" spans="2:2" ht="15.75" customHeight="1">
      <c r="B213" s="8"/>
    </row>
    <row r="214" spans="2:2" ht="15.75" customHeight="1">
      <c r="B214" s="8"/>
    </row>
    <row r="215" spans="2:2" ht="15.75" customHeight="1">
      <c r="B215" s="8"/>
    </row>
    <row r="216" spans="2:2" ht="15.75" customHeight="1">
      <c r="B216" s="8"/>
    </row>
    <row r="217" spans="2:2" ht="15.75" customHeight="1">
      <c r="B217" s="8"/>
    </row>
    <row r="218" spans="2:2" ht="15.75" customHeight="1">
      <c r="B218" s="8"/>
    </row>
    <row r="219" spans="2:2" ht="15.75" customHeight="1">
      <c r="B219" s="8"/>
    </row>
    <row r="220" spans="2:2" ht="15.75" customHeight="1">
      <c r="B220" s="8"/>
    </row>
    <row r="221" spans="2:2" ht="15.75" customHeight="1">
      <c r="B221" s="8"/>
    </row>
    <row r="222" spans="2:2" ht="15.75" customHeight="1">
      <c r="B222" s="8"/>
    </row>
    <row r="223" spans="2:2" ht="15.75" customHeight="1">
      <c r="B223" s="8"/>
    </row>
    <row r="224" spans="2:2" ht="15.75" customHeight="1">
      <c r="B224" s="8"/>
    </row>
    <row r="225" spans="2:2" ht="15.75" customHeight="1">
      <c r="B225" s="8"/>
    </row>
    <row r="226" spans="2:2" ht="15.75" customHeight="1">
      <c r="B226" s="8"/>
    </row>
    <row r="227" spans="2:2" ht="15.75" customHeight="1">
      <c r="B227" s="8"/>
    </row>
    <row r="228" spans="2:2" ht="15.75" customHeight="1">
      <c r="B228" s="8"/>
    </row>
    <row r="229" spans="2:2" ht="15.75" customHeight="1">
      <c r="B229" s="8"/>
    </row>
    <row r="230" spans="2:2" ht="15.75" customHeight="1">
      <c r="B230" s="8"/>
    </row>
    <row r="231" spans="2:2" ht="15.75" customHeight="1">
      <c r="B231" s="8"/>
    </row>
    <row r="232" spans="2:2" ht="15.75" customHeight="1">
      <c r="B232" s="8"/>
    </row>
    <row r="233" spans="2:2" ht="15.75" customHeight="1">
      <c r="B233" s="8"/>
    </row>
    <row r="234" spans="2:2" ht="15.75" customHeight="1">
      <c r="B234" s="8"/>
    </row>
    <row r="235" spans="2:2" ht="15.75" customHeight="1">
      <c r="B235" s="8"/>
    </row>
    <row r="236" spans="2:2" ht="15.75" customHeight="1">
      <c r="B236" s="8"/>
    </row>
    <row r="237" spans="2:2" ht="15.75" customHeight="1">
      <c r="B237" s="8"/>
    </row>
    <row r="238" spans="2:2" ht="15.75" customHeight="1">
      <c r="B238" s="8"/>
    </row>
    <row r="239" spans="2:2" ht="15.75" customHeight="1">
      <c r="B239" s="8"/>
    </row>
    <row r="240" spans="2:2" ht="15.75" customHeight="1">
      <c r="B240" s="8"/>
    </row>
    <row r="241" spans="2:2" ht="15.75" customHeight="1">
      <c r="B241" s="8"/>
    </row>
    <row r="242" spans="2:2" ht="15.75" customHeight="1">
      <c r="B242" s="8"/>
    </row>
    <row r="243" spans="2:2" ht="15.75" customHeight="1">
      <c r="B243" s="8"/>
    </row>
    <row r="244" spans="2:2" ht="15.75" customHeight="1">
      <c r="B244" s="8"/>
    </row>
    <row r="245" spans="2:2" ht="15.75" customHeight="1">
      <c r="B245" s="8"/>
    </row>
    <row r="246" spans="2:2" ht="15.75" customHeight="1">
      <c r="B246" s="8"/>
    </row>
    <row r="247" spans="2:2" ht="15.75" customHeight="1">
      <c r="B247" s="8"/>
    </row>
    <row r="248" spans="2:2" ht="15.75" customHeight="1">
      <c r="B248" s="8"/>
    </row>
    <row r="249" spans="2:2" ht="15.75" customHeight="1">
      <c r="B249" s="8"/>
    </row>
    <row r="250" spans="2:2" ht="15.75" customHeight="1">
      <c r="B250" s="8"/>
    </row>
    <row r="251" spans="2:2" ht="15.75" customHeight="1">
      <c r="B251" s="8"/>
    </row>
    <row r="252" spans="2:2" ht="15.75" customHeight="1">
      <c r="B252" s="8"/>
    </row>
    <row r="253" spans="2:2" ht="15.75" customHeight="1">
      <c r="B253" s="8"/>
    </row>
    <row r="254" spans="2:2" ht="15.75" customHeight="1">
      <c r="B254" s="8"/>
    </row>
    <row r="255" spans="2:2" ht="15.75" customHeight="1">
      <c r="B255" s="8"/>
    </row>
    <row r="256" spans="2:2" ht="15.75" customHeight="1">
      <c r="B256" s="8"/>
    </row>
    <row r="257" spans="2:2" ht="15.75" customHeight="1">
      <c r="B257" s="8"/>
    </row>
    <row r="258" spans="2:2" ht="15.75" customHeight="1">
      <c r="B258" s="8"/>
    </row>
    <row r="259" spans="2:2" ht="15.75" customHeight="1">
      <c r="B259" s="8"/>
    </row>
    <row r="260" spans="2:2" ht="15.75" customHeight="1">
      <c r="B260" s="8"/>
    </row>
    <row r="261" spans="2:2" ht="15.75" customHeight="1">
      <c r="B261" s="8"/>
    </row>
    <row r="262" spans="2:2" ht="15.75" customHeight="1">
      <c r="B262" s="8"/>
    </row>
    <row r="263" spans="2:2" ht="15.75" customHeight="1">
      <c r="B263" s="8"/>
    </row>
    <row r="264" spans="2:2" ht="15.75" customHeight="1">
      <c r="B264" s="8"/>
    </row>
    <row r="265" spans="2:2" ht="15.75" customHeight="1">
      <c r="B265" s="8"/>
    </row>
    <row r="266" spans="2:2" ht="15.75" customHeight="1">
      <c r="B266" s="8"/>
    </row>
    <row r="267" spans="2:2" ht="15.75" customHeight="1">
      <c r="B267" s="8"/>
    </row>
    <row r="268" spans="2:2" ht="15.75" customHeight="1">
      <c r="B268" s="8"/>
    </row>
    <row r="269" spans="2:2" ht="15.75" customHeight="1">
      <c r="B269" s="8"/>
    </row>
    <row r="270" spans="2:2" ht="15.75" customHeight="1">
      <c r="B270" s="8"/>
    </row>
    <row r="271" spans="2:2" ht="15.75" customHeight="1">
      <c r="B271" s="8"/>
    </row>
    <row r="272" spans="2:2" ht="15.75" customHeight="1">
      <c r="B272" s="8"/>
    </row>
    <row r="273" spans="2:2" ht="15.75" customHeight="1">
      <c r="B273" s="8"/>
    </row>
    <row r="274" spans="2:2" ht="15.75" customHeight="1">
      <c r="B274" s="8"/>
    </row>
    <row r="275" spans="2:2" ht="15.75" customHeight="1">
      <c r="B275" s="8"/>
    </row>
    <row r="276" spans="2:2" ht="15.75" customHeight="1">
      <c r="B276" s="8"/>
    </row>
    <row r="277" spans="2:2" ht="15.75" customHeight="1">
      <c r="B277" s="8"/>
    </row>
    <row r="278" spans="2:2" ht="15.75" customHeight="1">
      <c r="B278" s="8"/>
    </row>
    <row r="279" spans="2:2" ht="15.75" customHeight="1">
      <c r="B279" s="8"/>
    </row>
    <row r="280" spans="2:2" ht="15.75" customHeight="1">
      <c r="B280" s="8"/>
    </row>
    <row r="281" spans="2:2" ht="15.75" customHeight="1">
      <c r="B281" s="8"/>
    </row>
    <row r="282" spans="2:2" ht="15.75" customHeight="1">
      <c r="B282" s="8"/>
    </row>
    <row r="283" spans="2:2" ht="15.75" customHeight="1">
      <c r="B283" s="8"/>
    </row>
    <row r="284" spans="2:2" ht="15.75" customHeight="1">
      <c r="B284" s="8"/>
    </row>
    <row r="285" spans="2:2" ht="15.75" customHeight="1">
      <c r="B285" s="8"/>
    </row>
    <row r="286" spans="2:2" ht="15.75" customHeight="1">
      <c r="B286" s="8"/>
    </row>
    <row r="287" spans="2:2" ht="15.75" customHeight="1">
      <c r="B287" s="8"/>
    </row>
    <row r="288" spans="2:2" ht="15.75" customHeight="1">
      <c r="B288" s="8"/>
    </row>
    <row r="289" spans="2:2" ht="15.75" customHeight="1">
      <c r="B289" s="8"/>
    </row>
    <row r="290" spans="2:2" ht="15.75" customHeight="1">
      <c r="B290" s="8"/>
    </row>
    <row r="291" spans="2:2" ht="15.75" customHeight="1">
      <c r="B291" s="8"/>
    </row>
    <row r="292" spans="2:2" ht="15.75" customHeight="1">
      <c r="B292" s="8"/>
    </row>
    <row r="293" spans="2:2" ht="15.75" customHeight="1">
      <c r="B293" s="8"/>
    </row>
    <row r="294" spans="2:2" ht="15.75" customHeight="1">
      <c r="B294" s="8"/>
    </row>
    <row r="295" spans="2:2" ht="15.75" customHeight="1">
      <c r="B295" s="8"/>
    </row>
    <row r="296" spans="2:2" ht="15.75" customHeight="1">
      <c r="B296" s="8"/>
    </row>
    <row r="297" spans="2:2" ht="15.75" customHeight="1">
      <c r="B297" s="8"/>
    </row>
    <row r="298" spans="2:2" ht="15.75" customHeight="1">
      <c r="B298" s="8"/>
    </row>
    <row r="299" spans="2:2" ht="15.75" customHeight="1">
      <c r="B299" s="8"/>
    </row>
    <row r="300" spans="2:2" ht="15.75" customHeight="1">
      <c r="B300" s="8"/>
    </row>
    <row r="301" spans="2:2" ht="15.75" customHeight="1">
      <c r="B301" s="8"/>
    </row>
    <row r="302" spans="2:2" ht="15.75" customHeight="1">
      <c r="B302" s="8"/>
    </row>
    <row r="303" spans="2:2" ht="15.75" customHeight="1">
      <c r="B303" s="8"/>
    </row>
    <row r="304" spans="2:2" ht="15.75" customHeight="1">
      <c r="B304" s="8"/>
    </row>
    <row r="305" spans="2:2" ht="15.75" customHeight="1">
      <c r="B305" s="8"/>
    </row>
    <row r="306" spans="2:2" ht="15.75" customHeight="1">
      <c r="B306" s="8"/>
    </row>
    <row r="307" spans="2:2" ht="15.75" customHeight="1">
      <c r="B307" s="8"/>
    </row>
    <row r="308" spans="2:2" ht="15.75" customHeight="1">
      <c r="B308" s="8"/>
    </row>
    <row r="309" spans="2:2" ht="15.75" customHeight="1">
      <c r="B309" s="8"/>
    </row>
    <row r="310" spans="2:2" ht="15.75" customHeight="1">
      <c r="B310" s="8"/>
    </row>
    <row r="311" spans="2:2" ht="15.75" customHeight="1">
      <c r="B311" s="8"/>
    </row>
    <row r="312" spans="2:2" ht="15.75" customHeight="1">
      <c r="B312" s="8"/>
    </row>
    <row r="313" spans="2:2" ht="15.75" customHeight="1">
      <c r="B313" s="8"/>
    </row>
    <row r="314" spans="2:2" ht="15.75" customHeight="1">
      <c r="B314" s="8"/>
    </row>
    <row r="315" spans="2:2" ht="15.75" customHeight="1">
      <c r="B315" s="8"/>
    </row>
    <row r="316" spans="2:2" ht="15.75" customHeight="1">
      <c r="B316" s="8"/>
    </row>
    <row r="317" spans="2:2" ht="15.75" customHeight="1">
      <c r="B317" s="8"/>
    </row>
    <row r="318" spans="2:2" ht="15.75" customHeight="1">
      <c r="B318" s="8"/>
    </row>
    <row r="319" spans="2:2" ht="15.75" customHeight="1">
      <c r="B319" s="8"/>
    </row>
    <row r="320" spans="2:2" ht="15.75" customHeight="1">
      <c r="B320" s="8"/>
    </row>
    <row r="321" spans="2:2" ht="15.75" customHeight="1">
      <c r="B321" s="8"/>
    </row>
    <row r="322" spans="2:2" ht="15.75" customHeight="1">
      <c r="B322" s="8"/>
    </row>
    <row r="323" spans="2:2" ht="15.75" customHeight="1">
      <c r="B323" s="8"/>
    </row>
    <row r="324" spans="2:2" ht="15.75" customHeight="1">
      <c r="B324" s="8"/>
    </row>
    <row r="325" spans="2:2" ht="15.75" customHeight="1">
      <c r="B325" s="8"/>
    </row>
    <row r="326" spans="2:2" ht="15.75" customHeight="1">
      <c r="B326" s="8"/>
    </row>
    <row r="327" spans="2:2" ht="15.75" customHeight="1">
      <c r="B327" s="8"/>
    </row>
    <row r="328" spans="2:2" ht="15.75" customHeight="1">
      <c r="B328" s="8"/>
    </row>
    <row r="329" spans="2:2" ht="15.75" customHeight="1">
      <c r="B329" s="8"/>
    </row>
    <row r="330" spans="2:2" ht="15.75" customHeight="1">
      <c r="B330" s="8"/>
    </row>
    <row r="331" spans="2:2" ht="15.75" customHeight="1">
      <c r="B331" s="8"/>
    </row>
    <row r="332" spans="2:2" ht="15.75" customHeight="1">
      <c r="B332" s="8"/>
    </row>
    <row r="333" spans="2:2" ht="15.75" customHeight="1">
      <c r="B333" s="8"/>
    </row>
    <row r="334" spans="2:2" ht="15.75" customHeight="1">
      <c r="B334" s="8"/>
    </row>
    <row r="335" spans="2:2" ht="15.75" customHeight="1">
      <c r="B335" s="8"/>
    </row>
    <row r="336" spans="2:2" ht="15.75" customHeight="1">
      <c r="B336" s="8"/>
    </row>
    <row r="337" spans="2:2" ht="15.75" customHeight="1">
      <c r="B337" s="8"/>
    </row>
    <row r="338" spans="2:2" ht="15.75" customHeight="1">
      <c r="B338" s="8"/>
    </row>
    <row r="339" spans="2:2" ht="15.75" customHeight="1">
      <c r="B339" s="8"/>
    </row>
    <row r="340" spans="2:2" ht="15.75" customHeight="1">
      <c r="B340" s="8"/>
    </row>
    <row r="341" spans="2:2" ht="15.75" customHeight="1">
      <c r="B341" s="8"/>
    </row>
    <row r="342" spans="2:2" ht="15.75" customHeight="1">
      <c r="B342" s="8"/>
    </row>
    <row r="343" spans="2:2" ht="15.75" customHeight="1">
      <c r="B343" s="8"/>
    </row>
    <row r="344" spans="2:2" ht="15.75" customHeight="1">
      <c r="B344" s="8"/>
    </row>
    <row r="345" spans="2:2" ht="15.75" customHeight="1">
      <c r="B345" s="8"/>
    </row>
    <row r="346" spans="2:2" ht="15.75" customHeight="1">
      <c r="B346" s="8"/>
    </row>
    <row r="347" spans="2:2" ht="15.75" customHeight="1">
      <c r="B347" s="8"/>
    </row>
    <row r="348" spans="2:2" ht="15.75" customHeight="1">
      <c r="B348" s="8"/>
    </row>
    <row r="349" spans="2:2" ht="15.75" customHeight="1">
      <c r="B349" s="8"/>
    </row>
    <row r="350" spans="2:2" ht="15.75" customHeight="1">
      <c r="B350" s="8"/>
    </row>
    <row r="351" spans="2:2" ht="15.75" customHeight="1">
      <c r="B351" s="8"/>
    </row>
    <row r="352" spans="2:2" ht="15.75" customHeight="1">
      <c r="B352" s="8"/>
    </row>
    <row r="353" spans="2:2" ht="15.75" customHeight="1">
      <c r="B353" s="8"/>
    </row>
    <row r="354" spans="2:2" ht="15.75" customHeight="1">
      <c r="B354" s="8"/>
    </row>
    <row r="355" spans="2:2" ht="15.75" customHeight="1">
      <c r="B355" s="8"/>
    </row>
    <row r="356" spans="2:2" ht="15.75" customHeight="1">
      <c r="B356" s="8"/>
    </row>
    <row r="357" spans="2:2" ht="15.75" customHeight="1">
      <c r="B357" s="8"/>
    </row>
    <row r="358" spans="2:2" ht="15.75" customHeight="1">
      <c r="B358" s="8"/>
    </row>
    <row r="359" spans="2:2" ht="15.75" customHeight="1">
      <c r="B359" s="8"/>
    </row>
    <row r="360" spans="2:2" ht="15.75" customHeight="1">
      <c r="B360" s="8"/>
    </row>
    <row r="361" spans="2:2" ht="15.75" customHeight="1">
      <c r="B361" s="8"/>
    </row>
    <row r="362" spans="2:2" ht="15.75" customHeight="1">
      <c r="B362" s="8"/>
    </row>
    <row r="363" spans="2:2" ht="15.75" customHeight="1">
      <c r="B363" s="8"/>
    </row>
    <row r="364" spans="2:2" ht="15.75" customHeight="1">
      <c r="B364" s="8"/>
    </row>
    <row r="365" spans="2:2" ht="15.75" customHeight="1">
      <c r="B365" s="8"/>
    </row>
    <row r="366" spans="2:2" ht="15.75" customHeight="1">
      <c r="B366" s="8"/>
    </row>
    <row r="367" spans="2:2" ht="15.75" customHeight="1">
      <c r="B367" s="8"/>
    </row>
    <row r="368" spans="2:2" ht="15.75" customHeight="1">
      <c r="B368" s="8"/>
    </row>
    <row r="369" spans="2:2" ht="15.75" customHeight="1">
      <c r="B369" s="8"/>
    </row>
    <row r="370" spans="2:2" ht="15.75" customHeight="1">
      <c r="B370" s="8"/>
    </row>
    <row r="371" spans="2:2" ht="15.75" customHeight="1">
      <c r="B371" s="8"/>
    </row>
    <row r="372" spans="2:2" ht="15.75" customHeight="1">
      <c r="B372" s="8"/>
    </row>
    <row r="373" spans="2:2" ht="15.75" customHeight="1">
      <c r="B373" s="8"/>
    </row>
    <row r="374" spans="2:2" ht="15.75" customHeight="1">
      <c r="B374" s="8"/>
    </row>
    <row r="375" spans="2:2" ht="15.75" customHeight="1">
      <c r="B375" s="8"/>
    </row>
    <row r="376" spans="2:2" ht="15.75" customHeight="1">
      <c r="B376" s="8"/>
    </row>
    <row r="377" spans="2:2" ht="15.75" customHeight="1">
      <c r="B377" s="8"/>
    </row>
    <row r="378" spans="2:2" ht="15.75" customHeight="1">
      <c r="B378" s="8"/>
    </row>
    <row r="379" spans="2:2" ht="15.75" customHeight="1">
      <c r="B379" s="8"/>
    </row>
    <row r="380" spans="2:2" ht="15.75" customHeight="1">
      <c r="B380" s="8"/>
    </row>
    <row r="381" spans="2:2" ht="15.75" customHeight="1">
      <c r="B381" s="8"/>
    </row>
    <row r="382" spans="2:2" ht="15.75" customHeight="1">
      <c r="B382" s="8"/>
    </row>
    <row r="383" spans="2:2" ht="15.75" customHeight="1">
      <c r="B383" s="8"/>
    </row>
    <row r="384" spans="2:2" ht="15.75" customHeight="1">
      <c r="B384" s="8"/>
    </row>
    <row r="385" spans="2:2" ht="15.75" customHeight="1">
      <c r="B385" s="8"/>
    </row>
    <row r="386" spans="2:2" ht="15.75" customHeight="1">
      <c r="B386" s="8"/>
    </row>
    <row r="387" spans="2:2" ht="15.75" customHeight="1">
      <c r="B387" s="8"/>
    </row>
    <row r="388" spans="2:2" ht="15.75" customHeight="1">
      <c r="B388" s="8"/>
    </row>
    <row r="389" spans="2:2" ht="15.75" customHeight="1">
      <c r="B389" s="8"/>
    </row>
    <row r="390" spans="2:2" ht="15.75" customHeight="1">
      <c r="B390" s="8"/>
    </row>
    <row r="391" spans="2:2" ht="15.75" customHeight="1">
      <c r="B391" s="8"/>
    </row>
    <row r="392" spans="2:2" ht="15.75" customHeight="1">
      <c r="B392" s="8"/>
    </row>
    <row r="393" spans="2:2" ht="15.75" customHeight="1">
      <c r="B393" s="8"/>
    </row>
    <row r="394" spans="2:2" ht="15.75" customHeight="1">
      <c r="B394" s="8"/>
    </row>
    <row r="395" spans="2:2" ht="15.75" customHeight="1">
      <c r="B395" s="8"/>
    </row>
    <row r="396" spans="2:2" ht="15.75" customHeight="1">
      <c r="B396" s="8"/>
    </row>
    <row r="397" spans="2:2" ht="15.75" customHeight="1">
      <c r="B397" s="8"/>
    </row>
    <row r="398" spans="2:2" ht="15.75" customHeight="1">
      <c r="B398" s="8"/>
    </row>
    <row r="399" spans="2:2" ht="15.75" customHeight="1">
      <c r="B399" s="8"/>
    </row>
    <row r="400" spans="2:2" ht="15.75" customHeight="1">
      <c r="B400" s="8"/>
    </row>
    <row r="401" spans="2:2" ht="15.75" customHeight="1">
      <c r="B401" s="8"/>
    </row>
    <row r="402" spans="2:2" ht="15.75" customHeight="1">
      <c r="B402" s="8"/>
    </row>
    <row r="403" spans="2:2" ht="15.75" customHeight="1">
      <c r="B403" s="8"/>
    </row>
    <row r="404" spans="2:2" ht="15.75" customHeight="1">
      <c r="B404" s="8"/>
    </row>
    <row r="405" spans="2:2" ht="15.75" customHeight="1">
      <c r="B405" s="8"/>
    </row>
    <row r="406" spans="2:2" ht="15.75" customHeight="1">
      <c r="B406" s="8"/>
    </row>
    <row r="407" spans="2:2" ht="15.75" customHeight="1">
      <c r="B407" s="8"/>
    </row>
    <row r="408" spans="2:2" ht="15.75" customHeight="1">
      <c r="B408" s="8"/>
    </row>
    <row r="409" spans="2:2" ht="15.75" customHeight="1">
      <c r="B409" s="8"/>
    </row>
    <row r="410" spans="2:2" ht="15.75" customHeight="1">
      <c r="B410" s="8"/>
    </row>
    <row r="411" spans="2:2" ht="15.75" customHeight="1">
      <c r="B411" s="8"/>
    </row>
    <row r="412" spans="2:2" ht="15.75" customHeight="1">
      <c r="B412" s="8"/>
    </row>
    <row r="413" spans="2:2" ht="15.75" customHeight="1">
      <c r="B413" s="8"/>
    </row>
    <row r="414" spans="2:2" ht="15.75" customHeight="1">
      <c r="B414" s="8"/>
    </row>
    <row r="415" spans="2:2" ht="15.75" customHeight="1">
      <c r="B415" s="8"/>
    </row>
    <row r="416" spans="2:2" ht="15.75" customHeight="1">
      <c r="B416" s="8"/>
    </row>
    <row r="417" spans="2:2" ht="15.75" customHeight="1">
      <c r="B417" s="8"/>
    </row>
    <row r="418" spans="2:2" ht="15.75" customHeight="1">
      <c r="B418" s="8"/>
    </row>
    <row r="419" spans="2:2" ht="15.75" customHeight="1">
      <c r="B419" s="8"/>
    </row>
    <row r="420" spans="2:2" ht="15.75" customHeight="1">
      <c r="B420" s="8"/>
    </row>
    <row r="421" spans="2:2" ht="15.75" customHeight="1">
      <c r="B421" s="8"/>
    </row>
    <row r="422" spans="2:2" ht="15.75" customHeight="1">
      <c r="B422" s="8"/>
    </row>
    <row r="423" spans="2:2" ht="15.75" customHeight="1">
      <c r="B423" s="8"/>
    </row>
    <row r="424" spans="2:2" ht="15.75" customHeight="1">
      <c r="B424" s="8"/>
    </row>
    <row r="425" spans="2:2" ht="15.75" customHeight="1">
      <c r="B425" s="8"/>
    </row>
    <row r="426" spans="2:2" ht="15.75" customHeight="1">
      <c r="B426" s="8"/>
    </row>
    <row r="427" spans="2:2" ht="15.75" customHeight="1">
      <c r="B427" s="8"/>
    </row>
    <row r="428" spans="2:2" ht="15.75" customHeight="1">
      <c r="B428" s="8"/>
    </row>
    <row r="429" spans="2:2" ht="15.75" customHeight="1">
      <c r="B429" s="8"/>
    </row>
    <row r="430" spans="2:2" ht="15.75" customHeight="1">
      <c r="B430" s="8"/>
    </row>
    <row r="431" spans="2:2" ht="15.75" customHeight="1">
      <c r="B431" s="8"/>
    </row>
    <row r="432" spans="2:2" ht="15.75" customHeight="1">
      <c r="B432" s="8"/>
    </row>
    <row r="433" spans="2:2" ht="15.75" customHeight="1">
      <c r="B433" s="8"/>
    </row>
    <row r="434" spans="2:2" ht="15.75" customHeight="1">
      <c r="B434" s="8"/>
    </row>
    <row r="435" spans="2:2" ht="15.75" customHeight="1">
      <c r="B435" s="8"/>
    </row>
    <row r="436" spans="2:2" ht="15.75" customHeight="1">
      <c r="B436" s="8"/>
    </row>
    <row r="437" spans="2:2" ht="15.75" customHeight="1">
      <c r="B437" s="8"/>
    </row>
    <row r="438" spans="2:2" ht="15.75" customHeight="1">
      <c r="B438" s="8"/>
    </row>
    <row r="439" spans="2:2" ht="15.75" customHeight="1">
      <c r="B439" s="8"/>
    </row>
    <row r="440" spans="2:2" ht="15.75" customHeight="1">
      <c r="B440" s="8"/>
    </row>
    <row r="441" spans="2:2" ht="15.75" customHeight="1">
      <c r="B441" s="8"/>
    </row>
    <row r="442" spans="2:2" ht="15.75" customHeight="1">
      <c r="B442" s="8"/>
    </row>
    <row r="443" spans="2:2" ht="15.75" customHeight="1">
      <c r="B443" s="8"/>
    </row>
    <row r="444" spans="2:2" ht="15.75" customHeight="1">
      <c r="B444" s="8"/>
    </row>
    <row r="445" spans="2:2" ht="15.75" customHeight="1">
      <c r="B445" s="8"/>
    </row>
    <row r="446" spans="2:2" ht="15.75" customHeight="1">
      <c r="B446" s="8"/>
    </row>
    <row r="447" spans="2:2" ht="15.75" customHeight="1">
      <c r="B447" s="8"/>
    </row>
    <row r="448" spans="2:2" ht="15.75" customHeight="1">
      <c r="B448" s="8"/>
    </row>
    <row r="449" spans="2:2" ht="15.75" customHeight="1">
      <c r="B449" s="8"/>
    </row>
    <row r="450" spans="2:2" ht="15.75" customHeight="1">
      <c r="B450" s="8"/>
    </row>
    <row r="451" spans="2:2" ht="15.75" customHeight="1">
      <c r="B451" s="8"/>
    </row>
    <row r="452" spans="2:2" ht="15.75" customHeight="1">
      <c r="B452" s="8"/>
    </row>
    <row r="453" spans="2:2" ht="15.75" customHeight="1">
      <c r="B453" s="8"/>
    </row>
    <row r="454" spans="2:2" ht="15.75" customHeight="1">
      <c r="B454" s="8"/>
    </row>
    <row r="455" spans="2:2" ht="15.75" customHeight="1">
      <c r="B455" s="8"/>
    </row>
    <row r="456" spans="2:2" ht="15.75" customHeight="1">
      <c r="B456" s="8"/>
    </row>
    <row r="457" spans="2:2" ht="15.75" customHeight="1">
      <c r="B457" s="8"/>
    </row>
    <row r="458" spans="2:2" ht="15.75" customHeight="1">
      <c r="B458" s="8"/>
    </row>
    <row r="459" spans="2:2" ht="15.75" customHeight="1">
      <c r="B459" s="8"/>
    </row>
    <row r="460" spans="2:2" ht="15.75" customHeight="1">
      <c r="B460" s="8"/>
    </row>
    <row r="461" spans="2:2" ht="15.75" customHeight="1">
      <c r="B461" s="8"/>
    </row>
    <row r="462" spans="2:2" ht="15.75" customHeight="1">
      <c r="B462" s="8"/>
    </row>
    <row r="463" spans="2:2" ht="15.75" customHeight="1">
      <c r="B463" s="8"/>
    </row>
    <row r="464" spans="2:2" ht="15.75" customHeight="1">
      <c r="B464" s="8"/>
    </row>
    <row r="465" spans="2:2" ht="15.75" customHeight="1">
      <c r="B465" s="8"/>
    </row>
    <row r="466" spans="2:2" ht="15.75" customHeight="1">
      <c r="B466" s="8"/>
    </row>
    <row r="467" spans="2:2" ht="15.75" customHeight="1">
      <c r="B467" s="8"/>
    </row>
    <row r="468" spans="2:2" ht="15.75" customHeight="1">
      <c r="B468" s="8"/>
    </row>
    <row r="469" spans="2:2" ht="15.75" customHeight="1">
      <c r="B469" s="8"/>
    </row>
    <row r="470" spans="2:2" ht="15.75" customHeight="1">
      <c r="B470" s="8"/>
    </row>
    <row r="471" spans="2:2" ht="15.75" customHeight="1">
      <c r="B471" s="8"/>
    </row>
    <row r="472" spans="2:2" ht="15.75" customHeight="1">
      <c r="B472" s="8"/>
    </row>
    <row r="473" spans="2:2" ht="15.75" customHeight="1">
      <c r="B473" s="8"/>
    </row>
    <row r="474" spans="2:2" ht="15.75" customHeight="1">
      <c r="B474" s="8"/>
    </row>
    <row r="475" spans="2:2" ht="15.75" customHeight="1">
      <c r="B475" s="8"/>
    </row>
    <row r="476" spans="2:2" ht="15.75" customHeight="1">
      <c r="B476" s="8"/>
    </row>
    <row r="477" spans="2:2" ht="15.75" customHeight="1">
      <c r="B477" s="8"/>
    </row>
    <row r="478" spans="2:2" ht="15.75" customHeight="1">
      <c r="B478" s="8"/>
    </row>
    <row r="479" spans="2:2" ht="15.75" customHeight="1">
      <c r="B479" s="8"/>
    </row>
    <row r="480" spans="2:2" ht="15.75" customHeight="1">
      <c r="B480" s="8"/>
    </row>
    <row r="481" spans="2:2" ht="15.75" customHeight="1">
      <c r="B481" s="8"/>
    </row>
    <row r="482" spans="2:2" ht="15.75" customHeight="1">
      <c r="B482" s="8"/>
    </row>
    <row r="483" spans="2:2" ht="15.75" customHeight="1">
      <c r="B483" s="8"/>
    </row>
    <row r="484" spans="2:2" ht="15.75" customHeight="1">
      <c r="B484" s="8"/>
    </row>
    <row r="485" spans="2:2" ht="15.75" customHeight="1">
      <c r="B485" s="8"/>
    </row>
    <row r="486" spans="2:2" ht="15.75" customHeight="1">
      <c r="B486" s="8"/>
    </row>
    <row r="487" spans="2:2" ht="15.75" customHeight="1">
      <c r="B487" s="8"/>
    </row>
    <row r="488" spans="2:2" ht="15.75" customHeight="1">
      <c r="B488" s="8"/>
    </row>
    <row r="489" spans="2:2" ht="15.75" customHeight="1">
      <c r="B489" s="8"/>
    </row>
    <row r="490" spans="2:2" ht="15.75" customHeight="1">
      <c r="B490" s="8"/>
    </row>
    <row r="491" spans="2:2" ht="15.75" customHeight="1">
      <c r="B491" s="8"/>
    </row>
    <row r="492" spans="2:2" ht="15.75" customHeight="1">
      <c r="B492" s="8"/>
    </row>
    <row r="493" spans="2:2" ht="15.75" customHeight="1">
      <c r="B493" s="8"/>
    </row>
    <row r="494" spans="2:2" ht="15.75" customHeight="1">
      <c r="B494" s="8"/>
    </row>
    <row r="495" spans="2:2" ht="15.75" customHeight="1">
      <c r="B495" s="8"/>
    </row>
    <row r="496" spans="2:2" ht="15.75" customHeight="1">
      <c r="B496" s="8"/>
    </row>
    <row r="497" spans="2:2" ht="15.75" customHeight="1">
      <c r="B497" s="8"/>
    </row>
    <row r="498" spans="2:2" ht="15.75" customHeight="1">
      <c r="B498" s="8"/>
    </row>
    <row r="499" spans="2:2" ht="15.75" customHeight="1">
      <c r="B499" s="8"/>
    </row>
    <row r="500" spans="2:2" ht="15.75" customHeight="1">
      <c r="B500" s="8"/>
    </row>
    <row r="501" spans="2:2" ht="15.75" customHeight="1">
      <c r="B501" s="8"/>
    </row>
    <row r="502" spans="2:2" ht="15.75" customHeight="1">
      <c r="B502" s="8"/>
    </row>
    <row r="503" spans="2:2" ht="15.75" customHeight="1">
      <c r="B503" s="8"/>
    </row>
    <row r="504" spans="2:2" ht="15.75" customHeight="1">
      <c r="B504" s="8"/>
    </row>
    <row r="505" spans="2:2" ht="15.75" customHeight="1">
      <c r="B505" s="8"/>
    </row>
    <row r="506" spans="2:2" ht="15.75" customHeight="1">
      <c r="B506" s="8"/>
    </row>
    <row r="507" spans="2:2" ht="15.75" customHeight="1">
      <c r="B507" s="8"/>
    </row>
    <row r="508" spans="2:2" ht="15.75" customHeight="1">
      <c r="B508" s="8"/>
    </row>
    <row r="509" spans="2:2" ht="15.75" customHeight="1">
      <c r="B509" s="8"/>
    </row>
    <row r="510" spans="2:2" ht="15.75" customHeight="1">
      <c r="B510" s="8"/>
    </row>
    <row r="511" spans="2:2" ht="15.75" customHeight="1">
      <c r="B511" s="8"/>
    </row>
    <row r="512" spans="2:2" ht="15.75" customHeight="1">
      <c r="B512" s="8"/>
    </row>
    <row r="513" spans="2:2" ht="15.75" customHeight="1">
      <c r="B513" s="8"/>
    </row>
    <row r="514" spans="2:2" ht="15.75" customHeight="1">
      <c r="B514" s="8"/>
    </row>
    <row r="515" spans="2:2" ht="15.75" customHeight="1">
      <c r="B515" s="8"/>
    </row>
    <row r="516" spans="2:2" ht="15.75" customHeight="1">
      <c r="B516" s="8"/>
    </row>
    <row r="517" spans="2:2" ht="15.75" customHeight="1">
      <c r="B517" s="8"/>
    </row>
    <row r="518" spans="2:2" ht="15.75" customHeight="1">
      <c r="B518" s="8"/>
    </row>
    <row r="519" spans="2:2" ht="15.75" customHeight="1">
      <c r="B519" s="8"/>
    </row>
    <row r="520" spans="2:2" ht="15.75" customHeight="1">
      <c r="B520" s="8"/>
    </row>
    <row r="521" spans="2:2" ht="15.75" customHeight="1">
      <c r="B521" s="8"/>
    </row>
    <row r="522" spans="2:2" ht="15.75" customHeight="1">
      <c r="B522" s="8"/>
    </row>
    <row r="523" spans="2:2" ht="15.75" customHeight="1">
      <c r="B523" s="8"/>
    </row>
    <row r="524" spans="2:2" ht="15.75" customHeight="1">
      <c r="B524" s="8"/>
    </row>
    <row r="525" spans="2:2" ht="15.75" customHeight="1">
      <c r="B525" s="8"/>
    </row>
    <row r="526" spans="2:2" ht="15.75" customHeight="1">
      <c r="B526" s="8"/>
    </row>
    <row r="527" spans="2:2" ht="15.75" customHeight="1">
      <c r="B527" s="8"/>
    </row>
    <row r="528" spans="2:2" ht="15.75" customHeight="1">
      <c r="B528" s="8"/>
    </row>
    <row r="529" spans="2:2" ht="15.75" customHeight="1">
      <c r="B529" s="8"/>
    </row>
    <row r="530" spans="2:2" ht="15.75" customHeight="1">
      <c r="B530" s="8"/>
    </row>
    <row r="531" spans="2:2" ht="15.75" customHeight="1">
      <c r="B531" s="8"/>
    </row>
    <row r="532" spans="2:2" ht="15.75" customHeight="1">
      <c r="B532" s="8"/>
    </row>
    <row r="533" spans="2:2" ht="15.75" customHeight="1">
      <c r="B533" s="8"/>
    </row>
    <row r="534" spans="2:2" ht="15.75" customHeight="1">
      <c r="B534" s="8"/>
    </row>
    <row r="535" spans="2:2" ht="15.75" customHeight="1">
      <c r="B535" s="8"/>
    </row>
    <row r="536" spans="2:2" ht="15.75" customHeight="1">
      <c r="B536" s="8"/>
    </row>
    <row r="537" spans="2:2" ht="15.75" customHeight="1">
      <c r="B537" s="8"/>
    </row>
    <row r="538" spans="2:2" ht="15.75" customHeight="1">
      <c r="B538" s="8"/>
    </row>
    <row r="539" spans="2:2" ht="15.75" customHeight="1">
      <c r="B539" s="8"/>
    </row>
    <row r="540" spans="2:2" ht="15.75" customHeight="1">
      <c r="B540" s="8"/>
    </row>
    <row r="541" spans="2:2" ht="15.75" customHeight="1">
      <c r="B541" s="8"/>
    </row>
    <row r="542" spans="2:2" ht="15.75" customHeight="1">
      <c r="B542" s="8"/>
    </row>
    <row r="543" spans="2:2" ht="15.75" customHeight="1">
      <c r="B543" s="8"/>
    </row>
    <row r="544" spans="2:2" ht="15.75" customHeight="1">
      <c r="B544" s="8"/>
    </row>
    <row r="545" spans="2:2" ht="15.75" customHeight="1">
      <c r="B545" s="8"/>
    </row>
    <row r="546" spans="2:2" ht="15.75" customHeight="1">
      <c r="B546" s="8"/>
    </row>
    <row r="547" spans="2:2" ht="15.75" customHeight="1">
      <c r="B547" s="8"/>
    </row>
    <row r="548" spans="2:2" ht="15.75" customHeight="1">
      <c r="B548" s="8"/>
    </row>
    <row r="549" spans="2:2" ht="15.75" customHeight="1">
      <c r="B549" s="8"/>
    </row>
    <row r="550" spans="2:2" ht="15.75" customHeight="1">
      <c r="B550" s="8"/>
    </row>
    <row r="551" spans="2:2" ht="15.75" customHeight="1">
      <c r="B551" s="8"/>
    </row>
    <row r="552" spans="2:2" ht="15.75" customHeight="1">
      <c r="B552" s="8"/>
    </row>
    <row r="553" spans="2:2" ht="15.75" customHeight="1">
      <c r="B553" s="8"/>
    </row>
    <row r="554" spans="2:2" ht="15.75" customHeight="1">
      <c r="B554" s="8"/>
    </row>
    <row r="555" spans="2:2" ht="15.75" customHeight="1">
      <c r="B555" s="8"/>
    </row>
    <row r="556" spans="2:2" ht="15.75" customHeight="1">
      <c r="B556" s="8"/>
    </row>
    <row r="557" spans="2:2" ht="15.75" customHeight="1">
      <c r="B557" s="8"/>
    </row>
    <row r="558" spans="2:2" ht="15.75" customHeight="1">
      <c r="B558" s="8"/>
    </row>
    <row r="559" spans="2:2" ht="15.75" customHeight="1">
      <c r="B559" s="8"/>
    </row>
    <row r="560" spans="2:2" ht="15.75" customHeight="1">
      <c r="B560" s="8"/>
    </row>
    <row r="561" spans="2:2" ht="15.75" customHeight="1">
      <c r="B561" s="8"/>
    </row>
    <row r="562" spans="2:2" ht="15.75" customHeight="1">
      <c r="B562" s="8"/>
    </row>
    <row r="563" spans="2:2" ht="15.75" customHeight="1">
      <c r="B563" s="8"/>
    </row>
    <row r="564" spans="2:2" ht="15.75" customHeight="1">
      <c r="B564" s="8"/>
    </row>
    <row r="565" spans="2:2" ht="15.75" customHeight="1">
      <c r="B565" s="8"/>
    </row>
    <row r="566" spans="2:2" ht="15.75" customHeight="1">
      <c r="B566" s="8"/>
    </row>
    <row r="567" spans="2:2" ht="15.75" customHeight="1">
      <c r="B567" s="8"/>
    </row>
    <row r="568" spans="2:2" ht="15.75" customHeight="1">
      <c r="B568" s="8"/>
    </row>
    <row r="569" spans="2:2" ht="15.75" customHeight="1">
      <c r="B569" s="8"/>
    </row>
    <row r="570" spans="2:2" ht="15.75" customHeight="1">
      <c r="B570" s="8"/>
    </row>
    <row r="571" spans="2:2" ht="15.75" customHeight="1">
      <c r="B571" s="8"/>
    </row>
    <row r="572" spans="2:2" ht="15.75" customHeight="1">
      <c r="B572" s="8"/>
    </row>
    <row r="573" spans="2:2" ht="15.75" customHeight="1">
      <c r="B573" s="8"/>
    </row>
    <row r="574" spans="2:2" ht="15.75" customHeight="1">
      <c r="B574" s="8"/>
    </row>
    <row r="575" spans="2:2" ht="15.75" customHeight="1">
      <c r="B575" s="8"/>
    </row>
    <row r="576" spans="2:2" ht="15.75" customHeight="1">
      <c r="B576" s="8"/>
    </row>
    <row r="577" spans="2:2" ht="15.75" customHeight="1">
      <c r="B577" s="8"/>
    </row>
    <row r="578" spans="2:2" ht="15.75" customHeight="1">
      <c r="B578" s="8"/>
    </row>
    <row r="579" spans="2:2" ht="15.75" customHeight="1">
      <c r="B579" s="8"/>
    </row>
    <row r="580" spans="2:2" ht="15.75" customHeight="1">
      <c r="B580" s="8"/>
    </row>
    <row r="581" spans="2:2" ht="15.75" customHeight="1">
      <c r="B581" s="8"/>
    </row>
    <row r="582" spans="2:2" ht="15.75" customHeight="1">
      <c r="B582" s="8"/>
    </row>
    <row r="583" spans="2:2" ht="15.75" customHeight="1">
      <c r="B583" s="8"/>
    </row>
    <row r="584" spans="2:2" ht="15.75" customHeight="1">
      <c r="B584" s="8"/>
    </row>
    <row r="585" spans="2:2" ht="15.75" customHeight="1">
      <c r="B585" s="8"/>
    </row>
    <row r="586" spans="2:2" ht="15.75" customHeight="1">
      <c r="B586" s="8"/>
    </row>
    <row r="587" spans="2:2" ht="15.75" customHeight="1">
      <c r="B587" s="8"/>
    </row>
    <row r="588" spans="2:2" ht="15.75" customHeight="1">
      <c r="B588" s="8"/>
    </row>
    <row r="589" spans="2:2" ht="15.75" customHeight="1">
      <c r="B589" s="8"/>
    </row>
    <row r="590" spans="2:2" ht="15.75" customHeight="1">
      <c r="B590" s="8"/>
    </row>
    <row r="591" spans="2:2" ht="15.75" customHeight="1">
      <c r="B591" s="8"/>
    </row>
    <row r="592" spans="2:2" ht="15.75" customHeight="1">
      <c r="B592" s="8"/>
    </row>
    <row r="593" spans="2:2" ht="15.75" customHeight="1">
      <c r="B593" s="8"/>
    </row>
    <row r="594" spans="2:2" ht="15.75" customHeight="1">
      <c r="B594" s="8"/>
    </row>
    <row r="595" spans="2:2" ht="15.75" customHeight="1">
      <c r="B595" s="8"/>
    </row>
    <row r="596" spans="2:2" ht="15.75" customHeight="1">
      <c r="B596" s="8"/>
    </row>
    <row r="597" spans="2:2" ht="15.75" customHeight="1">
      <c r="B597" s="8"/>
    </row>
    <row r="598" spans="2:2" ht="15.75" customHeight="1">
      <c r="B598" s="8"/>
    </row>
    <row r="599" spans="2:2" ht="15.75" customHeight="1">
      <c r="B599" s="8"/>
    </row>
    <row r="600" spans="2:2" ht="15.75" customHeight="1">
      <c r="B600" s="8"/>
    </row>
    <row r="601" spans="2:2" ht="15.75" customHeight="1">
      <c r="B601" s="8"/>
    </row>
    <row r="602" spans="2:2" ht="15.75" customHeight="1">
      <c r="B602" s="8"/>
    </row>
    <row r="603" spans="2:2" ht="15.75" customHeight="1">
      <c r="B603" s="8"/>
    </row>
    <row r="604" spans="2:2" ht="15.75" customHeight="1">
      <c r="B604" s="8"/>
    </row>
    <row r="605" spans="2:2" ht="15.75" customHeight="1">
      <c r="B605" s="8"/>
    </row>
    <row r="606" spans="2:2" ht="15.75" customHeight="1">
      <c r="B606" s="8"/>
    </row>
    <row r="607" spans="2:2" ht="15.75" customHeight="1">
      <c r="B607" s="8"/>
    </row>
    <row r="608" spans="2:2" ht="15.75" customHeight="1">
      <c r="B608" s="8"/>
    </row>
    <row r="609" spans="2:2" ht="15.75" customHeight="1">
      <c r="B609" s="8"/>
    </row>
    <row r="610" spans="2:2" ht="15.75" customHeight="1">
      <c r="B610" s="8"/>
    </row>
    <row r="611" spans="2:2" ht="15.75" customHeight="1">
      <c r="B611" s="8"/>
    </row>
    <row r="612" spans="2:2" ht="15.75" customHeight="1">
      <c r="B612" s="8"/>
    </row>
    <row r="613" spans="2:2" ht="15.75" customHeight="1">
      <c r="B613" s="8"/>
    </row>
    <row r="614" spans="2:2" ht="15.75" customHeight="1">
      <c r="B614" s="8"/>
    </row>
    <row r="615" spans="2:2" ht="15.75" customHeight="1">
      <c r="B615" s="8"/>
    </row>
    <row r="616" spans="2:2" ht="15.75" customHeight="1">
      <c r="B616" s="8"/>
    </row>
    <row r="617" spans="2:2" ht="15.75" customHeight="1">
      <c r="B617" s="8"/>
    </row>
    <row r="618" spans="2:2" ht="15.75" customHeight="1">
      <c r="B618" s="8"/>
    </row>
    <row r="619" spans="2:2" ht="15.75" customHeight="1">
      <c r="B619" s="8"/>
    </row>
    <row r="620" spans="2:2" ht="15.75" customHeight="1">
      <c r="B620" s="8"/>
    </row>
    <row r="621" spans="2:2" ht="15.75" customHeight="1">
      <c r="B621" s="8"/>
    </row>
    <row r="622" spans="2:2" ht="15.75" customHeight="1">
      <c r="B622" s="8"/>
    </row>
    <row r="623" spans="2:2" ht="15.75" customHeight="1">
      <c r="B623" s="8"/>
    </row>
    <row r="624" spans="2:2" ht="15.75" customHeight="1">
      <c r="B624" s="8"/>
    </row>
    <row r="625" spans="2:2" ht="15.75" customHeight="1">
      <c r="B625" s="8"/>
    </row>
    <row r="626" spans="2:2" ht="15.75" customHeight="1">
      <c r="B626" s="8"/>
    </row>
    <row r="627" spans="2:2" ht="15.75" customHeight="1">
      <c r="B627" s="8"/>
    </row>
    <row r="628" spans="2:2" ht="15.75" customHeight="1">
      <c r="B628" s="8"/>
    </row>
    <row r="629" spans="2:2" ht="15.75" customHeight="1">
      <c r="B629" s="8"/>
    </row>
    <row r="630" spans="2:2" ht="15.75" customHeight="1">
      <c r="B630" s="8"/>
    </row>
    <row r="631" spans="2:2" ht="15.75" customHeight="1">
      <c r="B631" s="8"/>
    </row>
    <row r="632" spans="2:2" ht="15.75" customHeight="1">
      <c r="B632" s="8"/>
    </row>
    <row r="633" spans="2:2" ht="15.75" customHeight="1">
      <c r="B633" s="8"/>
    </row>
    <row r="634" spans="2:2" ht="15.75" customHeight="1">
      <c r="B634" s="8"/>
    </row>
    <row r="635" spans="2:2" ht="15.75" customHeight="1">
      <c r="B635" s="8"/>
    </row>
    <row r="636" spans="2:2" ht="15.75" customHeight="1">
      <c r="B636" s="8"/>
    </row>
    <row r="637" spans="2:2" ht="15.75" customHeight="1">
      <c r="B637" s="8"/>
    </row>
    <row r="638" spans="2:2" ht="15.75" customHeight="1">
      <c r="B638" s="8"/>
    </row>
    <row r="639" spans="2:2" ht="15.75" customHeight="1">
      <c r="B639" s="8"/>
    </row>
    <row r="640" spans="2:2" ht="15.75" customHeight="1">
      <c r="B640" s="8"/>
    </row>
    <row r="641" spans="2:2" ht="15.75" customHeight="1">
      <c r="B641" s="8"/>
    </row>
    <row r="642" spans="2:2" ht="15.75" customHeight="1">
      <c r="B642" s="8"/>
    </row>
    <row r="643" spans="2:2" ht="15.75" customHeight="1">
      <c r="B643" s="8"/>
    </row>
    <row r="644" spans="2:2" ht="15.75" customHeight="1">
      <c r="B644" s="8"/>
    </row>
    <row r="645" spans="2:2" ht="15.75" customHeight="1">
      <c r="B645" s="8"/>
    </row>
    <row r="646" spans="2:2" ht="15.75" customHeight="1">
      <c r="B646" s="8"/>
    </row>
    <row r="647" spans="2:2" ht="15.75" customHeight="1">
      <c r="B647" s="8"/>
    </row>
    <row r="648" spans="2:2" ht="15.75" customHeight="1">
      <c r="B648" s="8"/>
    </row>
    <row r="649" spans="2:2" ht="15.75" customHeight="1">
      <c r="B649" s="8"/>
    </row>
    <row r="650" spans="2:2" ht="15.75" customHeight="1">
      <c r="B650" s="8"/>
    </row>
    <row r="651" spans="2:2" ht="15.75" customHeight="1">
      <c r="B651" s="8"/>
    </row>
    <row r="652" spans="2:2" ht="15.75" customHeight="1">
      <c r="B652" s="8"/>
    </row>
    <row r="653" spans="2:2" ht="15.75" customHeight="1">
      <c r="B653" s="8"/>
    </row>
    <row r="654" spans="2:2" ht="15.75" customHeight="1">
      <c r="B654" s="8"/>
    </row>
    <row r="655" spans="2:2" ht="15.75" customHeight="1">
      <c r="B655" s="8"/>
    </row>
    <row r="656" spans="2:2" ht="15.75" customHeight="1">
      <c r="B656" s="8"/>
    </row>
    <row r="657" spans="2:2" ht="15.75" customHeight="1">
      <c r="B657" s="8"/>
    </row>
    <row r="658" spans="2:2" ht="15.75" customHeight="1">
      <c r="B658" s="8"/>
    </row>
    <row r="659" spans="2:2" ht="15.75" customHeight="1">
      <c r="B659" s="8"/>
    </row>
    <row r="660" spans="2:2" ht="15.75" customHeight="1">
      <c r="B660" s="8"/>
    </row>
    <row r="661" spans="2:2" ht="15.75" customHeight="1">
      <c r="B661" s="8"/>
    </row>
    <row r="662" spans="2:2" ht="15.75" customHeight="1">
      <c r="B662" s="8"/>
    </row>
    <row r="663" spans="2:2" ht="15.75" customHeight="1">
      <c r="B663" s="8"/>
    </row>
    <row r="664" spans="2:2" ht="15.75" customHeight="1">
      <c r="B664" s="8"/>
    </row>
    <row r="665" spans="2:2" ht="15.75" customHeight="1">
      <c r="B665" s="8"/>
    </row>
    <row r="666" spans="2:2" ht="15.75" customHeight="1">
      <c r="B666" s="8"/>
    </row>
    <row r="667" spans="2:2" ht="15.75" customHeight="1">
      <c r="B667" s="8"/>
    </row>
    <row r="668" spans="2:2" ht="15.75" customHeight="1">
      <c r="B668" s="8"/>
    </row>
    <row r="669" spans="2:2" ht="15.75" customHeight="1">
      <c r="B669" s="8"/>
    </row>
    <row r="670" spans="2:2" ht="15.75" customHeight="1">
      <c r="B670" s="8"/>
    </row>
    <row r="671" spans="2:2" ht="15.75" customHeight="1">
      <c r="B671" s="8"/>
    </row>
    <row r="672" spans="2:2" ht="15.75" customHeight="1">
      <c r="B672" s="8"/>
    </row>
    <row r="673" spans="2:2" ht="15.75" customHeight="1">
      <c r="B673" s="8"/>
    </row>
    <row r="674" spans="2:2" ht="15.75" customHeight="1">
      <c r="B674" s="8"/>
    </row>
    <row r="675" spans="2:2" ht="15.75" customHeight="1">
      <c r="B675" s="8"/>
    </row>
    <row r="676" spans="2:2" ht="15.75" customHeight="1">
      <c r="B676" s="8"/>
    </row>
    <row r="677" spans="2:2" ht="15.75" customHeight="1">
      <c r="B677" s="8"/>
    </row>
    <row r="678" spans="2:2" ht="15.75" customHeight="1">
      <c r="B678" s="8"/>
    </row>
    <row r="679" spans="2:2" ht="15.75" customHeight="1">
      <c r="B679" s="8"/>
    </row>
    <row r="680" spans="2:2" ht="15.75" customHeight="1">
      <c r="B680" s="8"/>
    </row>
    <row r="681" spans="2:2" ht="15.75" customHeight="1">
      <c r="B681" s="8"/>
    </row>
    <row r="682" spans="2:2" ht="15.75" customHeight="1">
      <c r="B682" s="8"/>
    </row>
    <row r="683" spans="2:2" ht="15.75" customHeight="1">
      <c r="B683" s="8"/>
    </row>
    <row r="684" spans="2:2" ht="15.75" customHeight="1">
      <c r="B684" s="8"/>
    </row>
    <row r="685" spans="2:2" ht="15.75" customHeight="1">
      <c r="B685" s="8"/>
    </row>
    <row r="686" spans="2:2" ht="15.75" customHeight="1">
      <c r="B686" s="8"/>
    </row>
    <row r="687" spans="2:2" ht="15.75" customHeight="1">
      <c r="B687" s="8"/>
    </row>
    <row r="688" spans="2:2" ht="15.75" customHeight="1">
      <c r="B688" s="8"/>
    </row>
    <row r="689" spans="2:2" ht="15.75" customHeight="1">
      <c r="B689" s="8"/>
    </row>
    <row r="690" spans="2:2" ht="15.75" customHeight="1">
      <c r="B690" s="8"/>
    </row>
    <row r="691" spans="2:2" ht="15.75" customHeight="1">
      <c r="B691" s="8"/>
    </row>
    <row r="692" spans="2:2" ht="15.75" customHeight="1">
      <c r="B692" s="8"/>
    </row>
    <row r="693" spans="2:2" ht="15.75" customHeight="1">
      <c r="B693" s="8"/>
    </row>
    <row r="694" spans="2:2" ht="15.75" customHeight="1">
      <c r="B694" s="8"/>
    </row>
    <row r="695" spans="2:2" ht="15.75" customHeight="1">
      <c r="B695" s="8"/>
    </row>
    <row r="696" spans="2:2" ht="15.75" customHeight="1">
      <c r="B696" s="8"/>
    </row>
    <row r="697" spans="2:2" ht="15.75" customHeight="1">
      <c r="B697" s="8"/>
    </row>
    <row r="698" spans="2:2" ht="15.75" customHeight="1">
      <c r="B698" s="8"/>
    </row>
    <row r="699" spans="2:2" ht="15.75" customHeight="1">
      <c r="B699" s="8"/>
    </row>
    <row r="700" spans="2:2" ht="15.75" customHeight="1">
      <c r="B700" s="8"/>
    </row>
    <row r="701" spans="2:2" ht="15.75" customHeight="1">
      <c r="B701" s="8"/>
    </row>
    <row r="702" spans="2:2" ht="15.75" customHeight="1">
      <c r="B702" s="8"/>
    </row>
    <row r="703" spans="2:2" ht="15.75" customHeight="1">
      <c r="B703" s="8"/>
    </row>
    <row r="704" spans="2:2" ht="15.75" customHeight="1">
      <c r="B704" s="8"/>
    </row>
    <row r="705" spans="2:2" ht="15.75" customHeight="1">
      <c r="B705" s="8"/>
    </row>
    <row r="706" spans="2:2" ht="15.75" customHeight="1">
      <c r="B706" s="8"/>
    </row>
    <row r="707" spans="2:2" ht="15.75" customHeight="1">
      <c r="B707" s="8"/>
    </row>
    <row r="708" spans="2:2" ht="15.75" customHeight="1">
      <c r="B708" s="8"/>
    </row>
    <row r="709" spans="2:2" ht="15.75" customHeight="1">
      <c r="B709" s="8"/>
    </row>
    <row r="710" spans="2:2" ht="15.75" customHeight="1">
      <c r="B710" s="8"/>
    </row>
    <row r="711" spans="2:2" ht="15.75" customHeight="1">
      <c r="B711" s="8"/>
    </row>
    <row r="712" spans="2:2" ht="15.75" customHeight="1">
      <c r="B712" s="8"/>
    </row>
    <row r="713" spans="2:2" ht="15.75" customHeight="1">
      <c r="B713" s="8"/>
    </row>
    <row r="714" spans="2:2" ht="15.75" customHeight="1">
      <c r="B714" s="8"/>
    </row>
    <row r="715" spans="2:2" ht="15.75" customHeight="1">
      <c r="B715" s="8"/>
    </row>
    <row r="716" spans="2:2" ht="15.75" customHeight="1">
      <c r="B716" s="8"/>
    </row>
    <row r="717" spans="2:2" ht="15.75" customHeight="1">
      <c r="B717" s="8"/>
    </row>
    <row r="718" spans="2:2" ht="15.75" customHeight="1">
      <c r="B718" s="8"/>
    </row>
    <row r="719" spans="2:2" ht="15.75" customHeight="1">
      <c r="B719" s="8"/>
    </row>
    <row r="720" spans="2:2" ht="15.75" customHeight="1">
      <c r="B720" s="8"/>
    </row>
    <row r="721" spans="2:2" ht="15.75" customHeight="1">
      <c r="B721" s="8"/>
    </row>
    <row r="722" spans="2:2" ht="15.75" customHeight="1">
      <c r="B722" s="8"/>
    </row>
    <row r="723" spans="2:2" ht="15.75" customHeight="1">
      <c r="B723" s="8"/>
    </row>
    <row r="724" spans="2:2" ht="15.75" customHeight="1">
      <c r="B724" s="8"/>
    </row>
    <row r="725" spans="2:2" ht="15.75" customHeight="1">
      <c r="B725" s="8"/>
    </row>
    <row r="726" spans="2:2" ht="15.75" customHeight="1">
      <c r="B726" s="8"/>
    </row>
    <row r="727" spans="2:2" ht="15.75" customHeight="1">
      <c r="B727" s="8"/>
    </row>
    <row r="728" spans="2:2" ht="15.75" customHeight="1">
      <c r="B728" s="8"/>
    </row>
    <row r="729" spans="2:2" ht="15.75" customHeight="1">
      <c r="B729" s="8"/>
    </row>
    <row r="730" spans="2:2" ht="15.75" customHeight="1">
      <c r="B730" s="8"/>
    </row>
    <row r="731" spans="2:2" ht="15.75" customHeight="1">
      <c r="B731" s="8"/>
    </row>
    <row r="732" spans="2:2" ht="15.75" customHeight="1">
      <c r="B732" s="8"/>
    </row>
    <row r="733" spans="2:2" ht="15.75" customHeight="1">
      <c r="B733" s="8"/>
    </row>
    <row r="734" spans="2:2" ht="15.75" customHeight="1">
      <c r="B734" s="8"/>
    </row>
    <row r="735" spans="2:2" ht="15.75" customHeight="1">
      <c r="B735" s="8"/>
    </row>
    <row r="736" spans="2:2" ht="15.75" customHeight="1">
      <c r="B736" s="8"/>
    </row>
    <row r="737" spans="2:2" ht="15.75" customHeight="1">
      <c r="B737" s="8"/>
    </row>
    <row r="738" spans="2:2" ht="15.75" customHeight="1">
      <c r="B738" s="8"/>
    </row>
    <row r="739" spans="2:2" ht="15.75" customHeight="1">
      <c r="B739" s="8"/>
    </row>
    <row r="740" spans="2:2" ht="15.75" customHeight="1">
      <c r="B740" s="8"/>
    </row>
    <row r="741" spans="2:2" ht="15.75" customHeight="1">
      <c r="B741" s="8"/>
    </row>
    <row r="742" spans="2:2" ht="15.75" customHeight="1">
      <c r="B742" s="8"/>
    </row>
    <row r="743" spans="2:2" ht="15.75" customHeight="1">
      <c r="B743" s="8"/>
    </row>
    <row r="744" spans="2:2" ht="15.75" customHeight="1">
      <c r="B744" s="8"/>
    </row>
    <row r="745" spans="2:2" ht="15.75" customHeight="1">
      <c r="B745" s="8"/>
    </row>
    <row r="746" spans="2:2" ht="15.75" customHeight="1">
      <c r="B746" s="8"/>
    </row>
    <row r="747" spans="2:2" ht="15.75" customHeight="1">
      <c r="B747" s="8"/>
    </row>
    <row r="748" spans="2:2" ht="15.75" customHeight="1">
      <c r="B748" s="8"/>
    </row>
    <row r="749" spans="2:2" ht="15.75" customHeight="1">
      <c r="B749" s="8"/>
    </row>
    <row r="750" spans="2:2" ht="15.75" customHeight="1">
      <c r="B750" s="8"/>
    </row>
    <row r="751" spans="2:2" ht="15.75" customHeight="1">
      <c r="B751" s="8"/>
    </row>
    <row r="752" spans="2:2" ht="15.75" customHeight="1">
      <c r="B752" s="8"/>
    </row>
    <row r="753" spans="2:2" ht="15.75" customHeight="1">
      <c r="B753" s="8"/>
    </row>
    <row r="754" spans="2:2" ht="15.75" customHeight="1">
      <c r="B754" s="8"/>
    </row>
    <row r="755" spans="2:2" ht="15.75" customHeight="1">
      <c r="B755" s="8"/>
    </row>
    <row r="756" spans="2:2" ht="15.75" customHeight="1">
      <c r="B756" s="8"/>
    </row>
    <row r="757" spans="2:2" ht="15.75" customHeight="1">
      <c r="B757" s="8"/>
    </row>
    <row r="758" spans="2:2" ht="15.75" customHeight="1">
      <c r="B758" s="8"/>
    </row>
    <row r="759" spans="2:2" ht="15.75" customHeight="1">
      <c r="B759" s="8"/>
    </row>
    <row r="760" spans="2:2" ht="15.75" customHeight="1">
      <c r="B760" s="8"/>
    </row>
    <row r="761" spans="2:2" ht="15.75" customHeight="1">
      <c r="B761" s="8"/>
    </row>
    <row r="762" spans="2:2" ht="15.75" customHeight="1">
      <c r="B762" s="8"/>
    </row>
    <row r="763" spans="2:2" ht="15.75" customHeight="1">
      <c r="B763" s="8"/>
    </row>
    <row r="764" spans="2:2" ht="15.75" customHeight="1">
      <c r="B764" s="8"/>
    </row>
    <row r="765" spans="2:2" ht="15.75" customHeight="1">
      <c r="B765" s="8"/>
    </row>
    <row r="766" spans="2:2" ht="15.75" customHeight="1">
      <c r="B766" s="8"/>
    </row>
    <row r="767" spans="2:2" ht="15.75" customHeight="1">
      <c r="B767" s="8"/>
    </row>
    <row r="768" spans="2:2" ht="15.75" customHeight="1">
      <c r="B768" s="8"/>
    </row>
    <row r="769" spans="2:2" ht="15.75" customHeight="1">
      <c r="B769" s="8"/>
    </row>
    <row r="770" spans="2:2" ht="15.75" customHeight="1">
      <c r="B770" s="8"/>
    </row>
    <row r="771" spans="2:2" ht="15.75" customHeight="1">
      <c r="B771" s="8"/>
    </row>
    <row r="772" spans="2:2" ht="15.75" customHeight="1">
      <c r="B772" s="8"/>
    </row>
    <row r="773" spans="2:2" ht="15.75" customHeight="1">
      <c r="B773" s="8"/>
    </row>
    <row r="774" spans="2:2" ht="15.75" customHeight="1">
      <c r="B774" s="8"/>
    </row>
    <row r="775" spans="2:2" ht="15.75" customHeight="1">
      <c r="B775" s="8"/>
    </row>
    <row r="776" spans="2:2" ht="15.75" customHeight="1">
      <c r="B776" s="8"/>
    </row>
    <row r="777" spans="2:2" ht="15.75" customHeight="1">
      <c r="B777" s="8"/>
    </row>
    <row r="778" spans="2:2" ht="15.75" customHeight="1">
      <c r="B778" s="8"/>
    </row>
    <row r="779" spans="2:2" ht="15.75" customHeight="1">
      <c r="B779" s="8"/>
    </row>
    <row r="780" spans="2:2" ht="15.75" customHeight="1">
      <c r="B780" s="8"/>
    </row>
    <row r="781" spans="2:2" ht="15.75" customHeight="1">
      <c r="B781" s="8"/>
    </row>
    <row r="782" spans="2:2" ht="15.75" customHeight="1">
      <c r="B782" s="8"/>
    </row>
    <row r="783" spans="2:2" ht="15.75" customHeight="1">
      <c r="B783" s="8"/>
    </row>
    <row r="784" spans="2:2" ht="15.75" customHeight="1">
      <c r="B784" s="8"/>
    </row>
    <row r="785" spans="2:2" ht="15.75" customHeight="1">
      <c r="B785" s="8"/>
    </row>
    <row r="786" spans="2:2" ht="15.75" customHeight="1">
      <c r="B786" s="8"/>
    </row>
    <row r="787" spans="2:2" ht="15.75" customHeight="1">
      <c r="B787" s="8"/>
    </row>
    <row r="788" spans="2:2" ht="15.75" customHeight="1">
      <c r="B788" s="8"/>
    </row>
    <row r="789" spans="2:2" ht="15.75" customHeight="1">
      <c r="B789" s="8"/>
    </row>
    <row r="790" spans="2:2" ht="15.75" customHeight="1">
      <c r="B790" s="8"/>
    </row>
    <row r="791" spans="2:2" ht="15.75" customHeight="1">
      <c r="B791" s="8"/>
    </row>
    <row r="792" spans="2:2" ht="15.75" customHeight="1">
      <c r="B792" s="8"/>
    </row>
    <row r="793" spans="2:2" ht="15.75" customHeight="1">
      <c r="B793" s="8"/>
    </row>
    <row r="794" spans="2:2" ht="15.75" customHeight="1">
      <c r="B794" s="8"/>
    </row>
    <row r="795" spans="2:2" ht="15.75" customHeight="1">
      <c r="B795" s="8"/>
    </row>
    <row r="796" spans="2:2" ht="15.75" customHeight="1">
      <c r="B796" s="8"/>
    </row>
    <row r="797" spans="2:2" ht="15.75" customHeight="1">
      <c r="B797" s="8"/>
    </row>
    <row r="798" spans="2:2" ht="15.75" customHeight="1">
      <c r="B798" s="8"/>
    </row>
    <row r="799" spans="2:2" ht="15.75" customHeight="1">
      <c r="B799" s="8"/>
    </row>
    <row r="800" spans="2:2" ht="15.75" customHeight="1">
      <c r="B800" s="8"/>
    </row>
    <row r="801" spans="2:2" ht="15.75" customHeight="1">
      <c r="B801" s="8"/>
    </row>
    <row r="802" spans="2:2" ht="15.75" customHeight="1">
      <c r="B802" s="8"/>
    </row>
    <row r="803" spans="2:2" ht="15.75" customHeight="1">
      <c r="B803" s="8"/>
    </row>
    <row r="804" spans="2:2" ht="15.75" customHeight="1">
      <c r="B804" s="8"/>
    </row>
    <row r="805" spans="2:2" ht="15.75" customHeight="1">
      <c r="B805" s="8"/>
    </row>
    <row r="806" spans="2:2" ht="15.75" customHeight="1">
      <c r="B806" s="8"/>
    </row>
    <row r="807" spans="2:2" ht="15.75" customHeight="1">
      <c r="B807" s="8"/>
    </row>
    <row r="808" spans="2:2" ht="15.75" customHeight="1">
      <c r="B808" s="8"/>
    </row>
    <row r="809" spans="2:2" ht="15.75" customHeight="1">
      <c r="B809" s="8"/>
    </row>
    <row r="810" spans="2:2" ht="15.75" customHeight="1">
      <c r="B810" s="8"/>
    </row>
    <row r="811" spans="2:2" ht="15.75" customHeight="1">
      <c r="B811" s="8"/>
    </row>
    <row r="812" spans="2:2" ht="15.75" customHeight="1">
      <c r="B812" s="8"/>
    </row>
    <row r="813" spans="2:2" ht="15.75" customHeight="1">
      <c r="B813" s="8"/>
    </row>
    <row r="814" spans="2:2" ht="15.75" customHeight="1">
      <c r="B814" s="8"/>
    </row>
    <row r="815" spans="2:2" ht="15.75" customHeight="1">
      <c r="B815" s="8"/>
    </row>
    <row r="816" spans="2:2" ht="15.75" customHeight="1">
      <c r="B816" s="8"/>
    </row>
    <row r="817" spans="2:2" ht="15.75" customHeight="1">
      <c r="B817" s="8"/>
    </row>
    <row r="818" spans="2:2" ht="15.75" customHeight="1">
      <c r="B818" s="8"/>
    </row>
    <row r="819" spans="2:2" ht="15.75" customHeight="1">
      <c r="B819" s="8"/>
    </row>
    <row r="820" spans="2:2" ht="15.75" customHeight="1">
      <c r="B820" s="8"/>
    </row>
    <row r="821" spans="2:2" ht="15.75" customHeight="1">
      <c r="B821" s="8"/>
    </row>
    <row r="822" spans="2:2" ht="15.75" customHeight="1">
      <c r="B822" s="8"/>
    </row>
    <row r="823" spans="2:2" ht="15.75" customHeight="1">
      <c r="B823" s="8"/>
    </row>
    <row r="824" spans="2:2" ht="15.75" customHeight="1">
      <c r="B824" s="8"/>
    </row>
    <row r="825" spans="2:2" ht="15.75" customHeight="1">
      <c r="B825" s="8"/>
    </row>
    <row r="826" spans="2:2" ht="15.75" customHeight="1">
      <c r="B826" s="8"/>
    </row>
    <row r="827" spans="2:2" ht="15.75" customHeight="1">
      <c r="B827" s="8"/>
    </row>
    <row r="828" spans="2:2" ht="15.75" customHeight="1">
      <c r="B828" s="8"/>
    </row>
    <row r="829" spans="2:2" ht="15.75" customHeight="1">
      <c r="B829" s="8"/>
    </row>
    <row r="830" spans="2:2" ht="15.75" customHeight="1">
      <c r="B830" s="8"/>
    </row>
    <row r="831" spans="2:2" ht="15.75" customHeight="1">
      <c r="B831" s="8"/>
    </row>
    <row r="832" spans="2:2" ht="15.75" customHeight="1">
      <c r="B832" s="8"/>
    </row>
    <row r="833" spans="2:2" ht="15.75" customHeight="1">
      <c r="B833" s="8"/>
    </row>
    <row r="834" spans="2:2" ht="15.75" customHeight="1">
      <c r="B834" s="8"/>
    </row>
    <row r="835" spans="2:2" ht="15.75" customHeight="1">
      <c r="B835" s="8"/>
    </row>
    <row r="836" spans="2:2" ht="15.75" customHeight="1">
      <c r="B836" s="8"/>
    </row>
    <row r="837" spans="2:2" ht="15.75" customHeight="1">
      <c r="B837" s="8"/>
    </row>
    <row r="838" spans="2:2" ht="15.75" customHeight="1">
      <c r="B838" s="8"/>
    </row>
    <row r="839" spans="2:2" ht="15.75" customHeight="1">
      <c r="B839" s="8"/>
    </row>
    <row r="840" spans="2:2" ht="15.75" customHeight="1">
      <c r="B840" s="8"/>
    </row>
    <row r="841" spans="2:2" ht="15.75" customHeight="1">
      <c r="B841" s="8"/>
    </row>
    <row r="842" spans="2:2" ht="15.75" customHeight="1">
      <c r="B842" s="8"/>
    </row>
    <row r="843" spans="2:2" ht="15.75" customHeight="1">
      <c r="B843" s="8"/>
    </row>
    <row r="844" spans="2:2" ht="15.75" customHeight="1">
      <c r="B844" s="8"/>
    </row>
    <row r="845" spans="2:2" ht="15.75" customHeight="1">
      <c r="B845" s="8"/>
    </row>
    <row r="846" spans="2:2" ht="15.75" customHeight="1">
      <c r="B846" s="8"/>
    </row>
    <row r="847" spans="2:2" ht="15.75" customHeight="1">
      <c r="B847" s="8"/>
    </row>
    <row r="848" spans="2:2" ht="15.75" customHeight="1">
      <c r="B848" s="8"/>
    </row>
    <row r="849" spans="2:2" ht="15.75" customHeight="1">
      <c r="B849" s="8"/>
    </row>
    <row r="850" spans="2:2" ht="15.75" customHeight="1">
      <c r="B850" s="8"/>
    </row>
    <row r="851" spans="2:2" ht="15.75" customHeight="1">
      <c r="B851" s="8"/>
    </row>
    <row r="852" spans="2:2" ht="15.75" customHeight="1">
      <c r="B852" s="8"/>
    </row>
    <row r="853" spans="2:2" ht="15.75" customHeight="1">
      <c r="B853" s="8"/>
    </row>
    <row r="854" spans="2:2" ht="15.75" customHeight="1">
      <c r="B854" s="8"/>
    </row>
    <row r="855" spans="2:2" ht="15.75" customHeight="1">
      <c r="B855" s="8"/>
    </row>
    <row r="856" spans="2:2" ht="15.75" customHeight="1">
      <c r="B856" s="8"/>
    </row>
    <row r="857" spans="2:2" ht="15.75" customHeight="1">
      <c r="B857" s="8"/>
    </row>
    <row r="858" spans="2:2" ht="15.75" customHeight="1">
      <c r="B858" s="8"/>
    </row>
    <row r="859" spans="2:2" ht="15.75" customHeight="1">
      <c r="B859" s="8"/>
    </row>
    <row r="860" spans="2:2" ht="15.75" customHeight="1">
      <c r="B860" s="8"/>
    </row>
    <row r="861" spans="2:2" ht="15.75" customHeight="1">
      <c r="B861" s="8"/>
    </row>
    <row r="862" spans="2:2" ht="15.75" customHeight="1">
      <c r="B862" s="8"/>
    </row>
    <row r="863" spans="2:2" ht="15.75" customHeight="1">
      <c r="B863" s="8"/>
    </row>
    <row r="864" spans="2:2" ht="15.75" customHeight="1">
      <c r="B864" s="8"/>
    </row>
    <row r="865" spans="2:2" ht="15.75" customHeight="1">
      <c r="B865" s="8"/>
    </row>
    <row r="866" spans="2:2" ht="15.75" customHeight="1">
      <c r="B866" s="8"/>
    </row>
    <row r="867" spans="2:2" ht="15.75" customHeight="1">
      <c r="B867" s="8"/>
    </row>
    <row r="868" spans="2:2" ht="15.75" customHeight="1">
      <c r="B868" s="8"/>
    </row>
    <row r="869" spans="2:2" ht="15.75" customHeight="1">
      <c r="B869" s="8"/>
    </row>
    <row r="870" spans="2:2" ht="15.75" customHeight="1">
      <c r="B870" s="8"/>
    </row>
    <row r="871" spans="2:2" ht="15.75" customHeight="1">
      <c r="B871" s="8"/>
    </row>
    <row r="872" spans="2:2" ht="15.75" customHeight="1">
      <c r="B872" s="8"/>
    </row>
    <row r="873" spans="2:2" ht="15.75" customHeight="1">
      <c r="B873" s="8"/>
    </row>
    <row r="874" spans="2:2" ht="15.75" customHeight="1">
      <c r="B874" s="8"/>
    </row>
    <row r="875" spans="2:2" ht="15.75" customHeight="1">
      <c r="B875" s="8"/>
    </row>
    <row r="876" spans="2:2" ht="15.75" customHeight="1">
      <c r="B876" s="8"/>
    </row>
    <row r="877" spans="2:2" ht="15.75" customHeight="1">
      <c r="B877" s="8"/>
    </row>
    <row r="878" spans="2:2" ht="15.75" customHeight="1">
      <c r="B878" s="8"/>
    </row>
    <row r="879" spans="2:2" ht="15.75" customHeight="1">
      <c r="B879" s="8"/>
    </row>
    <row r="880" spans="2:2" ht="15.75" customHeight="1">
      <c r="B880" s="8"/>
    </row>
    <row r="881" spans="2:2" ht="15.75" customHeight="1">
      <c r="B881" s="8"/>
    </row>
    <row r="882" spans="2:2" ht="15.75" customHeight="1">
      <c r="B882" s="8"/>
    </row>
    <row r="883" spans="2:2" ht="15.75" customHeight="1">
      <c r="B883" s="8"/>
    </row>
    <row r="884" spans="2:2" ht="15.75" customHeight="1">
      <c r="B884" s="8"/>
    </row>
    <row r="885" spans="2:2" ht="15.75" customHeight="1">
      <c r="B885" s="8"/>
    </row>
    <row r="886" spans="2:2" ht="15.75" customHeight="1">
      <c r="B886" s="8"/>
    </row>
    <row r="887" spans="2:2" ht="15.75" customHeight="1">
      <c r="B887" s="8"/>
    </row>
    <row r="888" spans="2:2" ht="15.75" customHeight="1">
      <c r="B888" s="8"/>
    </row>
    <row r="889" spans="2:2" ht="15.75" customHeight="1">
      <c r="B889" s="8"/>
    </row>
    <row r="890" spans="2:2" ht="15.75" customHeight="1">
      <c r="B890" s="8"/>
    </row>
    <row r="891" spans="2:2" ht="15.75" customHeight="1">
      <c r="B891" s="8"/>
    </row>
    <row r="892" spans="2:2" ht="15.75" customHeight="1">
      <c r="B892" s="8"/>
    </row>
    <row r="893" spans="2:2" ht="15.75" customHeight="1">
      <c r="B893" s="8"/>
    </row>
    <row r="894" spans="2:2" ht="15.75" customHeight="1">
      <c r="B894" s="8"/>
    </row>
    <row r="895" spans="2:2" ht="15.75" customHeight="1">
      <c r="B895" s="8"/>
    </row>
    <row r="896" spans="2:2" ht="15.75" customHeight="1">
      <c r="B896" s="8"/>
    </row>
    <row r="897" spans="2:2" ht="15.75" customHeight="1">
      <c r="B897" s="8"/>
    </row>
    <row r="898" spans="2:2" ht="15.75" customHeight="1">
      <c r="B898" s="8"/>
    </row>
    <row r="899" spans="2:2" ht="15.75" customHeight="1">
      <c r="B899" s="8"/>
    </row>
    <row r="900" spans="2:2" ht="15.75" customHeight="1">
      <c r="B900" s="8"/>
    </row>
    <row r="901" spans="2:2" ht="15.75" customHeight="1">
      <c r="B901" s="8"/>
    </row>
    <row r="902" spans="2:2" ht="15.75" customHeight="1">
      <c r="B902" s="8"/>
    </row>
    <row r="903" spans="2:2" ht="15.75" customHeight="1">
      <c r="B903" s="8"/>
    </row>
    <row r="904" spans="2:2" ht="15.75" customHeight="1">
      <c r="B904" s="8"/>
    </row>
    <row r="905" spans="2:2" ht="15.75" customHeight="1">
      <c r="B905" s="8"/>
    </row>
    <row r="906" spans="2:2" ht="15.75" customHeight="1">
      <c r="B906" s="8"/>
    </row>
    <row r="907" spans="2:2" ht="15.75" customHeight="1">
      <c r="B907" s="8"/>
    </row>
    <row r="908" spans="2:2" ht="15.75" customHeight="1">
      <c r="B908" s="8"/>
    </row>
    <row r="909" spans="2:2" ht="15.75" customHeight="1">
      <c r="B909" s="8"/>
    </row>
    <row r="910" spans="2:2" ht="15.75" customHeight="1">
      <c r="B910" s="8"/>
    </row>
    <row r="911" spans="2:2" ht="15.75" customHeight="1">
      <c r="B911" s="8"/>
    </row>
    <row r="912" spans="2:2" ht="15.75" customHeight="1">
      <c r="B912" s="8"/>
    </row>
    <row r="913" spans="2:2" ht="15.75" customHeight="1">
      <c r="B913" s="8"/>
    </row>
    <row r="914" spans="2:2" ht="15.75" customHeight="1">
      <c r="B914" s="8"/>
    </row>
    <row r="915" spans="2:2" ht="15.75" customHeight="1">
      <c r="B915" s="8"/>
    </row>
    <row r="916" spans="2:2" ht="15.75" customHeight="1">
      <c r="B916" s="8"/>
    </row>
    <row r="917" spans="2:2" ht="15.75" customHeight="1">
      <c r="B917" s="8"/>
    </row>
    <row r="918" spans="2:2" ht="15.75" customHeight="1">
      <c r="B918" s="8"/>
    </row>
    <row r="919" spans="2:2" ht="15.75" customHeight="1">
      <c r="B919" s="8"/>
    </row>
    <row r="920" spans="2:2" ht="15.75" customHeight="1">
      <c r="B920" s="8"/>
    </row>
    <row r="921" spans="2:2" ht="15.75" customHeight="1">
      <c r="B921" s="8"/>
    </row>
    <row r="922" spans="2:2" ht="15.75" customHeight="1">
      <c r="B922" s="8"/>
    </row>
    <row r="923" spans="2:2" ht="15.75" customHeight="1">
      <c r="B923" s="8"/>
    </row>
    <row r="924" spans="2:2" ht="15.75" customHeight="1">
      <c r="B924" s="8"/>
    </row>
    <row r="925" spans="2:2" ht="15.75" customHeight="1">
      <c r="B925" s="8"/>
    </row>
    <row r="926" spans="2:2" ht="15.75" customHeight="1">
      <c r="B926" s="8"/>
    </row>
    <row r="927" spans="2:2" ht="15.75" customHeight="1">
      <c r="B927" s="8"/>
    </row>
    <row r="928" spans="2:2" ht="15.75" customHeight="1">
      <c r="B928" s="8"/>
    </row>
    <row r="929" spans="2:2" ht="15.75" customHeight="1">
      <c r="B929" s="8"/>
    </row>
    <row r="930" spans="2:2" ht="15.75" customHeight="1">
      <c r="B930" s="8"/>
    </row>
    <row r="931" spans="2:2" ht="15.75" customHeight="1">
      <c r="B931" s="8"/>
    </row>
    <row r="932" spans="2:2" ht="15.75" customHeight="1">
      <c r="B932" s="8"/>
    </row>
    <row r="933" spans="2:2" ht="15.75" customHeight="1">
      <c r="B933" s="8"/>
    </row>
    <row r="934" spans="2:2" ht="15.75" customHeight="1">
      <c r="B934" s="8"/>
    </row>
    <row r="935" spans="2:2" ht="15.75" customHeight="1">
      <c r="B935" s="8"/>
    </row>
    <row r="936" spans="2:2" ht="15.75" customHeight="1">
      <c r="B936" s="8"/>
    </row>
    <row r="937" spans="2:2" ht="15.75" customHeight="1">
      <c r="B937" s="8"/>
    </row>
    <row r="938" spans="2:2" ht="15.75" customHeight="1">
      <c r="B938" s="8"/>
    </row>
    <row r="939" spans="2:2" ht="15.75" customHeight="1">
      <c r="B939" s="8"/>
    </row>
    <row r="940" spans="2:2" ht="15.75" customHeight="1">
      <c r="B940" s="8"/>
    </row>
    <row r="941" spans="2:2" ht="15.75" customHeight="1">
      <c r="B941" s="8"/>
    </row>
    <row r="942" spans="2:2" ht="15.75" customHeight="1">
      <c r="B942" s="8"/>
    </row>
    <row r="943" spans="2:2" ht="15.75" customHeight="1">
      <c r="B943" s="8"/>
    </row>
    <row r="944" spans="2:2" ht="15.75" customHeight="1">
      <c r="B944" s="8"/>
    </row>
    <row r="945" spans="2:2" ht="15.75" customHeight="1">
      <c r="B945" s="8"/>
    </row>
    <row r="946" spans="2:2" ht="15.75" customHeight="1">
      <c r="B946" s="8"/>
    </row>
    <row r="947" spans="2:2" ht="15.75" customHeight="1">
      <c r="B947" s="8"/>
    </row>
    <row r="948" spans="2:2" ht="15.75" customHeight="1">
      <c r="B948" s="8"/>
    </row>
    <row r="949" spans="2:2" ht="15.75" customHeight="1">
      <c r="B949" s="8"/>
    </row>
    <row r="950" spans="2:2" ht="15.75" customHeight="1">
      <c r="B950" s="8"/>
    </row>
    <row r="951" spans="2:2" ht="15.75" customHeight="1">
      <c r="B951" s="8"/>
    </row>
    <row r="952" spans="2:2" ht="15.75" customHeight="1">
      <c r="B952" s="8"/>
    </row>
    <row r="953" spans="2:2" ht="15.75" customHeight="1">
      <c r="B953" s="8"/>
    </row>
    <row r="954" spans="2:2" ht="15.75" customHeight="1">
      <c r="B954" s="8"/>
    </row>
    <row r="955" spans="2:2" ht="15.75" customHeight="1">
      <c r="B955" s="8"/>
    </row>
    <row r="956" spans="2:2" ht="15.75" customHeight="1">
      <c r="B956" s="8"/>
    </row>
    <row r="957" spans="2:2" ht="15.75" customHeight="1">
      <c r="B957" s="8"/>
    </row>
    <row r="958" spans="2:2" ht="15.75" customHeight="1">
      <c r="B958" s="8"/>
    </row>
    <row r="959" spans="2:2" ht="15.75" customHeight="1">
      <c r="B959" s="8"/>
    </row>
    <row r="960" spans="2:2" ht="15.75" customHeight="1">
      <c r="B960" s="8"/>
    </row>
    <row r="961" spans="2:2" ht="15.75" customHeight="1">
      <c r="B961" s="8"/>
    </row>
    <row r="962" spans="2:2" ht="15.75" customHeight="1">
      <c r="B962" s="8"/>
    </row>
    <row r="963" spans="2:2" ht="15.75" customHeight="1">
      <c r="B963" s="8"/>
    </row>
    <row r="964" spans="2:2" ht="15.75" customHeight="1">
      <c r="B964" s="8"/>
    </row>
    <row r="965" spans="2:2" ht="15.75" customHeight="1">
      <c r="B965" s="8"/>
    </row>
    <row r="966" spans="2:2" ht="15.75" customHeight="1">
      <c r="B966" s="8"/>
    </row>
    <row r="967" spans="2:2" ht="15.75" customHeight="1">
      <c r="B967" s="8"/>
    </row>
    <row r="968" spans="2:2" ht="15.75" customHeight="1">
      <c r="B968" s="8"/>
    </row>
    <row r="969" spans="2:2" ht="15.75" customHeight="1">
      <c r="B969" s="8"/>
    </row>
    <row r="970" spans="2:2" ht="15.75" customHeight="1">
      <c r="B970" s="8"/>
    </row>
    <row r="971" spans="2:2" ht="15.75" customHeight="1">
      <c r="B971" s="8"/>
    </row>
    <row r="972" spans="2:2" ht="15.75" customHeight="1">
      <c r="B972" s="8"/>
    </row>
    <row r="973" spans="2:2" ht="15.75" customHeight="1">
      <c r="B973" s="8"/>
    </row>
    <row r="974" spans="2:2" ht="15.75" customHeight="1">
      <c r="B974" s="8"/>
    </row>
    <row r="975" spans="2:2" ht="15.75" customHeight="1">
      <c r="B975" s="8"/>
    </row>
    <row r="976" spans="2:2" ht="15.75" customHeight="1">
      <c r="B976" s="8"/>
    </row>
    <row r="977" spans="2:2" ht="15.75" customHeight="1">
      <c r="B977" s="8"/>
    </row>
    <row r="978" spans="2:2" ht="15.75" customHeight="1">
      <c r="B978" s="8"/>
    </row>
    <row r="979" spans="2:2" ht="15.75" customHeight="1">
      <c r="B979" s="8"/>
    </row>
    <row r="980" spans="2:2" ht="15.75" customHeight="1">
      <c r="B980" s="8"/>
    </row>
    <row r="981" spans="2:2" ht="15.75" customHeight="1">
      <c r="B981" s="8"/>
    </row>
    <row r="982" spans="2:2" ht="15.75" customHeight="1">
      <c r="B982" s="8"/>
    </row>
    <row r="983" spans="2:2" ht="15.75" customHeight="1">
      <c r="B983" s="8"/>
    </row>
    <row r="984" spans="2:2" ht="15.75" customHeight="1">
      <c r="B984" s="8"/>
    </row>
    <row r="985" spans="2:2" ht="15.75" customHeight="1">
      <c r="B985" s="8"/>
    </row>
    <row r="986" spans="2:2" ht="15.75" customHeight="1">
      <c r="B986" s="8"/>
    </row>
    <row r="987" spans="2:2" ht="15.75" customHeight="1">
      <c r="B987" s="8"/>
    </row>
    <row r="988" spans="2:2" ht="15.75" customHeight="1">
      <c r="B988" s="8"/>
    </row>
    <row r="989" spans="2:2" ht="15.75" customHeight="1">
      <c r="B989" s="8"/>
    </row>
    <row r="990" spans="2:2" ht="15.75" customHeight="1">
      <c r="B990" s="8"/>
    </row>
    <row r="991" spans="2:2" ht="15.75" customHeight="1">
      <c r="B991" s="8"/>
    </row>
    <row r="992" spans="2:2" ht="15.75" customHeight="1">
      <c r="B992" s="8"/>
    </row>
    <row r="993" spans="2:2" ht="15.75" customHeight="1">
      <c r="B993" s="8"/>
    </row>
    <row r="994" spans="2:2" ht="15.75" customHeight="1">
      <c r="B994" s="8"/>
    </row>
    <row r="995" spans="2:2" ht="15.75" customHeight="1">
      <c r="B995" s="8"/>
    </row>
    <row r="996" spans="2:2" ht="15.75" customHeight="1">
      <c r="B996" s="8"/>
    </row>
    <row r="997" spans="2:2" ht="15.75" customHeight="1">
      <c r="B997" s="8"/>
    </row>
    <row r="998" spans="2:2" ht="15.75" customHeight="1">
      <c r="B998" s="8"/>
    </row>
    <row r="999" spans="2:2" ht="15.75" customHeight="1">
      <c r="B999" s="8"/>
    </row>
    <row r="1000" spans="2:2" ht="15.75" customHeight="1">
      <c r="B1000" s="8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100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51" sqref="E51"/>
    </sheetView>
  </sheetViews>
  <sheetFormatPr defaultColWidth="12.54296875" defaultRowHeight="15" customHeight="1"/>
  <cols>
    <col min="1" max="1" width="19.54296875" customWidth="1"/>
    <col min="2" max="2" width="38.7265625" customWidth="1"/>
    <col min="3" max="6" width="15.26953125" customWidth="1"/>
    <col min="7" max="7" width="14.7265625" customWidth="1"/>
    <col min="8" max="8" width="22.453125" customWidth="1"/>
    <col min="9" max="9" width="18.1796875" customWidth="1"/>
    <col min="10" max="10" width="15.453125" customWidth="1"/>
    <col min="11" max="11" width="13.7265625" customWidth="1"/>
    <col min="12" max="12" width="15.54296875" customWidth="1"/>
    <col min="13" max="18" width="13.7265625" customWidth="1"/>
    <col min="19" max="19" width="21.1796875" customWidth="1"/>
    <col min="20" max="20" width="15.54296875" customWidth="1"/>
    <col min="21" max="21" width="18.1796875" customWidth="1"/>
    <col min="22" max="22" width="21.453125" customWidth="1"/>
    <col min="23" max="23" width="13.7265625" customWidth="1"/>
    <col min="24" max="24" width="23.453125" customWidth="1"/>
    <col min="25" max="27" width="19.1796875" customWidth="1"/>
    <col min="28" max="28" width="91.1796875" customWidth="1"/>
    <col min="29" max="29" width="22.81640625" customWidth="1"/>
    <col min="30" max="34" width="14.453125" customWidth="1"/>
  </cols>
  <sheetData>
    <row r="1" spans="1:34" ht="16.5" customHeight="1">
      <c r="A1" s="304" t="s">
        <v>627</v>
      </c>
      <c r="B1" s="305"/>
      <c r="C1" s="306"/>
      <c r="D1" s="306"/>
      <c r="E1" s="306"/>
      <c r="F1" s="306"/>
      <c r="G1" s="306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8"/>
      <c r="AC1" s="308"/>
    </row>
    <row r="2" spans="1:34" ht="27.75" customHeight="1">
      <c r="A2" s="309" t="s">
        <v>628</v>
      </c>
      <c r="B2" s="309" t="s">
        <v>629</v>
      </c>
      <c r="C2" s="309" t="s">
        <v>630</v>
      </c>
      <c r="D2" s="310" t="s">
        <v>631</v>
      </c>
      <c r="E2" s="310" t="s">
        <v>632</v>
      </c>
      <c r="F2" s="310" t="s">
        <v>631</v>
      </c>
      <c r="G2" s="309" t="s">
        <v>633</v>
      </c>
      <c r="H2" s="311" t="s">
        <v>634</v>
      </c>
      <c r="I2" s="311" t="s">
        <v>635</v>
      </c>
      <c r="J2" s="311" t="s">
        <v>544</v>
      </c>
      <c r="K2" s="310" t="s">
        <v>537</v>
      </c>
      <c r="L2" s="311" t="s">
        <v>636</v>
      </c>
      <c r="M2" s="310" t="s">
        <v>217</v>
      </c>
      <c r="N2" s="310" t="s">
        <v>637</v>
      </c>
      <c r="O2" s="310" t="s">
        <v>218</v>
      </c>
      <c r="P2" s="311" t="s">
        <v>638</v>
      </c>
      <c r="Q2" s="311" t="s">
        <v>542</v>
      </c>
      <c r="R2" s="311" t="s">
        <v>543</v>
      </c>
      <c r="S2" s="311" t="s">
        <v>639</v>
      </c>
      <c r="T2" s="311" t="s">
        <v>640</v>
      </c>
      <c r="U2" s="311" t="s">
        <v>641</v>
      </c>
      <c r="V2" s="311" t="s">
        <v>642</v>
      </c>
      <c r="W2" s="311" t="s">
        <v>643</v>
      </c>
      <c r="X2" s="311" t="s">
        <v>644</v>
      </c>
      <c r="Y2" s="311" t="s">
        <v>645</v>
      </c>
      <c r="Z2" s="311" t="s">
        <v>646</v>
      </c>
      <c r="AA2" s="311" t="s">
        <v>647</v>
      </c>
      <c r="AB2" s="311" t="s">
        <v>274</v>
      </c>
      <c r="AC2" s="312"/>
      <c r="AF2" s="313" t="s">
        <v>648</v>
      </c>
      <c r="AG2" s="314" t="s">
        <v>649</v>
      </c>
      <c r="AH2" s="314" t="s">
        <v>650</v>
      </c>
    </row>
    <row r="3" spans="1:34" ht="15" customHeight="1">
      <c r="A3" s="299" t="s">
        <v>651</v>
      </c>
      <c r="B3" s="299" t="s">
        <v>652</v>
      </c>
      <c r="C3" s="301">
        <v>46088</v>
      </c>
      <c r="D3" s="301">
        <f t="shared" ref="D3:D225" si="0">EOMONTH(C3,0)</f>
        <v>46112</v>
      </c>
      <c r="E3" s="301" t="s">
        <v>121</v>
      </c>
      <c r="F3" s="301" t="str">
        <f t="shared" ref="F3:F225" si="1">IFERROR(EOMONTH(E3,0),"-")</f>
        <v>-</v>
      </c>
      <c r="G3" s="299" t="s">
        <v>248</v>
      </c>
      <c r="H3" s="299" t="s">
        <v>653</v>
      </c>
      <c r="I3" s="300">
        <v>8000</v>
      </c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>
        <f t="shared" ref="V3:V165" si="2">+SUM(I3:U3)</f>
        <v>8000</v>
      </c>
      <c r="W3" s="300"/>
      <c r="X3" s="300"/>
      <c r="Y3" s="300"/>
      <c r="Z3" s="300"/>
      <c r="AA3" s="315"/>
      <c r="AB3" s="316"/>
      <c r="AC3" s="317"/>
      <c r="AF3" s="318">
        <f t="shared" ref="AF3:AF232" si="3">SUM(J3,L3,P3:U3)</f>
        <v>0</v>
      </c>
      <c r="AG3" s="318">
        <f t="shared" ref="AG3:AG232" si="4">SUM(J3:U3)</f>
        <v>0</v>
      </c>
      <c r="AH3" s="318">
        <f t="shared" ref="AH3:AH232" si="5">SUM(T3,J3:R3)</f>
        <v>0</v>
      </c>
    </row>
    <row r="4" spans="1:34" ht="15" customHeight="1">
      <c r="A4" s="299" t="s">
        <v>651</v>
      </c>
      <c r="B4" s="299" t="s">
        <v>654</v>
      </c>
      <c r="C4" s="301">
        <v>46126</v>
      </c>
      <c r="D4" s="301">
        <f t="shared" si="0"/>
        <v>46142</v>
      </c>
      <c r="E4" s="301" t="s">
        <v>121</v>
      </c>
      <c r="F4" s="301" t="str">
        <f t="shared" si="1"/>
        <v>-</v>
      </c>
      <c r="G4" s="299" t="s">
        <v>249</v>
      </c>
      <c r="H4" s="299" t="s">
        <v>653</v>
      </c>
      <c r="I4" s="300">
        <v>8000</v>
      </c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>
        <f t="shared" si="2"/>
        <v>8000</v>
      </c>
      <c r="W4" s="300"/>
      <c r="X4" s="300"/>
      <c r="Y4" s="300"/>
      <c r="Z4" s="300"/>
      <c r="AA4" s="315"/>
      <c r="AB4" s="316"/>
      <c r="AC4" s="317"/>
      <c r="AF4" s="318">
        <f t="shared" si="3"/>
        <v>0</v>
      </c>
      <c r="AG4" s="318">
        <f t="shared" si="4"/>
        <v>0</v>
      </c>
      <c r="AH4" s="318">
        <f t="shared" si="5"/>
        <v>0</v>
      </c>
    </row>
    <row r="5" spans="1:34" ht="15" customHeight="1">
      <c r="A5" s="299" t="s">
        <v>651</v>
      </c>
      <c r="B5" s="299" t="s">
        <v>655</v>
      </c>
      <c r="C5" s="301">
        <v>46101</v>
      </c>
      <c r="D5" s="301">
        <f t="shared" si="0"/>
        <v>46112</v>
      </c>
      <c r="E5" s="301" t="s">
        <v>121</v>
      </c>
      <c r="F5" s="301" t="str">
        <f t="shared" si="1"/>
        <v>-</v>
      </c>
      <c r="G5" s="299" t="s">
        <v>249</v>
      </c>
      <c r="H5" s="299" t="s">
        <v>653</v>
      </c>
      <c r="I5" s="300">
        <v>7500</v>
      </c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>
        <f t="shared" si="2"/>
        <v>7500</v>
      </c>
      <c r="W5" s="300"/>
      <c r="X5" s="300"/>
      <c r="Y5" s="300"/>
      <c r="Z5" s="300"/>
      <c r="AA5" s="315"/>
      <c r="AB5" s="316"/>
      <c r="AC5" s="317"/>
      <c r="AF5" s="318">
        <f t="shared" si="3"/>
        <v>0</v>
      </c>
      <c r="AG5" s="318">
        <f t="shared" si="4"/>
        <v>0</v>
      </c>
      <c r="AH5" s="318">
        <f t="shared" si="5"/>
        <v>0</v>
      </c>
    </row>
    <row r="6" spans="1:34" ht="15" customHeight="1">
      <c r="A6" s="299" t="s">
        <v>651</v>
      </c>
      <c r="B6" s="299" t="s">
        <v>656</v>
      </c>
      <c r="C6" s="301">
        <v>46091</v>
      </c>
      <c r="D6" s="301">
        <f t="shared" si="0"/>
        <v>46112</v>
      </c>
      <c r="E6" s="301" t="s">
        <v>121</v>
      </c>
      <c r="F6" s="301" t="str">
        <f t="shared" si="1"/>
        <v>-</v>
      </c>
      <c r="G6" s="299" t="s">
        <v>250</v>
      </c>
      <c r="H6" s="299" t="s">
        <v>653</v>
      </c>
      <c r="I6" s="300">
        <v>1750</v>
      </c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>
        <f t="shared" si="2"/>
        <v>1750</v>
      </c>
      <c r="W6" s="300"/>
      <c r="X6" s="300"/>
      <c r="Y6" s="300"/>
      <c r="Z6" s="300"/>
      <c r="AA6" s="315"/>
      <c r="AB6" s="316"/>
      <c r="AC6" s="317"/>
      <c r="AF6" s="318">
        <f t="shared" si="3"/>
        <v>0</v>
      </c>
      <c r="AG6" s="318">
        <f t="shared" si="4"/>
        <v>0</v>
      </c>
      <c r="AH6" s="318">
        <f t="shared" si="5"/>
        <v>0</v>
      </c>
    </row>
    <row r="7" spans="1:34" ht="15" customHeight="1">
      <c r="A7" s="299" t="s">
        <v>651</v>
      </c>
      <c r="B7" s="299" t="s">
        <v>657</v>
      </c>
      <c r="C7" s="301">
        <v>46102</v>
      </c>
      <c r="D7" s="301">
        <f t="shared" si="0"/>
        <v>46112</v>
      </c>
      <c r="E7" s="301" t="s">
        <v>121</v>
      </c>
      <c r="F7" s="301" t="str">
        <f t="shared" si="1"/>
        <v>-</v>
      </c>
      <c r="G7" s="299" t="s">
        <v>249</v>
      </c>
      <c r="H7" s="299" t="s">
        <v>658</v>
      </c>
      <c r="I7" s="300">
        <v>8000</v>
      </c>
      <c r="J7" s="300">
        <v>1400</v>
      </c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>
        <f t="shared" si="2"/>
        <v>9400</v>
      </c>
      <c r="W7" s="300"/>
      <c r="X7" s="300"/>
      <c r="Y7" s="300"/>
      <c r="Z7" s="300"/>
      <c r="AA7" s="315"/>
      <c r="AB7" s="316"/>
      <c r="AC7" s="317"/>
      <c r="AF7" s="318">
        <f t="shared" si="3"/>
        <v>1400</v>
      </c>
      <c r="AG7" s="318">
        <f t="shared" si="4"/>
        <v>1400</v>
      </c>
      <c r="AH7" s="318">
        <f t="shared" si="5"/>
        <v>1400</v>
      </c>
    </row>
    <row r="8" spans="1:34" ht="15" customHeight="1">
      <c r="A8" s="299" t="s">
        <v>651</v>
      </c>
      <c r="B8" s="299" t="s">
        <v>659</v>
      </c>
      <c r="C8" s="301">
        <v>46109</v>
      </c>
      <c r="D8" s="301">
        <f t="shared" si="0"/>
        <v>46112</v>
      </c>
      <c r="E8" s="301" t="s">
        <v>121</v>
      </c>
      <c r="F8" s="301" t="str">
        <f t="shared" si="1"/>
        <v>-</v>
      </c>
      <c r="G8" s="299" t="s">
        <v>249</v>
      </c>
      <c r="H8" s="299" t="s">
        <v>658</v>
      </c>
      <c r="I8" s="300">
        <v>8000</v>
      </c>
      <c r="J8" s="300">
        <v>1200</v>
      </c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>
        <f t="shared" si="2"/>
        <v>9200</v>
      </c>
      <c r="W8" s="300"/>
      <c r="X8" s="300"/>
      <c r="Y8" s="300"/>
      <c r="Z8" s="300"/>
      <c r="AA8" s="315"/>
      <c r="AB8" s="316"/>
      <c r="AC8" s="317"/>
      <c r="AF8" s="318">
        <f t="shared" si="3"/>
        <v>1200</v>
      </c>
      <c r="AG8" s="318">
        <f t="shared" si="4"/>
        <v>1200</v>
      </c>
      <c r="AH8" s="318">
        <f t="shared" si="5"/>
        <v>1200</v>
      </c>
    </row>
    <row r="9" spans="1:34" ht="15" customHeight="1">
      <c r="A9" s="299" t="s">
        <v>651</v>
      </c>
      <c r="B9" s="299" t="s">
        <v>660</v>
      </c>
      <c r="C9" s="301">
        <v>46110</v>
      </c>
      <c r="D9" s="301">
        <f t="shared" si="0"/>
        <v>46112</v>
      </c>
      <c r="E9" s="301" t="s">
        <v>121</v>
      </c>
      <c r="F9" s="301" t="str">
        <f t="shared" si="1"/>
        <v>-</v>
      </c>
      <c r="G9" s="299" t="s">
        <v>249</v>
      </c>
      <c r="H9" s="299" t="s">
        <v>653</v>
      </c>
      <c r="I9" s="300">
        <v>8250</v>
      </c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>
        <f t="shared" si="2"/>
        <v>8250</v>
      </c>
      <c r="W9" s="300"/>
      <c r="X9" s="300"/>
      <c r="Y9" s="300"/>
      <c r="Z9" s="300"/>
      <c r="AA9" s="315"/>
      <c r="AB9" s="316"/>
      <c r="AC9" s="317"/>
      <c r="AF9" s="318">
        <f t="shared" si="3"/>
        <v>0</v>
      </c>
      <c r="AG9" s="318">
        <f t="shared" si="4"/>
        <v>0</v>
      </c>
      <c r="AH9" s="318">
        <f t="shared" si="5"/>
        <v>0</v>
      </c>
    </row>
    <row r="10" spans="1:34" ht="15" customHeight="1">
      <c r="A10" s="299" t="s">
        <v>651</v>
      </c>
      <c r="B10" s="299" t="s">
        <v>661</v>
      </c>
      <c r="C10" s="301">
        <v>46115</v>
      </c>
      <c r="D10" s="301">
        <f t="shared" si="0"/>
        <v>46142</v>
      </c>
      <c r="E10" s="301" t="s">
        <v>121</v>
      </c>
      <c r="F10" s="301" t="str">
        <f t="shared" si="1"/>
        <v>-</v>
      </c>
      <c r="G10" s="299" t="s">
        <v>249</v>
      </c>
      <c r="H10" s="299" t="s">
        <v>658</v>
      </c>
      <c r="I10" s="300">
        <v>7500</v>
      </c>
      <c r="J10" s="300">
        <v>1200</v>
      </c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>
        <f t="shared" si="2"/>
        <v>8700</v>
      </c>
      <c r="W10" s="300"/>
      <c r="X10" s="300"/>
      <c r="Y10" s="300"/>
      <c r="Z10" s="300"/>
      <c r="AA10" s="315"/>
      <c r="AB10" s="316"/>
      <c r="AC10" s="317"/>
      <c r="AF10" s="318">
        <f t="shared" si="3"/>
        <v>1200</v>
      </c>
      <c r="AG10" s="318">
        <f t="shared" si="4"/>
        <v>1200</v>
      </c>
      <c r="AH10" s="318">
        <f t="shared" si="5"/>
        <v>1200</v>
      </c>
    </row>
    <row r="11" spans="1:34" ht="15" customHeight="1">
      <c r="A11" s="299" t="s">
        <v>651</v>
      </c>
      <c r="B11" s="299" t="s">
        <v>662</v>
      </c>
      <c r="C11" s="301">
        <v>46116</v>
      </c>
      <c r="D11" s="301">
        <f t="shared" si="0"/>
        <v>46142</v>
      </c>
      <c r="E11" s="301" t="s">
        <v>121</v>
      </c>
      <c r="F11" s="301" t="str">
        <f t="shared" si="1"/>
        <v>-</v>
      </c>
      <c r="G11" s="299" t="s">
        <v>249</v>
      </c>
      <c r="H11" s="299" t="s">
        <v>653</v>
      </c>
      <c r="I11" s="300">
        <v>8000</v>
      </c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>
        <f t="shared" si="2"/>
        <v>8000</v>
      </c>
      <c r="W11" s="300"/>
      <c r="X11" s="300"/>
      <c r="Y11" s="300"/>
      <c r="Z11" s="300"/>
      <c r="AA11" s="315"/>
      <c r="AB11" s="316"/>
      <c r="AC11" s="317"/>
      <c r="AF11" s="318">
        <f t="shared" si="3"/>
        <v>0</v>
      </c>
      <c r="AG11" s="318">
        <f t="shared" si="4"/>
        <v>0</v>
      </c>
      <c r="AH11" s="318">
        <f t="shared" si="5"/>
        <v>0</v>
      </c>
    </row>
    <row r="12" spans="1:34" ht="15" customHeight="1">
      <c r="A12" s="299" t="s">
        <v>651</v>
      </c>
      <c r="B12" s="299" t="s">
        <v>663</v>
      </c>
      <c r="C12" s="301">
        <v>46119</v>
      </c>
      <c r="D12" s="301">
        <f t="shared" si="0"/>
        <v>46142</v>
      </c>
      <c r="E12" s="301" t="s">
        <v>121</v>
      </c>
      <c r="F12" s="301" t="str">
        <f t="shared" si="1"/>
        <v>-</v>
      </c>
      <c r="G12" s="299" t="s">
        <v>250</v>
      </c>
      <c r="H12" s="299" t="s">
        <v>653</v>
      </c>
      <c r="I12" s="300">
        <v>1750</v>
      </c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>
        <f t="shared" si="2"/>
        <v>1750</v>
      </c>
      <c r="W12" s="300"/>
      <c r="X12" s="300"/>
      <c r="Y12" s="300"/>
      <c r="Z12" s="300"/>
      <c r="AA12" s="315"/>
      <c r="AB12" s="316"/>
      <c r="AC12" s="317"/>
      <c r="AF12" s="318">
        <f t="shared" si="3"/>
        <v>0</v>
      </c>
      <c r="AG12" s="318">
        <f t="shared" si="4"/>
        <v>0</v>
      </c>
      <c r="AH12" s="318">
        <f t="shared" si="5"/>
        <v>0</v>
      </c>
    </row>
    <row r="13" spans="1:34" ht="15" customHeight="1">
      <c r="A13" s="299" t="s">
        <v>651</v>
      </c>
      <c r="B13" s="299" t="s">
        <v>664</v>
      </c>
      <c r="C13" s="301">
        <v>46122</v>
      </c>
      <c r="D13" s="301">
        <f t="shared" si="0"/>
        <v>46142</v>
      </c>
      <c r="E13" s="301" t="s">
        <v>121</v>
      </c>
      <c r="F13" s="301" t="str">
        <f t="shared" si="1"/>
        <v>-</v>
      </c>
      <c r="G13" s="299" t="s">
        <v>249</v>
      </c>
      <c r="H13" s="299" t="s">
        <v>658</v>
      </c>
      <c r="I13" s="300">
        <v>6750</v>
      </c>
      <c r="J13" s="300">
        <v>1400</v>
      </c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>
        <f t="shared" si="2"/>
        <v>8150</v>
      </c>
      <c r="W13" s="300"/>
      <c r="X13" s="300"/>
      <c r="Y13" s="300"/>
      <c r="Z13" s="300"/>
      <c r="AA13" s="315"/>
      <c r="AB13" s="316"/>
      <c r="AC13" s="317"/>
      <c r="AF13" s="318">
        <f t="shared" si="3"/>
        <v>1400</v>
      </c>
      <c r="AG13" s="318">
        <f t="shared" si="4"/>
        <v>1400</v>
      </c>
      <c r="AH13" s="318">
        <f t="shared" si="5"/>
        <v>1400</v>
      </c>
    </row>
    <row r="14" spans="1:34" ht="15" customHeight="1">
      <c r="A14" s="299" t="s">
        <v>651</v>
      </c>
      <c r="B14" s="299" t="s">
        <v>665</v>
      </c>
      <c r="C14" s="301">
        <v>46123</v>
      </c>
      <c r="D14" s="301">
        <f t="shared" si="0"/>
        <v>46142</v>
      </c>
      <c r="E14" s="301" t="s">
        <v>121</v>
      </c>
      <c r="F14" s="301" t="str">
        <f t="shared" si="1"/>
        <v>-</v>
      </c>
      <c r="G14" s="299" t="s">
        <v>248</v>
      </c>
      <c r="H14" s="299" t="s">
        <v>653</v>
      </c>
      <c r="I14" s="300">
        <v>7250</v>
      </c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>
        <f t="shared" si="2"/>
        <v>7250</v>
      </c>
      <c r="W14" s="300"/>
      <c r="X14" s="300"/>
      <c r="Y14" s="300"/>
      <c r="Z14" s="300"/>
      <c r="AA14" s="315"/>
      <c r="AB14" s="316"/>
      <c r="AC14" s="317"/>
      <c r="AF14" s="318">
        <f t="shared" si="3"/>
        <v>0</v>
      </c>
      <c r="AG14" s="318">
        <f t="shared" si="4"/>
        <v>0</v>
      </c>
      <c r="AH14" s="318">
        <f t="shared" si="5"/>
        <v>0</v>
      </c>
    </row>
    <row r="15" spans="1:34" ht="15" customHeight="1">
      <c r="A15" s="299" t="s">
        <v>651</v>
      </c>
      <c r="B15" s="299" t="s">
        <v>666</v>
      </c>
      <c r="C15" s="301">
        <v>46123</v>
      </c>
      <c r="D15" s="301">
        <f t="shared" si="0"/>
        <v>46142</v>
      </c>
      <c r="E15" s="301" t="s">
        <v>121</v>
      </c>
      <c r="F15" s="301" t="str">
        <f t="shared" si="1"/>
        <v>-</v>
      </c>
      <c r="G15" s="299" t="s">
        <v>249</v>
      </c>
      <c r="H15" s="299" t="s">
        <v>658</v>
      </c>
      <c r="I15" s="300">
        <v>8000</v>
      </c>
      <c r="J15" s="300">
        <v>1400</v>
      </c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>
        <f t="shared" si="2"/>
        <v>9400</v>
      </c>
      <c r="W15" s="300"/>
      <c r="X15" s="300"/>
      <c r="Y15" s="300"/>
      <c r="Z15" s="300"/>
      <c r="AA15" s="315"/>
      <c r="AB15" s="316"/>
      <c r="AC15" s="317"/>
      <c r="AF15" s="318">
        <f t="shared" si="3"/>
        <v>1400</v>
      </c>
      <c r="AG15" s="318">
        <f t="shared" si="4"/>
        <v>1400</v>
      </c>
      <c r="AH15" s="318">
        <f t="shared" si="5"/>
        <v>1400</v>
      </c>
    </row>
    <row r="16" spans="1:34" ht="15" customHeight="1">
      <c r="A16" s="299" t="s">
        <v>651</v>
      </c>
      <c r="B16" s="299" t="s">
        <v>667</v>
      </c>
      <c r="C16" s="301">
        <v>46124</v>
      </c>
      <c r="D16" s="301">
        <f t="shared" si="0"/>
        <v>46142</v>
      </c>
      <c r="E16" s="301" t="s">
        <v>121</v>
      </c>
      <c r="F16" s="301" t="str">
        <f t="shared" si="1"/>
        <v>-</v>
      </c>
      <c r="G16" s="299" t="s">
        <v>249</v>
      </c>
      <c r="H16" s="299" t="s">
        <v>658</v>
      </c>
      <c r="I16" s="300">
        <v>8000</v>
      </c>
      <c r="J16" s="300">
        <v>1400</v>
      </c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>
        <f t="shared" si="2"/>
        <v>9400</v>
      </c>
      <c r="W16" s="300"/>
      <c r="X16" s="300"/>
      <c r="Y16" s="300"/>
      <c r="Z16" s="300"/>
      <c r="AA16" s="315"/>
      <c r="AB16" s="316"/>
      <c r="AC16" s="317"/>
      <c r="AF16" s="318">
        <f t="shared" si="3"/>
        <v>1400</v>
      </c>
      <c r="AG16" s="318">
        <f t="shared" si="4"/>
        <v>1400</v>
      </c>
      <c r="AH16" s="318">
        <f t="shared" si="5"/>
        <v>1400</v>
      </c>
    </row>
    <row r="17" spans="1:34" ht="15" customHeight="1">
      <c r="A17" s="299" t="s">
        <v>651</v>
      </c>
      <c r="B17" s="299" t="s">
        <v>668</v>
      </c>
      <c r="C17" s="301">
        <v>46126</v>
      </c>
      <c r="D17" s="301">
        <f t="shared" si="0"/>
        <v>46142</v>
      </c>
      <c r="E17" s="301" t="s">
        <v>121</v>
      </c>
      <c r="F17" s="301" t="str">
        <f t="shared" si="1"/>
        <v>-</v>
      </c>
      <c r="G17" s="299" t="s">
        <v>250</v>
      </c>
      <c r="H17" s="299" t="s">
        <v>653</v>
      </c>
      <c r="I17" s="300">
        <v>1750</v>
      </c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>
        <f t="shared" si="2"/>
        <v>1750</v>
      </c>
      <c r="W17" s="300"/>
      <c r="X17" s="300"/>
      <c r="Y17" s="300"/>
      <c r="Z17" s="300"/>
      <c r="AA17" s="315"/>
      <c r="AB17" s="316"/>
      <c r="AC17" s="317"/>
      <c r="AF17" s="318">
        <f t="shared" si="3"/>
        <v>0</v>
      </c>
      <c r="AG17" s="318">
        <f t="shared" si="4"/>
        <v>0</v>
      </c>
      <c r="AH17" s="318">
        <f t="shared" si="5"/>
        <v>0</v>
      </c>
    </row>
    <row r="18" spans="1:34" ht="15" customHeight="1">
      <c r="A18" s="299" t="s">
        <v>651</v>
      </c>
      <c r="B18" s="299" t="s">
        <v>669</v>
      </c>
      <c r="C18" s="301">
        <v>46129</v>
      </c>
      <c r="D18" s="301">
        <f t="shared" si="0"/>
        <v>46142</v>
      </c>
      <c r="E18" s="301" t="s">
        <v>121</v>
      </c>
      <c r="F18" s="301" t="str">
        <f t="shared" si="1"/>
        <v>-</v>
      </c>
      <c r="G18" s="299" t="s">
        <v>249</v>
      </c>
      <c r="H18" s="299" t="s">
        <v>653</v>
      </c>
      <c r="I18" s="300">
        <v>6750</v>
      </c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>
        <f t="shared" si="2"/>
        <v>6750</v>
      </c>
      <c r="W18" s="300"/>
      <c r="X18" s="300"/>
      <c r="Y18" s="300"/>
      <c r="Z18" s="300"/>
      <c r="AA18" s="315"/>
      <c r="AB18" s="316"/>
      <c r="AC18" s="317"/>
      <c r="AF18" s="318">
        <f t="shared" si="3"/>
        <v>0</v>
      </c>
      <c r="AG18" s="318">
        <f t="shared" si="4"/>
        <v>0</v>
      </c>
      <c r="AH18" s="318">
        <f t="shared" si="5"/>
        <v>0</v>
      </c>
    </row>
    <row r="19" spans="1:34" ht="15" customHeight="1">
      <c r="A19" s="299" t="s">
        <v>651</v>
      </c>
      <c r="B19" s="299" t="s">
        <v>670</v>
      </c>
      <c r="C19" s="301">
        <v>46130</v>
      </c>
      <c r="D19" s="301">
        <f t="shared" si="0"/>
        <v>46142</v>
      </c>
      <c r="E19" s="301" t="s">
        <v>121</v>
      </c>
      <c r="F19" s="301" t="str">
        <f t="shared" si="1"/>
        <v>-</v>
      </c>
      <c r="G19" s="299" t="s">
        <v>248</v>
      </c>
      <c r="H19" s="299" t="s">
        <v>653</v>
      </c>
      <c r="I19" s="300">
        <v>7000</v>
      </c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>
        <f t="shared" si="2"/>
        <v>7000</v>
      </c>
      <c r="W19" s="300"/>
      <c r="X19" s="300"/>
      <c r="Y19" s="300"/>
      <c r="Z19" s="300"/>
      <c r="AA19" s="315"/>
      <c r="AB19" s="316"/>
      <c r="AC19" s="317"/>
      <c r="AF19" s="318">
        <f t="shared" si="3"/>
        <v>0</v>
      </c>
      <c r="AG19" s="318">
        <f t="shared" si="4"/>
        <v>0</v>
      </c>
      <c r="AH19" s="318">
        <f t="shared" si="5"/>
        <v>0</v>
      </c>
    </row>
    <row r="20" spans="1:34" ht="15" customHeight="1">
      <c r="A20" s="299" t="s">
        <v>651</v>
      </c>
      <c r="B20" s="299" t="s">
        <v>671</v>
      </c>
      <c r="C20" s="301">
        <v>46130</v>
      </c>
      <c r="D20" s="301">
        <f t="shared" si="0"/>
        <v>46142</v>
      </c>
      <c r="E20" s="301" t="s">
        <v>121</v>
      </c>
      <c r="F20" s="301" t="str">
        <f t="shared" si="1"/>
        <v>-</v>
      </c>
      <c r="G20" s="299" t="s">
        <v>249</v>
      </c>
      <c r="H20" s="299" t="s">
        <v>658</v>
      </c>
      <c r="I20" s="300">
        <v>8000</v>
      </c>
      <c r="J20" s="300">
        <v>1400</v>
      </c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>
        <f t="shared" si="2"/>
        <v>9400</v>
      </c>
      <c r="W20" s="300"/>
      <c r="X20" s="300"/>
      <c r="Y20" s="300"/>
      <c r="Z20" s="300"/>
      <c r="AA20" s="315"/>
      <c r="AB20" s="316"/>
      <c r="AC20" s="317"/>
      <c r="AF20" s="318">
        <f t="shared" si="3"/>
        <v>1400</v>
      </c>
      <c r="AG20" s="318">
        <f t="shared" si="4"/>
        <v>1400</v>
      </c>
      <c r="AH20" s="318">
        <f t="shared" si="5"/>
        <v>1400</v>
      </c>
    </row>
    <row r="21" spans="1:34" ht="15" customHeight="1">
      <c r="A21" s="299" t="s">
        <v>651</v>
      </c>
      <c r="B21" s="299" t="s">
        <v>672</v>
      </c>
      <c r="C21" s="301">
        <v>46131</v>
      </c>
      <c r="D21" s="301">
        <f t="shared" si="0"/>
        <v>46142</v>
      </c>
      <c r="E21" s="301" t="s">
        <v>121</v>
      </c>
      <c r="F21" s="301" t="str">
        <f t="shared" si="1"/>
        <v>-</v>
      </c>
      <c r="G21" s="299" t="s">
        <v>249</v>
      </c>
      <c r="H21" s="299" t="s">
        <v>653</v>
      </c>
      <c r="I21" s="300">
        <v>8000</v>
      </c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>
        <f t="shared" si="2"/>
        <v>8000</v>
      </c>
      <c r="W21" s="300"/>
      <c r="X21" s="300"/>
      <c r="Y21" s="300"/>
      <c r="Z21" s="300"/>
      <c r="AA21" s="315"/>
      <c r="AB21" s="316"/>
      <c r="AC21" s="317"/>
      <c r="AF21" s="318">
        <f t="shared" si="3"/>
        <v>0</v>
      </c>
      <c r="AG21" s="318">
        <f t="shared" si="4"/>
        <v>0</v>
      </c>
      <c r="AH21" s="318">
        <f t="shared" si="5"/>
        <v>0</v>
      </c>
    </row>
    <row r="22" spans="1:34" ht="15" customHeight="1">
      <c r="A22" s="299" t="s">
        <v>651</v>
      </c>
      <c r="B22" s="299" t="s">
        <v>673</v>
      </c>
      <c r="C22" s="301">
        <v>46133</v>
      </c>
      <c r="D22" s="301">
        <f t="shared" si="0"/>
        <v>46142</v>
      </c>
      <c r="E22" s="301" t="s">
        <v>121</v>
      </c>
      <c r="F22" s="301" t="str">
        <f t="shared" si="1"/>
        <v>-</v>
      </c>
      <c r="G22" s="299" t="s">
        <v>250</v>
      </c>
      <c r="H22" s="319" t="s">
        <v>674</v>
      </c>
      <c r="I22" s="300">
        <v>7750</v>
      </c>
      <c r="J22" s="300"/>
      <c r="K22" s="300"/>
      <c r="L22" s="320">
        <v>550</v>
      </c>
      <c r="M22" s="300"/>
      <c r="N22" s="300"/>
      <c r="O22" s="300"/>
      <c r="P22" s="300"/>
      <c r="Q22" s="300"/>
      <c r="R22" s="300"/>
      <c r="S22" s="300"/>
      <c r="T22" s="300"/>
      <c r="U22" s="300"/>
      <c r="V22" s="300">
        <f t="shared" si="2"/>
        <v>8300</v>
      </c>
      <c r="W22" s="300"/>
      <c r="X22" s="300"/>
      <c r="Y22" s="300"/>
      <c r="Z22" s="300"/>
      <c r="AA22" s="315"/>
      <c r="AB22" s="316"/>
      <c r="AC22" s="317"/>
      <c r="AF22" s="318">
        <f t="shared" si="3"/>
        <v>550</v>
      </c>
      <c r="AG22" s="318">
        <f t="shared" si="4"/>
        <v>550</v>
      </c>
      <c r="AH22" s="318">
        <f t="shared" si="5"/>
        <v>550</v>
      </c>
    </row>
    <row r="23" spans="1:34" ht="15" customHeight="1">
      <c r="A23" s="299" t="s">
        <v>651</v>
      </c>
      <c r="B23" s="299" t="s">
        <v>675</v>
      </c>
      <c r="C23" s="301">
        <v>46136</v>
      </c>
      <c r="D23" s="301">
        <f t="shared" si="0"/>
        <v>46142</v>
      </c>
      <c r="E23" s="301" t="s">
        <v>121</v>
      </c>
      <c r="F23" s="301" t="str">
        <f t="shared" si="1"/>
        <v>-</v>
      </c>
      <c r="G23" s="299" t="s">
        <v>248</v>
      </c>
      <c r="H23" s="299" t="s">
        <v>653</v>
      </c>
      <c r="I23" s="300">
        <v>0</v>
      </c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>
        <f t="shared" si="2"/>
        <v>0</v>
      </c>
      <c r="W23" s="300"/>
      <c r="X23" s="300"/>
      <c r="Y23" s="300"/>
      <c r="Z23" s="300"/>
      <c r="AA23" s="315"/>
      <c r="AB23" s="316"/>
      <c r="AC23" s="317"/>
      <c r="AF23" s="318">
        <f t="shared" si="3"/>
        <v>0</v>
      </c>
      <c r="AG23" s="318">
        <f t="shared" si="4"/>
        <v>0</v>
      </c>
      <c r="AH23" s="318">
        <f t="shared" si="5"/>
        <v>0</v>
      </c>
    </row>
    <row r="24" spans="1:34" ht="15" customHeight="1">
      <c r="A24" s="299" t="s">
        <v>651</v>
      </c>
      <c r="B24" s="299" t="s">
        <v>676</v>
      </c>
      <c r="C24" s="301">
        <v>46136</v>
      </c>
      <c r="D24" s="301">
        <f t="shared" si="0"/>
        <v>46142</v>
      </c>
      <c r="E24" s="301" t="s">
        <v>121</v>
      </c>
      <c r="F24" s="301" t="str">
        <f t="shared" si="1"/>
        <v>-</v>
      </c>
      <c r="G24" s="299" t="s">
        <v>249</v>
      </c>
      <c r="H24" s="299" t="s">
        <v>653</v>
      </c>
      <c r="I24" s="300">
        <v>6750</v>
      </c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>
        <f t="shared" si="2"/>
        <v>6750</v>
      </c>
      <c r="W24" s="300"/>
      <c r="X24" s="300"/>
      <c r="Y24" s="300"/>
      <c r="Z24" s="300"/>
      <c r="AA24" s="315"/>
      <c r="AB24" s="316"/>
      <c r="AC24" s="317"/>
      <c r="AF24" s="318">
        <f t="shared" si="3"/>
        <v>0</v>
      </c>
      <c r="AG24" s="318">
        <f t="shared" si="4"/>
        <v>0</v>
      </c>
      <c r="AH24" s="318">
        <f t="shared" si="5"/>
        <v>0</v>
      </c>
    </row>
    <row r="25" spans="1:34" ht="15" customHeight="1">
      <c r="A25" s="299" t="s">
        <v>651</v>
      </c>
      <c r="B25" s="299" t="s">
        <v>677</v>
      </c>
      <c r="C25" s="301">
        <v>46137</v>
      </c>
      <c r="D25" s="301">
        <f t="shared" si="0"/>
        <v>46142</v>
      </c>
      <c r="E25" s="301" t="s">
        <v>121</v>
      </c>
      <c r="F25" s="301" t="str">
        <f t="shared" si="1"/>
        <v>-</v>
      </c>
      <c r="G25" s="299" t="s">
        <v>248</v>
      </c>
      <c r="H25" s="299" t="s">
        <v>653</v>
      </c>
      <c r="I25" s="300">
        <v>7000</v>
      </c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>
        <f t="shared" si="2"/>
        <v>7000</v>
      </c>
      <c r="W25" s="300"/>
      <c r="X25" s="300"/>
      <c r="Y25" s="300"/>
      <c r="Z25" s="300"/>
      <c r="AA25" s="315"/>
      <c r="AB25" s="316"/>
      <c r="AC25" s="317"/>
      <c r="AF25" s="318">
        <f t="shared" si="3"/>
        <v>0</v>
      </c>
      <c r="AG25" s="318">
        <f t="shared" si="4"/>
        <v>0</v>
      </c>
      <c r="AH25" s="318">
        <f t="shared" si="5"/>
        <v>0</v>
      </c>
    </row>
    <row r="26" spans="1:34" ht="15" customHeight="1">
      <c r="A26" s="299" t="s">
        <v>651</v>
      </c>
      <c r="B26" s="299" t="s">
        <v>678</v>
      </c>
      <c r="C26" s="301">
        <v>46137</v>
      </c>
      <c r="D26" s="301">
        <f t="shared" si="0"/>
        <v>46142</v>
      </c>
      <c r="E26" s="301" t="s">
        <v>121</v>
      </c>
      <c r="F26" s="301" t="str">
        <f t="shared" si="1"/>
        <v>-</v>
      </c>
      <c r="G26" s="299" t="s">
        <v>249</v>
      </c>
      <c r="H26" s="299" t="s">
        <v>653</v>
      </c>
      <c r="I26" s="300">
        <v>7750</v>
      </c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>
        <f t="shared" si="2"/>
        <v>7750</v>
      </c>
      <c r="W26" s="300"/>
      <c r="X26" s="300"/>
      <c r="Y26" s="300"/>
      <c r="Z26" s="300"/>
      <c r="AA26" s="315"/>
      <c r="AB26" s="316"/>
      <c r="AC26" s="317"/>
      <c r="AF26" s="318">
        <f t="shared" si="3"/>
        <v>0</v>
      </c>
      <c r="AG26" s="318">
        <f t="shared" si="4"/>
        <v>0</v>
      </c>
      <c r="AH26" s="318">
        <f t="shared" si="5"/>
        <v>0</v>
      </c>
    </row>
    <row r="27" spans="1:34" ht="15" customHeight="1">
      <c r="A27" s="299" t="s">
        <v>651</v>
      </c>
      <c r="B27" s="299" t="s">
        <v>679</v>
      </c>
      <c r="C27" s="301">
        <v>46138</v>
      </c>
      <c r="D27" s="301">
        <f t="shared" si="0"/>
        <v>46142</v>
      </c>
      <c r="E27" s="301" t="s">
        <v>121</v>
      </c>
      <c r="F27" s="301" t="str">
        <f t="shared" si="1"/>
        <v>-</v>
      </c>
      <c r="G27" s="299" t="s">
        <v>249</v>
      </c>
      <c r="H27" s="299" t="s">
        <v>653</v>
      </c>
      <c r="I27" s="300">
        <v>8000</v>
      </c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>
        <f t="shared" si="2"/>
        <v>8000</v>
      </c>
      <c r="W27" s="300"/>
      <c r="X27" s="300"/>
      <c r="Y27" s="300"/>
      <c r="Z27" s="300"/>
      <c r="AA27" s="315"/>
      <c r="AB27" s="316"/>
      <c r="AC27" s="317"/>
      <c r="AF27" s="318">
        <f t="shared" si="3"/>
        <v>0</v>
      </c>
      <c r="AG27" s="318">
        <f t="shared" si="4"/>
        <v>0</v>
      </c>
      <c r="AH27" s="318">
        <f t="shared" si="5"/>
        <v>0</v>
      </c>
    </row>
    <row r="28" spans="1:34" ht="15" customHeight="1">
      <c r="A28" s="299" t="s">
        <v>651</v>
      </c>
      <c r="B28" s="299" t="s">
        <v>680</v>
      </c>
      <c r="C28" s="301">
        <v>46143</v>
      </c>
      <c r="D28" s="301">
        <f t="shared" si="0"/>
        <v>46173</v>
      </c>
      <c r="E28" s="301" t="s">
        <v>121</v>
      </c>
      <c r="F28" s="301" t="str">
        <f t="shared" si="1"/>
        <v>-</v>
      </c>
      <c r="G28" s="299" t="s">
        <v>249</v>
      </c>
      <c r="H28" s="299" t="s">
        <v>674</v>
      </c>
      <c r="I28" s="300">
        <v>22310</v>
      </c>
      <c r="J28" s="320">
        <v>12362</v>
      </c>
      <c r="K28" s="320">
        <v>6500</v>
      </c>
      <c r="L28" s="320">
        <v>3448</v>
      </c>
      <c r="M28" s="300"/>
      <c r="N28" s="300"/>
      <c r="O28" s="300"/>
      <c r="P28" s="300"/>
      <c r="Q28" s="300"/>
      <c r="R28" s="300"/>
      <c r="S28" s="300"/>
      <c r="T28" s="300"/>
      <c r="U28" s="300"/>
      <c r="V28" s="300">
        <f t="shared" si="2"/>
        <v>44620</v>
      </c>
      <c r="W28" s="300"/>
      <c r="X28" s="300"/>
      <c r="Y28" s="300"/>
      <c r="Z28" s="300"/>
      <c r="AA28" s="315"/>
      <c r="AB28" s="316"/>
      <c r="AC28" s="317"/>
      <c r="AF28" s="318">
        <f t="shared" si="3"/>
        <v>15810</v>
      </c>
      <c r="AG28" s="318">
        <f t="shared" si="4"/>
        <v>22310</v>
      </c>
      <c r="AH28" s="318">
        <f t="shared" si="5"/>
        <v>22310</v>
      </c>
    </row>
    <row r="29" spans="1:34" ht="15" customHeight="1">
      <c r="A29" s="299" t="s">
        <v>651</v>
      </c>
      <c r="B29" s="299" t="s">
        <v>681</v>
      </c>
      <c r="C29" s="301">
        <v>46143</v>
      </c>
      <c r="D29" s="301">
        <f t="shared" si="0"/>
        <v>46173</v>
      </c>
      <c r="E29" s="301" t="s">
        <v>121</v>
      </c>
      <c r="F29" s="301" t="str">
        <f t="shared" si="1"/>
        <v>-</v>
      </c>
      <c r="G29" s="299" t="s">
        <v>248</v>
      </c>
      <c r="H29" s="299" t="s">
        <v>653</v>
      </c>
      <c r="I29" s="300">
        <v>5000</v>
      </c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>
        <f t="shared" si="2"/>
        <v>5000</v>
      </c>
      <c r="W29" s="300"/>
      <c r="X29" s="300"/>
      <c r="Y29" s="300"/>
      <c r="Z29" s="300"/>
      <c r="AA29" s="315"/>
      <c r="AB29" s="316"/>
      <c r="AC29" s="317"/>
      <c r="AF29" s="318">
        <f t="shared" si="3"/>
        <v>0</v>
      </c>
      <c r="AG29" s="318">
        <f t="shared" si="4"/>
        <v>0</v>
      </c>
      <c r="AH29" s="318">
        <f t="shared" si="5"/>
        <v>0</v>
      </c>
    </row>
    <row r="30" spans="1:34" ht="15" customHeight="1">
      <c r="A30" s="299" t="s">
        <v>651</v>
      </c>
      <c r="B30" s="299" t="s">
        <v>682</v>
      </c>
      <c r="C30" s="301">
        <v>46144</v>
      </c>
      <c r="D30" s="301">
        <f t="shared" si="0"/>
        <v>46173</v>
      </c>
      <c r="E30" s="301" t="s">
        <v>121</v>
      </c>
      <c r="F30" s="301" t="str">
        <f t="shared" si="1"/>
        <v>-</v>
      </c>
      <c r="G30" s="299" t="s">
        <v>249</v>
      </c>
      <c r="H30" s="299" t="s">
        <v>653</v>
      </c>
      <c r="I30" s="300">
        <v>7750</v>
      </c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>
        <f t="shared" si="2"/>
        <v>7750</v>
      </c>
      <c r="W30" s="300"/>
      <c r="X30" s="300"/>
      <c r="Y30" s="300"/>
      <c r="Z30" s="300"/>
      <c r="AA30" s="315"/>
      <c r="AB30" s="316"/>
      <c r="AC30" s="317"/>
      <c r="AF30" s="318">
        <f t="shared" si="3"/>
        <v>0</v>
      </c>
      <c r="AG30" s="318">
        <f t="shared" si="4"/>
        <v>0</v>
      </c>
      <c r="AH30" s="318">
        <f t="shared" si="5"/>
        <v>0</v>
      </c>
    </row>
    <row r="31" spans="1:34" ht="15" customHeight="1">
      <c r="A31" s="299" t="s">
        <v>651</v>
      </c>
      <c r="B31" s="299" t="s">
        <v>681</v>
      </c>
      <c r="C31" s="301">
        <v>46144</v>
      </c>
      <c r="D31" s="301">
        <f t="shared" si="0"/>
        <v>46173</v>
      </c>
      <c r="E31" s="301" t="s">
        <v>121</v>
      </c>
      <c r="F31" s="301" t="str">
        <f t="shared" si="1"/>
        <v>-</v>
      </c>
      <c r="G31" s="299" t="s">
        <v>248</v>
      </c>
      <c r="H31" s="299" t="s">
        <v>653</v>
      </c>
      <c r="I31" s="300">
        <v>6750</v>
      </c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>
        <f t="shared" si="2"/>
        <v>6750</v>
      </c>
      <c r="W31" s="300"/>
      <c r="X31" s="300"/>
      <c r="Y31" s="300"/>
      <c r="Z31" s="300"/>
      <c r="AA31" s="315"/>
      <c r="AB31" s="316"/>
      <c r="AC31" s="317"/>
      <c r="AF31" s="318">
        <f t="shared" si="3"/>
        <v>0</v>
      </c>
      <c r="AG31" s="318">
        <f t="shared" si="4"/>
        <v>0</v>
      </c>
      <c r="AH31" s="318">
        <f t="shared" si="5"/>
        <v>0</v>
      </c>
    </row>
    <row r="32" spans="1:34" ht="15" customHeight="1">
      <c r="A32" s="299" t="s">
        <v>651</v>
      </c>
      <c r="B32" s="299" t="s">
        <v>683</v>
      </c>
      <c r="C32" s="301">
        <v>46145</v>
      </c>
      <c r="D32" s="301">
        <f t="shared" si="0"/>
        <v>46173</v>
      </c>
      <c r="E32" s="301" t="s">
        <v>121</v>
      </c>
      <c r="F32" s="301" t="str">
        <f t="shared" si="1"/>
        <v>-</v>
      </c>
      <c r="G32" s="299" t="s">
        <v>249</v>
      </c>
      <c r="H32" s="299" t="s">
        <v>653</v>
      </c>
      <c r="I32" s="300">
        <v>8000</v>
      </c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>
        <f t="shared" si="2"/>
        <v>8000</v>
      </c>
      <c r="W32" s="300"/>
      <c r="X32" s="300"/>
      <c r="Y32" s="300"/>
      <c r="Z32" s="300"/>
      <c r="AA32" s="315"/>
      <c r="AB32" s="316"/>
      <c r="AC32" s="317"/>
      <c r="AF32" s="318">
        <f t="shared" si="3"/>
        <v>0</v>
      </c>
      <c r="AG32" s="318">
        <f t="shared" si="4"/>
        <v>0</v>
      </c>
      <c r="AH32" s="318">
        <f t="shared" si="5"/>
        <v>0</v>
      </c>
    </row>
    <row r="33" spans="1:34" ht="15" customHeight="1">
      <c r="A33" s="299" t="s">
        <v>651</v>
      </c>
      <c r="B33" s="299" t="s">
        <v>684</v>
      </c>
      <c r="C33" s="301">
        <v>46146</v>
      </c>
      <c r="D33" s="301">
        <f t="shared" si="0"/>
        <v>46173</v>
      </c>
      <c r="E33" s="301" t="s">
        <v>121</v>
      </c>
      <c r="F33" s="301" t="str">
        <f t="shared" si="1"/>
        <v>-</v>
      </c>
      <c r="G33" s="299" t="s">
        <v>249</v>
      </c>
      <c r="H33" s="299" t="s">
        <v>658</v>
      </c>
      <c r="I33" s="300" t="s">
        <v>121</v>
      </c>
      <c r="J33" s="300" t="s">
        <v>121</v>
      </c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>
        <f t="shared" si="2"/>
        <v>0</v>
      </c>
      <c r="W33" s="300"/>
      <c r="X33" s="300"/>
      <c r="Y33" s="300"/>
      <c r="Z33" s="300"/>
      <c r="AA33" s="315"/>
      <c r="AB33" s="316"/>
      <c r="AC33" s="317"/>
      <c r="AF33" s="318">
        <f t="shared" si="3"/>
        <v>0</v>
      </c>
      <c r="AG33" s="318">
        <f t="shared" si="4"/>
        <v>0</v>
      </c>
      <c r="AH33" s="318">
        <f t="shared" si="5"/>
        <v>0</v>
      </c>
    </row>
    <row r="34" spans="1:34" ht="15" customHeight="1">
      <c r="A34" s="299" t="s">
        <v>651</v>
      </c>
      <c r="B34" s="299" t="s">
        <v>685</v>
      </c>
      <c r="C34" s="301">
        <v>46147</v>
      </c>
      <c r="D34" s="301">
        <f t="shared" si="0"/>
        <v>46173</v>
      </c>
      <c r="E34" s="301" t="s">
        <v>121</v>
      </c>
      <c r="F34" s="301" t="str">
        <f t="shared" si="1"/>
        <v>-</v>
      </c>
      <c r="G34" s="299" t="s">
        <v>250</v>
      </c>
      <c r="H34" s="299" t="s">
        <v>653</v>
      </c>
      <c r="I34" s="300">
        <v>1750</v>
      </c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>
        <f t="shared" si="2"/>
        <v>1750</v>
      </c>
      <c r="W34" s="300"/>
      <c r="X34" s="300"/>
      <c r="Y34" s="300"/>
      <c r="Z34" s="300"/>
      <c r="AA34" s="315"/>
      <c r="AB34" s="316"/>
      <c r="AC34" s="317"/>
      <c r="AF34" s="318">
        <f t="shared" si="3"/>
        <v>0</v>
      </c>
      <c r="AG34" s="318">
        <f t="shared" si="4"/>
        <v>0</v>
      </c>
      <c r="AH34" s="318">
        <f t="shared" si="5"/>
        <v>0</v>
      </c>
    </row>
    <row r="35" spans="1:34" ht="15" customHeight="1">
      <c r="A35" s="299" t="s">
        <v>651</v>
      </c>
      <c r="B35" s="299" t="s">
        <v>686</v>
      </c>
      <c r="C35" s="301">
        <v>46150</v>
      </c>
      <c r="D35" s="301">
        <f t="shared" si="0"/>
        <v>46173</v>
      </c>
      <c r="E35" s="301" t="s">
        <v>121</v>
      </c>
      <c r="F35" s="301" t="str">
        <f t="shared" si="1"/>
        <v>-</v>
      </c>
      <c r="G35" s="299" t="s">
        <v>249</v>
      </c>
      <c r="H35" s="299" t="s">
        <v>658</v>
      </c>
      <c r="I35" s="300">
        <v>8000</v>
      </c>
      <c r="J35" s="300">
        <v>1400</v>
      </c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>
        <f t="shared" si="2"/>
        <v>9400</v>
      </c>
      <c r="W35" s="300"/>
      <c r="X35" s="300"/>
      <c r="Y35" s="300"/>
      <c r="Z35" s="300"/>
      <c r="AA35" s="315"/>
      <c r="AB35" s="316"/>
      <c r="AC35" s="317"/>
      <c r="AF35" s="318">
        <f t="shared" si="3"/>
        <v>1400</v>
      </c>
      <c r="AG35" s="318">
        <f t="shared" si="4"/>
        <v>1400</v>
      </c>
      <c r="AH35" s="318">
        <f t="shared" si="5"/>
        <v>1400</v>
      </c>
    </row>
    <row r="36" spans="1:34" ht="15" customHeight="1">
      <c r="A36" s="299" t="s">
        <v>651</v>
      </c>
      <c r="B36" s="299" t="s">
        <v>687</v>
      </c>
      <c r="C36" s="301">
        <v>46151</v>
      </c>
      <c r="D36" s="301">
        <f t="shared" si="0"/>
        <v>46173</v>
      </c>
      <c r="E36" s="301" t="s">
        <v>121</v>
      </c>
      <c r="F36" s="301" t="str">
        <f t="shared" si="1"/>
        <v>-</v>
      </c>
      <c r="G36" s="299" t="s">
        <v>248</v>
      </c>
      <c r="H36" s="299" t="s">
        <v>658</v>
      </c>
      <c r="I36" s="300">
        <v>7000</v>
      </c>
      <c r="J36" s="300">
        <v>1400</v>
      </c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>
        <f t="shared" si="2"/>
        <v>8400</v>
      </c>
      <c r="W36" s="300"/>
      <c r="X36" s="300"/>
      <c r="Y36" s="300"/>
      <c r="Z36" s="300"/>
      <c r="AA36" s="315"/>
      <c r="AB36" s="316"/>
      <c r="AC36" s="317"/>
      <c r="AF36" s="318">
        <f t="shared" si="3"/>
        <v>1400</v>
      </c>
      <c r="AG36" s="318">
        <f t="shared" si="4"/>
        <v>1400</v>
      </c>
      <c r="AH36" s="318">
        <f t="shared" si="5"/>
        <v>1400</v>
      </c>
    </row>
    <row r="37" spans="1:34" ht="15" customHeight="1">
      <c r="A37" s="299" t="s">
        <v>651</v>
      </c>
      <c r="B37" s="299" t="s">
        <v>688</v>
      </c>
      <c r="C37" s="301">
        <v>46151</v>
      </c>
      <c r="D37" s="301">
        <f t="shared" si="0"/>
        <v>46173</v>
      </c>
      <c r="E37" s="301" t="s">
        <v>121</v>
      </c>
      <c r="F37" s="301" t="str">
        <f t="shared" si="1"/>
        <v>-</v>
      </c>
      <c r="G37" s="299" t="s">
        <v>249</v>
      </c>
      <c r="H37" s="299" t="s">
        <v>653</v>
      </c>
      <c r="I37" s="300">
        <v>8000</v>
      </c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>
        <f t="shared" si="2"/>
        <v>8000</v>
      </c>
      <c r="W37" s="300"/>
      <c r="X37" s="300"/>
      <c r="Y37" s="300"/>
      <c r="Z37" s="300"/>
      <c r="AA37" s="315"/>
      <c r="AB37" s="316"/>
      <c r="AC37" s="317"/>
      <c r="AF37" s="318">
        <f t="shared" si="3"/>
        <v>0</v>
      </c>
      <c r="AG37" s="318">
        <f t="shared" si="4"/>
        <v>0</v>
      </c>
      <c r="AH37" s="318">
        <f t="shared" si="5"/>
        <v>0</v>
      </c>
    </row>
    <row r="38" spans="1:34" ht="15" customHeight="1">
      <c r="A38" s="299" t="s">
        <v>651</v>
      </c>
      <c r="B38" s="299" t="s">
        <v>689</v>
      </c>
      <c r="C38" s="301">
        <v>46154</v>
      </c>
      <c r="D38" s="301">
        <f t="shared" si="0"/>
        <v>46173</v>
      </c>
      <c r="E38" s="301" t="s">
        <v>121</v>
      </c>
      <c r="F38" s="301" t="str">
        <f t="shared" si="1"/>
        <v>-</v>
      </c>
      <c r="G38" s="299" t="s">
        <v>250</v>
      </c>
      <c r="H38" s="299" t="s">
        <v>653</v>
      </c>
      <c r="I38" s="300">
        <v>1750</v>
      </c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>
        <f t="shared" si="2"/>
        <v>1750</v>
      </c>
      <c r="W38" s="300"/>
      <c r="X38" s="300"/>
      <c r="Y38" s="300"/>
      <c r="Z38" s="300"/>
      <c r="AA38" s="315"/>
      <c r="AB38" s="316"/>
      <c r="AC38" s="317"/>
      <c r="AF38" s="318">
        <f t="shared" si="3"/>
        <v>0</v>
      </c>
      <c r="AG38" s="318">
        <f t="shared" si="4"/>
        <v>0</v>
      </c>
      <c r="AH38" s="318">
        <f t="shared" si="5"/>
        <v>0</v>
      </c>
    </row>
    <row r="39" spans="1:34" ht="15" customHeight="1">
      <c r="A39" s="299" t="s">
        <v>690</v>
      </c>
      <c r="B39" s="299" t="s">
        <v>691</v>
      </c>
      <c r="C39" s="301">
        <v>46157</v>
      </c>
      <c r="D39" s="301">
        <f t="shared" si="0"/>
        <v>46173</v>
      </c>
      <c r="E39" s="301">
        <v>45611</v>
      </c>
      <c r="F39" s="301">
        <f t="shared" si="1"/>
        <v>45626</v>
      </c>
      <c r="G39" s="299" t="s">
        <v>249</v>
      </c>
      <c r="H39" s="299" t="s">
        <v>653</v>
      </c>
      <c r="I39" s="300">
        <v>7500</v>
      </c>
      <c r="J39" s="300">
        <v>0</v>
      </c>
      <c r="K39" s="300"/>
      <c r="L39" s="300"/>
      <c r="M39" s="300"/>
      <c r="N39" s="300"/>
      <c r="O39" s="300"/>
      <c r="P39" s="300"/>
      <c r="Q39" s="300"/>
      <c r="R39" s="300"/>
      <c r="S39" s="300"/>
      <c r="T39" s="300">
        <v>275</v>
      </c>
      <c r="U39" s="300">
        <v>600</v>
      </c>
      <c r="V39" s="300">
        <f t="shared" si="2"/>
        <v>8375</v>
      </c>
      <c r="W39" s="300">
        <v>750</v>
      </c>
      <c r="X39" s="300">
        <v>7500</v>
      </c>
      <c r="Y39" s="300"/>
      <c r="Z39" s="300">
        <v>275</v>
      </c>
      <c r="AA39" s="315" t="b">
        <v>1</v>
      </c>
      <c r="AB39" s="316" t="s">
        <v>692</v>
      </c>
      <c r="AC39" s="317"/>
      <c r="AF39" s="318">
        <f t="shared" si="3"/>
        <v>875</v>
      </c>
      <c r="AG39" s="318">
        <f t="shared" si="4"/>
        <v>875</v>
      </c>
      <c r="AH39" s="318">
        <f t="shared" si="5"/>
        <v>275</v>
      </c>
    </row>
    <row r="40" spans="1:34" ht="15" customHeight="1">
      <c r="A40" s="299" t="s">
        <v>690</v>
      </c>
      <c r="B40" s="299" t="s">
        <v>693</v>
      </c>
      <c r="C40" s="301">
        <v>46158</v>
      </c>
      <c r="D40" s="301">
        <f t="shared" si="0"/>
        <v>46173</v>
      </c>
      <c r="E40" s="301">
        <v>45817</v>
      </c>
      <c r="F40" s="301">
        <f t="shared" si="1"/>
        <v>45838</v>
      </c>
      <c r="G40" s="299" t="s">
        <v>248</v>
      </c>
      <c r="H40" s="299" t="s">
        <v>658</v>
      </c>
      <c r="I40" s="300">
        <v>7000</v>
      </c>
      <c r="J40" s="300">
        <v>1400</v>
      </c>
      <c r="K40" s="300"/>
      <c r="L40" s="300"/>
      <c r="M40" s="300"/>
      <c r="N40" s="300"/>
      <c r="O40" s="300"/>
      <c r="P40" s="300"/>
      <c r="Q40" s="300"/>
      <c r="R40" s="300"/>
      <c r="S40" s="300"/>
      <c r="T40" s="300">
        <v>275</v>
      </c>
      <c r="U40" s="300">
        <v>200</v>
      </c>
      <c r="V40" s="300">
        <f t="shared" si="2"/>
        <v>8875</v>
      </c>
      <c r="W40" s="300">
        <v>750</v>
      </c>
      <c r="X40" s="300">
        <v>8600</v>
      </c>
      <c r="Y40" s="300"/>
      <c r="Z40" s="300">
        <f t="shared" ref="Z40:Z43" si="6">V40-X40</f>
        <v>275</v>
      </c>
      <c r="AA40" s="315" t="b">
        <v>1</v>
      </c>
      <c r="AB40" s="316" t="s">
        <v>694</v>
      </c>
      <c r="AC40" s="317"/>
      <c r="AF40" s="318">
        <f t="shared" si="3"/>
        <v>1875</v>
      </c>
      <c r="AG40" s="318">
        <f t="shared" si="4"/>
        <v>1875</v>
      </c>
      <c r="AH40" s="318">
        <f t="shared" si="5"/>
        <v>1675</v>
      </c>
    </row>
    <row r="41" spans="1:34" ht="15" customHeight="1">
      <c r="A41" s="299" t="s">
        <v>690</v>
      </c>
      <c r="B41" s="299" t="s">
        <v>695</v>
      </c>
      <c r="C41" s="301">
        <v>46158</v>
      </c>
      <c r="D41" s="301">
        <f t="shared" si="0"/>
        <v>46173</v>
      </c>
      <c r="E41" s="301" t="s">
        <v>121</v>
      </c>
      <c r="F41" s="301" t="str">
        <f t="shared" si="1"/>
        <v>-</v>
      </c>
      <c r="G41" s="299" t="s">
        <v>249</v>
      </c>
      <c r="H41" s="299" t="s">
        <v>653</v>
      </c>
      <c r="I41" s="300">
        <v>7750</v>
      </c>
      <c r="J41" s="300">
        <v>0</v>
      </c>
      <c r="K41" s="300"/>
      <c r="L41" s="300"/>
      <c r="M41" s="300"/>
      <c r="N41" s="300"/>
      <c r="O41" s="300"/>
      <c r="P41" s="300"/>
      <c r="Q41" s="300"/>
      <c r="R41" s="300"/>
      <c r="S41" s="300"/>
      <c r="T41" s="300">
        <v>275</v>
      </c>
      <c r="U41" s="300"/>
      <c r="V41" s="300">
        <f t="shared" si="2"/>
        <v>8025</v>
      </c>
      <c r="W41" s="300">
        <v>500</v>
      </c>
      <c r="X41" s="300">
        <v>8025</v>
      </c>
      <c r="Y41" s="300"/>
      <c r="Z41" s="300">
        <f t="shared" si="6"/>
        <v>0</v>
      </c>
      <c r="AA41" s="315" t="b">
        <v>1</v>
      </c>
      <c r="AB41" s="316"/>
      <c r="AC41" s="317"/>
      <c r="AF41" s="318">
        <f t="shared" si="3"/>
        <v>275</v>
      </c>
      <c r="AG41" s="318">
        <f t="shared" si="4"/>
        <v>275</v>
      </c>
      <c r="AH41" s="318">
        <f t="shared" si="5"/>
        <v>275</v>
      </c>
    </row>
    <row r="42" spans="1:34" ht="15" customHeight="1">
      <c r="A42" s="299" t="s">
        <v>690</v>
      </c>
      <c r="B42" s="299" t="s">
        <v>696</v>
      </c>
      <c r="C42" s="301">
        <v>46159</v>
      </c>
      <c r="D42" s="301">
        <f t="shared" si="0"/>
        <v>46173</v>
      </c>
      <c r="E42" s="301">
        <v>45712</v>
      </c>
      <c r="F42" s="301">
        <f t="shared" si="1"/>
        <v>45716</v>
      </c>
      <c r="G42" s="299" t="s">
        <v>249</v>
      </c>
      <c r="H42" s="299" t="s">
        <v>653</v>
      </c>
      <c r="I42" s="300">
        <v>8000</v>
      </c>
      <c r="J42" s="300">
        <v>0</v>
      </c>
      <c r="K42" s="300"/>
      <c r="L42" s="300"/>
      <c r="M42" s="300"/>
      <c r="N42" s="300"/>
      <c r="O42" s="300"/>
      <c r="P42" s="300"/>
      <c r="Q42" s="300"/>
      <c r="R42" s="300"/>
      <c r="S42" s="300"/>
      <c r="T42" s="300" t="s">
        <v>697</v>
      </c>
      <c r="U42" s="300"/>
      <c r="V42" s="300">
        <f t="shared" si="2"/>
        <v>8000</v>
      </c>
      <c r="W42" s="300">
        <v>750</v>
      </c>
      <c r="X42" s="300">
        <v>8000</v>
      </c>
      <c r="Y42" s="300"/>
      <c r="Z42" s="300">
        <f t="shared" si="6"/>
        <v>0</v>
      </c>
      <c r="AA42" s="315" t="b">
        <v>1</v>
      </c>
      <c r="AB42" s="316" t="s">
        <v>698</v>
      </c>
      <c r="AC42" s="317"/>
      <c r="AF42" s="318">
        <f t="shared" si="3"/>
        <v>0</v>
      </c>
      <c r="AG42" s="318">
        <f t="shared" si="4"/>
        <v>0</v>
      </c>
      <c r="AH42" s="318">
        <f t="shared" si="5"/>
        <v>0</v>
      </c>
    </row>
    <row r="43" spans="1:34" ht="15" customHeight="1">
      <c r="A43" s="299" t="s">
        <v>690</v>
      </c>
      <c r="B43" s="299" t="s">
        <v>609</v>
      </c>
      <c r="C43" s="301">
        <v>46161</v>
      </c>
      <c r="D43" s="301">
        <f t="shared" si="0"/>
        <v>46173</v>
      </c>
      <c r="E43" s="301" t="s">
        <v>121</v>
      </c>
      <c r="F43" s="301" t="str">
        <f t="shared" si="1"/>
        <v>-</v>
      </c>
      <c r="G43" s="299" t="s">
        <v>250</v>
      </c>
      <c r="H43" s="299" t="s">
        <v>674</v>
      </c>
      <c r="I43" s="300">
        <v>1500</v>
      </c>
      <c r="J43" s="300">
        <v>0</v>
      </c>
      <c r="K43" s="300"/>
      <c r="L43" s="300"/>
      <c r="M43" s="300">
        <v>1000</v>
      </c>
      <c r="N43" s="300">
        <v>1950</v>
      </c>
      <c r="O43" s="300"/>
      <c r="P43" s="300"/>
      <c r="Q43" s="300"/>
      <c r="R43" s="300"/>
      <c r="S43" s="300">
        <v>550</v>
      </c>
      <c r="T43" s="300" t="s">
        <v>697</v>
      </c>
      <c r="U43" s="300"/>
      <c r="V43" s="300">
        <f t="shared" si="2"/>
        <v>5000</v>
      </c>
      <c r="W43" s="300">
        <v>500</v>
      </c>
      <c r="X43" s="300">
        <v>5000</v>
      </c>
      <c r="Y43" s="300"/>
      <c r="Z43" s="300">
        <f t="shared" si="6"/>
        <v>0</v>
      </c>
      <c r="AA43" s="315" t="b">
        <v>1</v>
      </c>
      <c r="AB43" s="316" t="s">
        <v>699</v>
      </c>
      <c r="AC43" s="317"/>
      <c r="AF43" s="318">
        <f t="shared" si="3"/>
        <v>550</v>
      </c>
      <c r="AG43" s="318">
        <f t="shared" si="4"/>
        <v>3500</v>
      </c>
      <c r="AH43" s="318">
        <f t="shared" si="5"/>
        <v>2950</v>
      </c>
    </row>
    <row r="44" spans="1:34" ht="15" customHeight="1">
      <c r="A44" s="299" t="s">
        <v>690</v>
      </c>
      <c r="B44" s="299" t="s">
        <v>700</v>
      </c>
      <c r="C44" s="301">
        <v>46164</v>
      </c>
      <c r="D44" s="301">
        <f t="shared" si="0"/>
        <v>46173</v>
      </c>
      <c r="E44" s="301">
        <v>45531</v>
      </c>
      <c r="F44" s="301">
        <f t="shared" si="1"/>
        <v>45535</v>
      </c>
      <c r="G44" s="299" t="s">
        <v>249</v>
      </c>
      <c r="H44" s="299" t="s">
        <v>658</v>
      </c>
      <c r="I44" s="300">
        <v>6500</v>
      </c>
      <c r="J44" s="300">
        <v>1400</v>
      </c>
      <c r="K44" s="300"/>
      <c r="L44" s="300"/>
      <c r="M44" s="300"/>
      <c r="N44" s="300"/>
      <c r="O44" s="300"/>
      <c r="P44" s="300"/>
      <c r="Q44" s="300"/>
      <c r="R44" s="300"/>
      <c r="S44" s="300"/>
      <c r="T44" s="300">
        <v>275</v>
      </c>
      <c r="U44" s="321">
        <v>200</v>
      </c>
      <c r="V44" s="300">
        <f t="shared" si="2"/>
        <v>8375</v>
      </c>
      <c r="W44" s="300">
        <v>750</v>
      </c>
      <c r="X44" s="300">
        <v>7900</v>
      </c>
      <c r="Y44" s="300"/>
      <c r="Z44" s="300">
        <v>275</v>
      </c>
      <c r="AA44" s="315" t="b">
        <v>1</v>
      </c>
      <c r="AB44" s="322" t="s">
        <v>701</v>
      </c>
      <c r="AC44" s="317"/>
      <c r="AF44" s="318">
        <f t="shared" si="3"/>
        <v>1875</v>
      </c>
      <c r="AG44" s="318">
        <f t="shared" si="4"/>
        <v>1875</v>
      </c>
      <c r="AH44" s="318">
        <f t="shared" si="5"/>
        <v>1675</v>
      </c>
    </row>
    <row r="45" spans="1:34" ht="15" customHeight="1">
      <c r="A45" s="299" t="s">
        <v>690</v>
      </c>
      <c r="B45" s="299" t="s">
        <v>702</v>
      </c>
      <c r="C45" s="301">
        <v>46165</v>
      </c>
      <c r="D45" s="301">
        <f t="shared" si="0"/>
        <v>46173</v>
      </c>
      <c r="E45" s="301" t="s">
        <v>121</v>
      </c>
      <c r="F45" s="301" t="str">
        <f t="shared" si="1"/>
        <v>-</v>
      </c>
      <c r="G45" s="299" t="s">
        <v>248</v>
      </c>
      <c r="H45" s="299" t="s">
        <v>653</v>
      </c>
      <c r="I45" s="300">
        <v>6650</v>
      </c>
      <c r="J45" s="300">
        <v>0</v>
      </c>
      <c r="K45" s="300"/>
      <c r="L45" s="300"/>
      <c r="M45" s="300"/>
      <c r="N45" s="300"/>
      <c r="O45" s="300"/>
      <c r="P45" s="300"/>
      <c r="Q45" s="300"/>
      <c r="R45" s="300"/>
      <c r="S45" s="300"/>
      <c r="T45" s="300">
        <v>275</v>
      </c>
      <c r="U45" s="300"/>
      <c r="V45" s="300">
        <f t="shared" si="2"/>
        <v>6925</v>
      </c>
      <c r="W45" s="300">
        <v>750</v>
      </c>
      <c r="X45" s="300">
        <v>6650</v>
      </c>
      <c r="Y45" s="300"/>
      <c r="Z45" s="300">
        <f t="shared" ref="Z45:Z65" si="7">V45-X45</f>
        <v>275</v>
      </c>
      <c r="AA45" s="315" t="b">
        <v>1</v>
      </c>
      <c r="AB45" s="316" t="s">
        <v>703</v>
      </c>
      <c r="AC45" s="317"/>
      <c r="AF45" s="318">
        <f t="shared" si="3"/>
        <v>275</v>
      </c>
      <c r="AG45" s="318">
        <f t="shared" si="4"/>
        <v>275</v>
      </c>
      <c r="AH45" s="318">
        <f t="shared" si="5"/>
        <v>275</v>
      </c>
    </row>
    <row r="46" spans="1:34" ht="15" customHeight="1">
      <c r="A46" s="299" t="s">
        <v>690</v>
      </c>
      <c r="B46" s="299" t="s">
        <v>704</v>
      </c>
      <c r="C46" s="301">
        <v>46165</v>
      </c>
      <c r="D46" s="301">
        <f t="shared" si="0"/>
        <v>46173</v>
      </c>
      <c r="E46" s="301">
        <v>45414</v>
      </c>
      <c r="F46" s="301">
        <f t="shared" si="1"/>
        <v>45443</v>
      </c>
      <c r="G46" s="299" t="s">
        <v>249</v>
      </c>
      <c r="H46" s="299" t="s">
        <v>658</v>
      </c>
      <c r="I46" s="300">
        <v>7750</v>
      </c>
      <c r="J46" s="300">
        <v>1400</v>
      </c>
      <c r="K46" s="300"/>
      <c r="L46" s="300"/>
      <c r="M46" s="300"/>
      <c r="N46" s="300"/>
      <c r="O46" s="300"/>
      <c r="P46" s="300"/>
      <c r="Q46" s="300"/>
      <c r="R46" s="300"/>
      <c r="S46" s="300"/>
      <c r="T46" s="300">
        <v>275</v>
      </c>
      <c r="U46" s="300">
        <v>200</v>
      </c>
      <c r="V46" s="300">
        <f t="shared" si="2"/>
        <v>9625</v>
      </c>
      <c r="W46" s="300">
        <v>500</v>
      </c>
      <c r="X46" s="300">
        <v>9350</v>
      </c>
      <c r="Y46" s="300"/>
      <c r="Z46" s="300">
        <f t="shared" si="7"/>
        <v>275</v>
      </c>
      <c r="AA46" s="315" t="b">
        <v>1</v>
      </c>
      <c r="AB46" s="316" t="s">
        <v>705</v>
      </c>
      <c r="AC46" s="317"/>
      <c r="AF46" s="318">
        <f t="shared" si="3"/>
        <v>1875</v>
      </c>
      <c r="AG46" s="318">
        <f t="shared" si="4"/>
        <v>1875</v>
      </c>
      <c r="AH46" s="318">
        <f t="shared" si="5"/>
        <v>1675</v>
      </c>
    </row>
    <row r="47" spans="1:34" ht="15" customHeight="1">
      <c r="A47" s="299" t="s">
        <v>690</v>
      </c>
      <c r="B47" s="299" t="s">
        <v>610</v>
      </c>
      <c r="C47" s="301">
        <v>46166</v>
      </c>
      <c r="D47" s="301">
        <f t="shared" si="0"/>
        <v>46173</v>
      </c>
      <c r="E47" s="301">
        <v>45665</v>
      </c>
      <c r="F47" s="301">
        <f t="shared" si="1"/>
        <v>45688</v>
      </c>
      <c r="G47" s="299" t="s">
        <v>249</v>
      </c>
      <c r="H47" s="299" t="s">
        <v>674</v>
      </c>
      <c r="I47" s="300">
        <v>8000</v>
      </c>
      <c r="J47" s="300">
        <v>2000</v>
      </c>
      <c r="K47" s="300">
        <v>4000</v>
      </c>
      <c r="L47" s="300">
        <v>2000</v>
      </c>
      <c r="M47" s="300">
        <v>4000</v>
      </c>
      <c r="N47" s="300">
        <v>5000</v>
      </c>
      <c r="O47" s="300">
        <v>1500</v>
      </c>
      <c r="P47" s="300"/>
      <c r="Q47" s="300"/>
      <c r="R47" s="300"/>
      <c r="S47" s="300">
        <v>3600</v>
      </c>
      <c r="T47" s="300">
        <v>275</v>
      </c>
      <c r="U47" s="300"/>
      <c r="V47" s="300">
        <f t="shared" si="2"/>
        <v>30375</v>
      </c>
      <c r="W47" s="300">
        <v>750</v>
      </c>
      <c r="X47" s="300">
        <v>30100</v>
      </c>
      <c r="Y47" s="300"/>
      <c r="Z47" s="300">
        <f t="shared" si="7"/>
        <v>275</v>
      </c>
      <c r="AA47" s="315" t="b">
        <v>1</v>
      </c>
      <c r="AB47" s="316"/>
      <c r="AC47" s="317"/>
      <c r="AF47" s="318">
        <f t="shared" si="3"/>
        <v>7875</v>
      </c>
      <c r="AG47" s="318">
        <f t="shared" si="4"/>
        <v>22375</v>
      </c>
      <c r="AH47" s="318">
        <f t="shared" si="5"/>
        <v>18775</v>
      </c>
    </row>
    <row r="48" spans="1:34" ht="15" customHeight="1">
      <c r="A48" s="299" t="s">
        <v>690</v>
      </c>
      <c r="B48" s="299" t="s">
        <v>611</v>
      </c>
      <c r="C48" s="301">
        <v>46168</v>
      </c>
      <c r="D48" s="301">
        <f t="shared" si="0"/>
        <v>46173</v>
      </c>
      <c r="E48" s="301" t="s">
        <v>121</v>
      </c>
      <c r="F48" s="301" t="str">
        <f t="shared" si="1"/>
        <v>-</v>
      </c>
      <c r="G48" s="299" t="s">
        <v>250</v>
      </c>
      <c r="H48" s="299" t="s">
        <v>674</v>
      </c>
      <c r="I48" s="300">
        <v>1750</v>
      </c>
      <c r="J48" s="300">
        <v>0</v>
      </c>
      <c r="K48" s="300"/>
      <c r="L48" s="300"/>
      <c r="M48" s="300">
        <v>1000</v>
      </c>
      <c r="N48" s="300">
        <v>1950</v>
      </c>
      <c r="O48" s="300"/>
      <c r="P48" s="300"/>
      <c r="Q48" s="300"/>
      <c r="R48" s="300"/>
      <c r="S48" s="300">
        <v>550</v>
      </c>
      <c r="T48" s="300" t="s">
        <v>697</v>
      </c>
      <c r="U48" s="300"/>
      <c r="V48" s="300">
        <f t="shared" si="2"/>
        <v>5250</v>
      </c>
      <c r="W48" s="300">
        <v>500</v>
      </c>
      <c r="X48" s="300">
        <v>5250</v>
      </c>
      <c r="Y48" s="300"/>
      <c r="Z48" s="300">
        <f t="shared" si="7"/>
        <v>0</v>
      </c>
      <c r="AA48" s="315" t="b">
        <v>1</v>
      </c>
      <c r="AB48" s="316" t="s">
        <v>706</v>
      </c>
      <c r="AC48" s="317"/>
      <c r="AF48" s="318">
        <f t="shared" si="3"/>
        <v>550</v>
      </c>
      <c r="AG48" s="318">
        <f t="shared" si="4"/>
        <v>3500</v>
      </c>
      <c r="AH48" s="318">
        <f t="shared" si="5"/>
        <v>2950</v>
      </c>
    </row>
    <row r="49" spans="1:34" ht="15" customHeight="1">
      <c r="A49" s="299" t="s">
        <v>690</v>
      </c>
      <c r="B49" s="299" t="s">
        <v>707</v>
      </c>
      <c r="C49" s="301">
        <v>46168</v>
      </c>
      <c r="D49" s="301">
        <f t="shared" si="0"/>
        <v>46173</v>
      </c>
      <c r="E49" s="301">
        <v>45981</v>
      </c>
      <c r="F49" s="301">
        <f t="shared" si="1"/>
        <v>45991</v>
      </c>
      <c r="G49" s="299" t="s">
        <v>250</v>
      </c>
      <c r="H49" s="299" t="s">
        <v>653</v>
      </c>
      <c r="I49" s="300">
        <v>1750</v>
      </c>
      <c r="J49" s="300">
        <v>0</v>
      </c>
      <c r="K49" s="300"/>
      <c r="L49" s="300"/>
      <c r="M49" s="300"/>
      <c r="N49" s="300"/>
      <c r="O49" s="300"/>
      <c r="P49" s="300"/>
      <c r="Q49" s="300"/>
      <c r="R49" s="300"/>
      <c r="S49" s="300"/>
      <c r="T49" s="300" t="s">
        <v>697</v>
      </c>
      <c r="U49" s="300"/>
      <c r="V49" s="300">
        <f t="shared" si="2"/>
        <v>1750</v>
      </c>
      <c r="W49" s="300">
        <v>500</v>
      </c>
      <c r="X49" s="300">
        <v>1750</v>
      </c>
      <c r="Y49" s="300"/>
      <c r="Z49" s="300">
        <f t="shared" si="7"/>
        <v>0</v>
      </c>
      <c r="AA49" s="315" t="b">
        <v>1</v>
      </c>
      <c r="AB49" s="316"/>
      <c r="AC49" s="317"/>
      <c r="AF49" s="318">
        <f t="shared" si="3"/>
        <v>0</v>
      </c>
      <c r="AG49" s="318">
        <f t="shared" si="4"/>
        <v>0</v>
      </c>
      <c r="AH49" s="318">
        <f t="shared" si="5"/>
        <v>0</v>
      </c>
    </row>
    <row r="50" spans="1:34" ht="15" customHeight="1">
      <c r="A50" s="299" t="s">
        <v>690</v>
      </c>
      <c r="B50" s="299" t="s">
        <v>708</v>
      </c>
      <c r="C50" s="301">
        <v>46171</v>
      </c>
      <c r="D50" s="301">
        <f t="shared" si="0"/>
        <v>46173</v>
      </c>
      <c r="E50" s="301">
        <v>45986</v>
      </c>
      <c r="F50" s="301">
        <f t="shared" si="1"/>
        <v>45991</v>
      </c>
      <c r="G50" s="299" t="s">
        <v>248</v>
      </c>
      <c r="H50" s="299" t="s">
        <v>653</v>
      </c>
      <c r="I50" s="300">
        <v>7500</v>
      </c>
      <c r="J50" s="300">
        <v>0</v>
      </c>
      <c r="K50" s="300"/>
      <c r="L50" s="300"/>
      <c r="M50" s="300"/>
      <c r="N50" s="300"/>
      <c r="O50" s="300"/>
      <c r="P50" s="300"/>
      <c r="Q50" s="300"/>
      <c r="R50" s="300"/>
      <c r="S50" s="300"/>
      <c r="T50" s="300">
        <v>275</v>
      </c>
      <c r="U50" s="300"/>
      <c r="V50" s="300">
        <f t="shared" si="2"/>
        <v>7775</v>
      </c>
      <c r="W50" s="300">
        <v>750</v>
      </c>
      <c r="X50" s="300">
        <v>7500</v>
      </c>
      <c r="Y50" s="300"/>
      <c r="Z50" s="300">
        <f t="shared" si="7"/>
        <v>275</v>
      </c>
      <c r="AA50" s="315" t="b">
        <v>1</v>
      </c>
      <c r="AB50" s="316" t="s">
        <v>709</v>
      </c>
      <c r="AC50" s="317"/>
      <c r="AF50" s="318">
        <f t="shared" si="3"/>
        <v>275</v>
      </c>
      <c r="AG50" s="318">
        <f t="shared" si="4"/>
        <v>275</v>
      </c>
      <c r="AH50" s="318">
        <f t="shared" si="5"/>
        <v>275</v>
      </c>
    </row>
    <row r="51" spans="1:34" ht="15" customHeight="1">
      <c r="A51" s="299" t="s">
        <v>690</v>
      </c>
      <c r="B51" s="299" t="s">
        <v>710</v>
      </c>
      <c r="C51" s="301">
        <v>46171</v>
      </c>
      <c r="D51" s="301">
        <f t="shared" si="0"/>
        <v>46173</v>
      </c>
      <c r="E51" s="301">
        <v>45622</v>
      </c>
      <c r="F51" s="301">
        <f t="shared" si="1"/>
        <v>45626</v>
      </c>
      <c r="G51" s="299" t="s">
        <v>249</v>
      </c>
      <c r="H51" s="299" t="s">
        <v>658</v>
      </c>
      <c r="I51" s="300">
        <v>7500</v>
      </c>
      <c r="J51" s="300">
        <v>1400</v>
      </c>
      <c r="K51" s="300"/>
      <c r="L51" s="300"/>
      <c r="M51" s="300"/>
      <c r="N51" s="300"/>
      <c r="O51" s="300"/>
      <c r="P51" s="300"/>
      <c r="Q51" s="300"/>
      <c r="R51" s="300"/>
      <c r="S51" s="300"/>
      <c r="T51" s="300" t="s">
        <v>697</v>
      </c>
      <c r="U51" s="300"/>
      <c r="V51" s="300">
        <f t="shared" si="2"/>
        <v>8900</v>
      </c>
      <c r="W51" s="300">
        <v>750</v>
      </c>
      <c r="X51" s="300">
        <v>6900</v>
      </c>
      <c r="Y51" s="300"/>
      <c r="Z51" s="300">
        <f t="shared" si="7"/>
        <v>2000</v>
      </c>
      <c r="AA51" s="315" t="b">
        <v>1</v>
      </c>
      <c r="AB51" s="316" t="s">
        <v>711</v>
      </c>
      <c r="AC51" s="317"/>
      <c r="AF51" s="318">
        <f t="shared" si="3"/>
        <v>1400</v>
      </c>
      <c r="AG51" s="318">
        <f t="shared" si="4"/>
        <v>1400</v>
      </c>
      <c r="AH51" s="318">
        <f t="shared" si="5"/>
        <v>1400</v>
      </c>
    </row>
    <row r="52" spans="1:34" ht="15" customHeight="1">
      <c r="A52" s="299" t="s">
        <v>690</v>
      </c>
      <c r="B52" s="299" t="s">
        <v>712</v>
      </c>
      <c r="C52" s="301">
        <v>46172</v>
      </c>
      <c r="D52" s="301">
        <f t="shared" si="0"/>
        <v>46173</v>
      </c>
      <c r="E52" s="301">
        <v>45753</v>
      </c>
      <c r="F52" s="301">
        <f t="shared" si="1"/>
        <v>45777</v>
      </c>
      <c r="G52" s="299" t="s">
        <v>248</v>
      </c>
      <c r="H52" s="299" t="s">
        <v>658</v>
      </c>
      <c r="I52" s="300">
        <v>7000</v>
      </c>
      <c r="J52" s="300">
        <v>1200</v>
      </c>
      <c r="K52" s="300"/>
      <c r="L52" s="300"/>
      <c r="M52" s="300"/>
      <c r="N52" s="300"/>
      <c r="O52" s="300"/>
      <c r="P52" s="300"/>
      <c r="Q52" s="300"/>
      <c r="R52" s="300"/>
      <c r="S52" s="300"/>
      <c r="T52" s="300">
        <v>275</v>
      </c>
      <c r="U52" s="300"/>
      <c r="V52" s="300">
        <f t="shared" si="2"/>
        <v>8475</v>
      </c>
      <c r="W52" s="300">
        <v>750</v>
      </c>
      <c r="X52" s="300">
        <v>7600</v>
      </c>
      <c r="Y52" s="300"/>
      <c r="Z52" s="300">
        <f t="shared" si="7"/>
        <v>875</v>
      </c>
      <c r="AA52" s="315" t="b">
        <v>1</v>
      </c>
      <c r="AB52" s="316"/>
      <c r="AC52" s="317"/>
      <c r="AF52" s="318">
        <f t="shared" si="3"/>
        <v>1475</v>
      </c>
      <c r="AG52" s="318">
        <f t="shared" si="4"/>
        <v>1475</v>
      </c>
      <c r="AH52" s="318">
        <f t="shared" si="5"/>
        <v>1475</v>
      </c>
    </row>
    <row r="53" spans="1:34" ht="15" customHeight="1">
      <c r="A53" s="299" t="s">
        <v>690</v>
      </c>
      <c r="B53" s="299" t="s">
        <v>713</v>
      </c>
      <c r="C53" s="301">
        <v>46172</v>
      </c>
      <c r="D53" s="301">
        <f t="shared" si="0"/>
        <v>46173</v>
      </c>
      <c r="E53" s="301">
        <v>45540</v>
      </c>
      <c r="F53" s="301">
        <f t="shared" si="1"/>
        <v>45565</v>
      </c>
      <c r="G53" s="299" t="s">
        <v>249</v>
      </c>
      <c r="H53" s="299" t="s">
        <v>658</v>
      </c>
      <c r="I53" s="300">
        <v>7750</v>
      </c>
      <c r="J53" s="300">
        <v>1200</v>
      </c>
      <c r="K53" s="300"/>
      <c r="L53" s="300"/>
      <c r="M53" s="300"/>
      <c r="N53" s="300"/>
      <c r="O53" s="300"/>
      <c r="P53" s="300"/>
      <c r="Q53" s="300"/>
      <c r="R53" s="300"/>
      <c r="S53" s="300"/>
      <c r="T53" s="300">
        <v>275</v>
      </c>
      <c r="U53" s="300"/>
      <c r="V53" s="300">
        <f t="shared" si="2"/>
        <v>9225</v>
      </c>
      <c r="W53" s="300">
        <v>750</v>
      </c>
      <c r="X53" s="300">
        <v>9225</v>
      </c>
      <c r="Y53" s="300"/>
      <c r="Z53" s="300">
        <f t="shared" si="7"/>
        <v>0</v>
      </c>
      <c r="AA53" s="315" t="b">
        <v>1</v>
      </c>
      <c r="AB53" s="316"/>
      <c r="AC53" s="317"/>
      <c r="AF53" s="318">
        <f t="shared" si="3"/>
        <v>1475</v>
      </c>
      <c r="AG53" s="318">
        <f t="shared" si="4"/>
        <v>1475</v>
      </c>
      <c r="AH53" s="318">
        <f t="shared" si="5"/>
        <v>1475</v>
      </c>
    </row>
    <row r="54" spans="1:34" ht="15" customHeight="1">
      <c r="A54" s="299" t="s">
        <v>690</v>
      </c>
      <c r="B54" s="299" t="s">
        <v>714</v>
      </c>
      <c r="C54" s="301">
        <v>46173</v>
      </c>
      <c r="D54" s="301">
        <f t="shared" si="0"/>
        <v>46173</v>
      </c>
      <c r="E54" s="301">
        <v>45708</v>
      </c>
      <c r="F54" s="301">
        <f t="shared" si="1"/>
        <v>45716</v>
      </c>
      <c r="G54" s="299" t="s">
        <v>249</v>
      </c>
      <c r="H54" s="299" t="s">
        <v>653</v>
      </c>
      <c r="I54" s="300">
        <v>8000</v>
      </c>
      <c r="J54" s="300">
        <v>0</v>
      </c>
      <c r="K54" s="300"/>
      <c r="L54" s="300"/>
      <c r="M54" s="300"/>
      <c r="N54" s="300"/>
      <c r="O54" s="300"/>
      <c r="P54" s="300"/>
      <c r="Q54" s="300"/>
      <c r="R54" s="300"/>
      <c r="S54" s="300"/>
      <c r="T54" s="300">
        <v>275</v>
      </c>
      <c r="U54" s="300"/>
      <c r="V54" s="300">
        <f t="shared" si="2"/>
        <v>8275</v>
      </c>
      <c r="W54" s="300">
        <v>750</v>
      </c>
      <c r="X54" s="300">
        <v>8275</v>
      </c>
      <c r="Y54" s="300"/>
      <c r="Z54" s="300">
        <f t="shared" si="7"/>
        <v>0</v>
      </c>
      <c r="AA54" s="315" t="b">
        <v>1</v>
      </c>
      <c r="AB54" s="316" t="s">
        <v>715</v>
      </c>
      <c r="AC54" s="317"/>
      <c r="AF54" s="318">
        <f t="shared" si="3"/>
        <v>275</v>
      </c>
      <c r="AG54" s="318">
        <f t="shared" si="4"/>
        <v>275</v>
      </c>
      <c r="AH54" s="318">
        <f t="shared" si="5"/>
        <v>275</v>
      </c>
    </row>
    <row r="55" spans="1:34" ht="15" customHeight="1">
      <c r="A55" s="299" t="s">
        <v>690</v>
      </c>
      <c r="B55" s="299" t="s">
        <v>716</v>
      </c>
      <c r="C55" s="301">
        <v>46178</v>
      </c>
      <c r="D55" s="301">
        <f t="shared" si="0"/>
        <v>46203</v>
      </c>
      <c r="E55" s="301">
        <v>45554</v>
      </c>
      <c r="F55" s="301">
        <f t="shared" si="1"/>
        <v>45565</v>
      </c>
      <c r="G55" s="299" t="s">
        <v>249</v>
      </c>
      <c r="H55" s="299" t="s">
        <v>658</v>
      </c>
      <c r="I55" s="300">
        <v>6750</v>
      </c>
      <c r="J55" s="300">
        <v>1200</v>
      </c>
      <c r="K55" s="300"/>
      <c r="L55" s="300"/>
      <c r="M55" s="300"/>
      <c r="N55" s="300"/>
      <c r="O55" s="300"/>
      <c r="P55" s="300"/>
      <c r="Q55" s="300"/>
      <c r="R55" s="300"/>
      <c r="S55" s="300"/>
      <c r="T55" s="300" t="s">
        <v>697</v>
      </c>
      <c r="U55" s="300"/>
      <c r="V55" s="300">
        <f t="shared" si="2"/>
        <v>7950</v>
      </c>
      <c r="W55" s="300">
        <v>750</v>
      </c>
      <c r="X55" s="300">
        <v>7950</v>
      </c>
      <c r="Y55" s="300"/>
      <c r="Z55" s="300">
        <f t="shared" si="7"/>
        <v>0</v>
      </c>
      <c r="AA55" s="315" t="b">
        <v>1</v>
      </c>
      <c r="AB55" s="316"/>
      <c r="AC55" s="317"/>
      <c r="AF55" s="318">
        <f t="shared" si="3"/>
        <v>1200</v>
      </c>
      <c r="AG55" s="318">
        <f t="shared" si="4"/>
        <v>1200</v>
      </c>
      <c r="AH55" s="318">
        <f t="shared" si="5"/>
        <v>1200</v>
      </c>
    </row>
    <row r="56" spans="1:34" ht="15" customHeight="1">
      <c r="A56" s="299" t="s">
        <v>690</v>
      </c>
      <c r="B56" s="299" t="s">
        <v>717</v>
      </c>
      <c r="C56" s="301">
        <v>46179</v>
      </c>
      <c r="D56" s="301">
        <f t="shared" si="0"/>
        <v>46203</v>
      </c>
      <c r="E56" s="301">
        <v>45891</v>
      </c>
      <c r="F56" s="301">
        <f t="shared" si="1"/>
        <v>45900</v>
      </c>
      <c r="G56" s="299" t="s">
        <v>248</v>
      </c>
      <c r="H56" s="299" t="s">
        <v>653</v>
      </c>
      <c r="I56" s="300">
        <v>7250</v>
      </c>
      <c r="J56" s="300">
        <v>0</v>
      </c>
      <c r="K56" s="300"/>
      <c r="L56" s="300"/>
      <c r="M56" s="300"/>
      <c r="N56" s="300"/>
      <c r="O56" s="300"/>
      <c r="P56" s="300"/>
      <c r="Q56" s="300"/>
      <c r="R56" s="300"/>
      <c r="S56" s="300"/>
      <c r="T56" s="300">
        <v>275</v>
      </c>
      <c r="U56" s="300"/>
      <c r="V56" s="300">
        <f t="shared" si="2"/>
        <v>7525</v>
      </c>
      <c r="W56" s="300">
        <v>750</v>
      </c>
      <c r="X56" s="300">
        <v>7250</v>
      </c>
      <c r="Y56" s="300"/>
      <c r="Z56" s="300">
        <f t="shared" si="7"/>
        <v>275</v>
      </c>
      <c r="AA56" s="315" t="b">
        <v>1</v>
      </c>
      <c r="AB56" s="316"/>
      <c r="AC56" s="317"/>
      <c r="AF56" s="318">
        <f t="shared" si="3"/>
        <v>275</v>
      </c>
      <c r="AG56" s="318">
        <f t="shared" si="4"/>
        <v>275</v>
      </c>
      <c r="AH56" s="318">
        <f t="shared" si="5"/>
        <v>275</v>
      </c>
    </row>
    <row r="57" spans="1:34" ht="15" customHeight="1">
      <c r="A57" s="299" t="s">
        <v>690</v>
      </c>
      <c r="B57" s="299" t="s">
        <v>718</v>
      </c>
      <c r="C57" s="301">
        <v>46179</v>
      </c>
      <c r="D57" s="301">
        <f t="shared" si="0"/>
        <v>46203</v>
      </c>
      <c r="E57" s="301">
        <v>45791</v>
      </c>
      <c r="F57" s="301">
        <f t="shared" si="1"/>
        <v>45808</v>
      </c>
      <c r="G57" s="299" t="s">
        <v>249</v>
      </c>
      <c r="H57" s="299" t="s">
        <v>653</v>
      </c>
      <c r="I57" s="300">
        <v>8000</v>
      </c>
      <c r="J57" s="300">
        <v>0</v>
      </c>
      <c r="K57" s="300"/>
      <c r="L57" s="300"/>
      <c r="M57" s="300"/>
      <c r="N57" s="300"/>
      <c r="O57" s="300"/>
      <c r="P57" s="300"/>
      <c r="Q57" s="300"/>
      <c r="R57" s="300"/>
      <c r="S57" s="300"/>
      <c r="T57" s="300">
        <v>275</v>
      </c>
      <c r="U57" s="300"/>
      <c r="V57" s="300">
        <f t="shared" si="2"/>
        <v>8275</v>
      </c>
      <c r="W57" s="300">
        <v>750</v>
      </c>
      <c r="X57" s="300">
        <v>8275</v>
      </c>
      <c r="Y57" s="300"/>
      <c r="Z57" s="300">
        <f t="shared" si="7"/>
        <v>0</v>
      </c>
      <c r="AA57" s="315" t="b">
        <v>1</v>
      </c>
      <c r="AB57" s="316"/>
      <c r="AC57" s="317"/>
      <c r="AF57" s="318">
        <f t="shared" si="3"/>
        <v>275</v>
      </c>
      <c r="AG57" s="318">
        <f t="shared" si="4"/>
        <v>275</v>
      </c>
      <c r="AH57" s="318">
        <f t="shared" si="5"/>
        <v>275</v>
      </c>
    </row>
    <row r="58" spans="1:34" ht="15" customHeight="1">
      <c r="A58" s="299" t="s">
        <v>690</v>
      </c>
      <c r="B58" s="299" t="s">
        <v>719</v>
      </c>
      <c r="C58" s="301">
        <v>46180</v>
      </c>
      <c r="D58" s="301">
        <f t="shared" si="0"/>
        <v>46203</v>
      </c>
      <c r="E58" s="301">
        <v>45813</v>
      </c>
      <c r="F58" s="301">
        <f t="shared" si="1"/>
        <v>45838</v>
      </c>
      <c r="G58" s="299" t="s">
        <v>249</v>
      </c>
      <c r="H58" s="299" t="s">
        <v>658</v>
      </c>
      <c r="I58" s="300">
        <v>7200</v>
      </c>
      <c r="J58" s="300">
        <v>1400</v>
      </c>
      <c r="K58" s="300"/>
      <c r="L58" s="300"/>
      <c r="M58" s="300"/>
      <c r="N58" s="300"/>
      <c r="O58" s="300"/>
      <c r="P58" s="300"/>
      <c r="Q58" s="300"/>
      <c r="R58" s="300"/>
      <c r="S58" s="300"/>
      <c r="T58" s="300" t="s">
        <v>697</v>
      </c>
      <c r="U58" s="300"/>
      <c r="V58" s="300">
        <f t="shared" si="2"/>
        <v>8600</v>
      </c>
      <c r="W58" s="300">
        <v>750</v>
      </c>
      <c r="X58" s="300">
        <v>8600</v>
      </c>
      <c r="Y58" s="300"/>
      <c r="Z58" s="300">
        <f t="shared" si="7"/>
        <v>0</v>
      </c>
      <c r="AA58" s="315" t="b">
        <v>1</v>
      </c>
      <c r="AB58" s="316"/>
      <c r="AC58" s="317"/>
      <c r="AF58" s="318">
        <f t="shared" si="3"/>
        <v>1400</v>
      </c>
      <c r="AG58" s="318">
        <f t="shared" si="4"/>
        <v>1400</v>
      </c>
      <c r="AH58" s="318">
        <f t="shared" si="5"/>
        <v>1400</v>
      </c>
    </row>
    <row r="59" spans="1:34" ht="15" customHeight="1">
      <c r="A59" s="299" t="s">
        <v>690</v>
      </c>
      <c r="B59" s="299" t="s">
        <v>720</v>
      </c>
      <c r="C59" s="301">
        <v>46182</v>
      </c>
      <c r="D59" s="301">
        <f t="shared" si="0"/>
        <v>46203</v>
      </c>
      <c r="E59" s="301">
        <v>46095</v>
      </c>
      <c r="F59" s="301">
        <f t="shared" si="1"/>
        <v>46112</v>
      </c>
      <c r="G59" s="299" t="s">
        <v>250</v>
      </c>
      <c r="H59" s="299" t="s">
        <v>653</v>
      </c>
      <c r="I59" s="300">
        <v>1750</v>
      </c>
      <c r="J59" s="300">
        <v>0</v>
      </c>
      <c r="K59" s="300"/>
      <c r="L59" s="300"/>
      <c r="M59" s="300"/>
      <c r="N59" s="300"/>
      <c r="O59" s="300"/>
      <c r="P59" s="300"/>
      <c r="Q59" s="300"/>
      <c r="R59" s="300"/>
      <c r="S59" s="300"/>
      <c r="T59" s="300" t="s">
        <v>697</v>
      </c>
      <c r="U59" s="300"/>
      <c r="V59" s="300">
        <f t="shared" si="2"/>
        <v>1750</v>
      </c>
      <c r="W59" s="300">
        <v>500</v>
      </c>
      <c r="X59" s="300">
        <f>875+875</f>
        <v>1750</v>
      </c>
      <c r="Y59" s="300"/>
      <c r="Z59" s="300">
        <f t="shared" si="7"/>
        <v>0</v>
      </c>
      <c r="AA59" s="315" t="b">
        <v>1</v>
      </c>
      <c r="AB59" s="316"/>
      <c r="AC59" s="317"/>
      <c r="AF59" s="318">
        <f t="shared" si="3"/>
        <v>0</v>
      </c>
      <c r="AG59" s="318">
        <f t="shared" si="4"/>
        <v>0</v>
      </c>
      <c r="AH59" s="318">
        <f t="shared" si="5"/>
        <v>0</v>
      </c>
    </row>
    <row r="60" spans="1:34" ht="15" customHeight="1">
      <c r="A60" s="299" t="s">
        <v>690</v>
      </c>
      <c r="B60" s="299" t="s">
        <v>721</v>
      </c>
      <c r="C60" s="301">
        <v>46185</v>
      </c>
      <c r="D60" s="301">
        <f t="shared" si="0"/>
        <v>46203</v>
      </c>
      <c r="E60" s="301">
        <v>45587</v>
      </c>
      <c r="F60" s="301">
        <f t="shared" si="1"/>
        <v>45596</v>
      </c>
      <c r="G60" s="299" t="s">
        <v>249</v>
      </c>
      <c r="H60" s="299" t="s">
        <v>658</v>
      </c>
      <c r="I60" s="300">
        <v>6750</v>
      </c>
      <c r="J60" s="300">
        <v>1500</v>
      </c>
      <c r="K60" s="300"/>
      <c r="L60" s="300"/>
      <c r="M60" s="300"/>
      <c r="N60" s="300"/>
      <c r="O60" s="300"/>
      <c r="P60" s="300"/>
      <c r="Q60" s="300"/>
      <c r="R60" s="300"/>
      <c r="S60" s="300"/>
      <c r="T60" s="300">
        <v>275</v>
      </c>
      <c r="U60" s="300">
        <v>600</v>
      </c>
      <c r="V60" s="300">
        <f t="shared" si="2"/>
        <v>9125</v>
      </c>
      <c r="W60" s="300">
        <v>750</v>
      </c>
      <c r="X60" s="300">
        <v>8850</v>
      </c>
      <c r="Y60" s="300"/>
      <c r="Z60" s="300">
        <f t="shared" si="7"/>
        <v>275</v>
      </c>
      <c r="AA60" s="315" t="b">
        <v>1</v>
      </c>
      <c r="AB60" s="316" t="s">
        <v>722</v>
      </c>
      <c r="AC60" s="317"/>
      <c r="AF60" s="318">
        <f t="shared" si="3"/>
        <v>2375</v>
      </c>
      <c r="AG60" s="318">
        <f t="shared" si="4"/>
        <v>2375</v>
      </c>
      <c r="AH60" s="318">
        <f t="shared" si="5"/>
        <v>1775</v>
      </c>
    </row>
    <row r="61" spans="1:34" ht="15" customHeight="1">
      <c r="A61" s="299" t="s">
        <v>690</v>
      </c>
      <c r="B61" s="299" t="s">
        <v>723</v>
      </c>
      <c r="C61" s="301">
        <v>46186</v>
      </c>
      <c r="D61" s="301">
        <f t="shared" si="0"/>
        <v>46203</v>
      </c>
      <c r="E61" s="301">
        <v>45801</v>
      </c>
      <c r="F61" s="301">
        <f t="shared" si="1"/>
        <v>45808</v>
      </c>
      <c r="G61" s="299" t="s">
        <v>248</v>
      </c>
      <c r="H61" s="299" t="s">
        <v>658</v>
      </c>
      <c r="I61" s="300">
        <v>7000</v>
      </c>
      <c r="J61" s="300">
        <v>1400</v>
      </c>
      <c r="K61" s="300"/>
      <c r="L61" s="300"/>
      <c r="M61" s="300"/>
      <c r="N61" s="300"/>
      <c r="O61" s="300"/>
      <c r="P61" s="300"/>
      <c r="Q61" s="300"/>
      <c r="R61" s="300"/>
      <c r="S61" s="300"/>
      <c r="T61" s="300">
        <v>275</v>
      </c>
      <c r="U61" s="300"/>
      <c r="V61" s="300">
        <f t="shared" si="2"/>
        <v>8675</v>
      </c>
      <c r="W61" s="300">
        <v>750</v>
      </c>
      <c r="X61" s="300">
        <v>8400</v>
      </c>
      <c r="Y61" s="300"/>
      <c r="Z61" s="300">
        <f t="shared" si="7"/>
        <v>275</v>
      </c>
      <c r="AA61" s="315" t="b">
        <v>1</v>
      </c>
      <c r="AB61" s="316"/>
      <c r="AC61" s="317"/>
      <c r="AF61" s="318">
        <f t="shared" si="3"/>
        <v>1675</v>
      </c>
      <c r="AG61" s="318">
        <f t="shared" si="4"/>
        <v>1675</v>
      </c>
      <c r="AH61" s="318">
        <f t="shared" si="5"/>
        <v>1675</v>
      </c>
    </row>
    <row r="62" spans="1:34" ht="15" customHeight="1">
      <c r="A62" s="299" t="s">
        <v>690</v>
      </c>
      <c r="B62" s="299" t="s">
        <v>724</v>
      </c>
      <c r="C62" s="301">
        <v>46186</v>
      </c>
      <c r="D62" s="301">
        <f t="shared" si="0"/>
        <v>46203</v>
      </c>
      <c r="E62" s="301">
        <v>45624</v>
      </c>
      <c r="F62" s="301">
        <f t="shared" si="1"/>
        <v>45626</v>
      </c>
      <c r="G62" s="299" t="s">
        <v>249</v>
      </c>
      <c r="H62" s="299" t="s">
        <v>653</v>
      </c>
      <c r="I62" s="300">
        <v>8000</v>
      </c>
      <c r="J62" s="300">
        <v>0</v>
      </c>
      <c r="K62" s="300"/>
      <c r="L62" s="300"/>
      <c r="M62" s="300"/>
      <c r="N62" s="300"/>
      <c r="O62" s="300"/>
      <c r="P62" s="300"/>
      <c r="Q62" s="300"/>
      <c r="R62" s="300"/>
      <c r="S62" s="300"/>
      <c r="T62" s="300" t="s">
        <v>697</v>
      </c>
      <c r="U62" s="300"/>
      <c r="V62" s="300">
        <f t="shared" si="2"/>
        <v>8000</v>
      </c>
      <c r="W62" s="300">
        <v>750</v>
      </c>
      <c r="X62" s="300">
        <v>8000</v>
      </c>
      <c r="Y62" s="300"/>
      <c r="Z62" s="300">
        <f t="shared" si="7"/>
        <v>0</v>
      </c>
      <c r="AA62" s="315" t="b">
        <v>1</v>
      </c>
      <c r="AB62" s="316"/>
      <c r="AC62" s="317"/>
      <c r="AF62" s="318">
        <f t="shared" si="3"/>
        <v>0</v>
      </c>
      <c r="AG62" s="318">
        <f t="shared" si="4"/>
        <v>0</v>
      </c>
      <c r="AH62" s="318">
        <f t="shared" si="5"/>
        <v>0</v>
      </c>
    </row>
    <row r="63" spans="1:34" ht="15" customHeight="1">
      <c r="A63" s="299" t="s">
        <v>690</v>
      </c>
      <c r="B63" s="299" t="s">
        <v>725</v>
      </c>
      <c r="C63" s="301">
        <v>46187</v>
      </c>
      <c r="D63" s="301">
        <f t="shared" si="0"/>
        <v>46203</v>
      </c>
      <c r="E63" s="301">
        <v>45874</v>
      </c>
      <c r="F63" s="301">
        <f t="shared" si="1"/>
        <v>45900</v>
      </c>
      <c r="G63" s="299" t="s">
        <v>249</v>
      </c>
      <c r="H63" s="299" t="s">
        <v>653</v>
      </c>
      <c r="I63" s="300">
        <v>8250</v>
      </c>
      <c r="J63" s="300">
        <v>0</v>
      </c>
      <c r="K63" s="300"/>
      <c r="L63" s="300"/>
      <c r="M63" s="300"/>
      <c r="N63" s="300"/>
      <c r="O63" s="300"/>
      <c r="P63" s="300"/>
      <c r="Q63" s="300"/>
      <c r="R63" s="300"/>
      <c r="S63" s="300"/>
      <c r="T63" s="300">
        <v>275</v>
      </c>
      <c r="U63" s="300"/>
      <c r="V63" s="300">
        <f t="shared" si="2"/>
        <v>8525</v>
      </c>
      <c r="W63" s="300">
        <v>750</v>
      </c>
      <c r="X63" s="300">
        <v>8250</v>
      </c>
      <c r="Y63" s="300"/>
      <c r="Z63" s="300">
        <f t="shared" si="7"/>
        <v>275</v>
      </c>
      <c r="AA63" s="315" t="b">
        <v>1</v>
      </c>
      <c r="AB63" s="316"/>
      <c r="AC63" s="317"/>
      <c r="AF63" s="318">
        <f t="shared" si="3"/>
        <v>275</v>
      </c>
      <c r="AG63" s="318">
        <f t="shared" si="4"/>
        <v>275</v>
      </c>
      <c r="AH63" s="318">
        <f t="shared" si="5"/>
        <v>275</v>
      </c>
    </row>
    <row r="64" spans="1:34" ht="15" customHeight="1">
      <c r="A64" s="299" t="s">
        <v>690</v>
      </c>
      <c r="B64" s="299" t="s">
        <v>726</v>
      </c>
      <c r="C64" s="301">
        <v>46192</v>
      </c>
      <c r="D64" s="301">
        <f t="shared" si="0"/>
        <v>46203</v>
      </c>
      <c r="E64" s="301">
        <v>45679</v>
      </c>
      <c r="F64" s="301">
        <f t="shared" si="1"/>
        <v>45688</v>
      </c>
      <c r="G64" s="299" t="s">
        <v>249</v>
      </c>
      <c r="H64" s="299" t="s">
        <v>653</v>
      </c>
      <c r="I64" s="300">
        <v>9000</v>
      </c>
      <c r="J64" s="300">
        <v>0</v>
      </c>
      <c r="K64" s="300"/>
      <c r="L64" s="300"/>
      <c r="M64" s="300"/>
      <c r="N64" s="300"/>
      <c r="O64" s="300"/>
      <c r="P64" s="300"/>
      <c r="Q64" s="300"/>
      <c r="R64" s="300"/>
      <c r="S64" s="300"/>
      <c r="T64" s="300">
        <v>275</v>
      </c>
      <c r="U64" s="300"/>
      <c r="V64" s="300">
        <f t="shared" si="2"/>
        <v>9275</v>
      </c>
      <c r="W64" s="300">
        <v>750</v>
      </c>
      <c r="X64" s="300">
        <v>9000</v>
      </c>
      <c r="Y64" s="300"/>
      <c r="Z64" s="300">
        <f t="shared" si="7"/>
        <v>275</v>
      </c>
      <c r="AA64" s="315" t="b">
        <v>1</v>
      </c>
      <c r="AB64" s="316"/>
      <c r="AC64" s="317"/>
      <c r="AF64" s="318">
        <f t="shared" si="3"/>
        <v>275</v>
      </c>
      <c r="AG64" s="318">
        <f t="shared" si="4"/>
        <v>275</v>
      </c>
      <c r="AH64" s="318">
        <f t="shared" si="5"/>
        <v>275</v>
      </c>
    </row>
    <row r="65" spans="1:34" ht="15" customHeight="1">
      <c r="A65" s="299" t="s">
        <v>690</v>
      </c>
      <c r="B65" s="299" t="s">
        <v>727</v>
      </c>
      <c r="C65" s="301">
        <v>46193</v>
      </c>
      <c r="D65" s="301">
        <f t="shared" si="0"/>
        <v>46203</v>
      </c>
      <c r="E65" s="301">
        <v>45628</v>
      </c>
      <c r="F65" s="301">
        <f t="shared" si="1"/>
        <v>45657</v>
      </c>
      <c r="G65" s="299" t="s">
        <v>249</v>
      </c>
      <c r="H65" s="299" t="s">
        <v>653</v>
      </c>
      <c r="I65" s="300">
        <v>8000</v>
      </c>
      <c r="J65" s="300">
        <v>0</v>
      </c>
      <c r="K65" s="300"/>
      <c r="L65" s="300"/>
      <c r="M65" s="300"/>
      <c r="N65" s="300"/>
      <c r="O65" s="300"/>
      <c r="P65" s="300"/>
      <c r="Q65" s="300"/>
      <c r="R65" s="300"/>
      <c r="S65" s="300"/>
      <c r="T65" s="300">
        <v>275</v>
      </c>
      <c r="U65" s="300"/>
      <c r="V65" s="300">
        <f t="shared" si="2"/>
        <v>8275</v>
      </c>
      <c r="W65" s="300">
        <v>750</v>
      </c>
      <c r="X65" s="300">
        <v>8000</v>
      </c>
      <c r="Y65" s="300"/>
      <c r="Z65" s="300">
        <f t="shared" si="7"/>
        <v>275</v>
      </c>
      <c r="AA65" s="315" t="b">
        <v>1</v>
      </c>
      <c r="AB65" s="316"/>
      <c r="AC65" s="317"/>
      <c r="AF65" s="318">
        <f t="shared" si="3"/>
        <v>275</v>
      </c>
      <c r="AG65" s="318">
        <f t="shared" si="4"/>
        <v>275</v>
      </c>
      <c r="AH65" s="318">
        <f t="shared" si="5"/>
        <v>275</v>
      </c>
    </row>
    <row r="66" spans="1:34" ht="15" customHeight="1">
      <c r="A66" s="299" t="s">
        <v>690</v>
      </c>
      <c r="B66" s="299" t="s">
        <v>728</v>
      </c>
      <c r="C66" s="301">
        <v>46196</v>
      </c>
      <c r="D66" s="301">
        <f t="shared" si="0"/>
        <v>46203</v>
      </c>
      <c r="E66" s="301" t="s">
        <v>121</v>
      </c>
      <c r="F66" s="301" t="str">
        <f t="shared" si="1"/>
        <v>-</v>
      </c>
      <c r="G66" s="299" t="s">
        <v>250</v>
      </c>
      <c r="H66" s="299" t="s">
        <v>653</v>
      </c>
      <c r="I66" s="300">
        <v>1750</v>
      </c>
      <c r="J66" s="300" t="s">
        <v>121</v>
      </c>
      <c r="K66" s="300"/>
      <c r="L66" s="300"/>
      <c r="M66" s="300"/>
      <c r="N66" s="300"/>
      <c r="O66" s="300"/>
      <c r="P66" s="300"/>
      <c r="Q66" s="300"/>
      <c r="R66" s="300"/>
      <c r="S66" s="300"/>
      <c r="T66" s="300" t="s">
        <v>697</v>
      </c>
      <c r="U66" s="300"/>
      <c r="V66" s="300">
        <f t="shared" si="2"/>
        <v>1750</v>
      </c>
      <c r="W66" s="300">
        <v>500</v>
      </c>
      <c r="X66" s="300">
        <v>875</v>
      </c>
      <c r="Y66" s="300"/>
      <c r="Z66" s="300">
        <v>875</v>
      </c>
      <c r="AA66" s="315" t="b">
        <v>1</v>
      </c>
      <c r="AB66" s="316"/>
      <c r="AC66" s="317"/>
      <c r="AF66" s="318">
        <f t="shared" si="3"/>
        <v>0</v>
      </c>
      <c r="AG66" s="318">
        <f t="shared" si="4"/>
        <v>0</v>
      </c>
      <c r="AH66" s="318">
        <f t="shared" si="5"/>
        <v>0</v>
      </c>
    </row>
    <row r="67" spans="1:34" ht="15" customHeight="1">
      <c r="A67" s="299" t="s">
        <v>690</v>
      </c>
      <c r="B67" s="299" t="s">
        <v>729</v>
      </c>
      <c r="C67" s="301">
        <v>46196</v>
      </c>
      <c r="D67" s="301">
        <f t="shared" si="0"/>
        <v>46203</v>
      </c>
      <c r="E67" s="301">
        <v>46002</v>
      </c>
      <c r="F67" s="301">
        <f t="shared" si="1"/>
        <v>46022</v>
      </c>
      <c r="G67" s="299" t="s">
        <v>250</v>
      </c>
      <c r="H67" s="299" t="s">
        <v>653</v>
      </c>
      <c r="I67" s="300">
        <v>1750</v>
      </c>
      <c r="J67" s="300">
        <v>0</v>
      </c>
      <c r="K67" s="300"/>
      <c r="L67" s="300"/>
      <c r="M67" s="300"/>
      <c r="N67" s="300"/>
      <c r="O67" s="300"/>
      <c r="P67" s="300"/>
      <c r="Q67" s="300"/>
      <c r="R67" s="300"/>
      <c r="S67" s="300"/>
      <c r="T67" s="300" t="s">
        <v>697</v>
      </c>
      <c r="U67" s="300"/>
      <c r="V67" s="300">
        <f t="shared" si="2"/>
        <v>1750</v>
      </c>
      <c r="W67" s="300">
        <v>500</v>
      </c>
      <c r="X67" s="300">
        <v>1750</v>
      </c>
      <c r="Y67" s="300"/>
      <c r="Z67" s="300">
        <f t="shared" ref="Z67:Z78" si="8">V67-X67</f>
        <v>0</v>
      </c>
      <c r="AA67" s="315" t="b">
        <v>1</v>
      </c>
      <c r="AB67" s="316"/>
      <c r="AC67" s="317"/>
      <c r="AF67" s="318">
        <f t="shared" si="3"/>
        <v>0</v>
      </c>
      <c r="AG67" s="318">
        <f t="shared" si="4"/>
        <v>0</v>
      </c>
      <c r="AH67" s="318">
        <f t="shared" si="5"/>
        <v>0</v>
      </c>
    </row>
    <row r="68" spans="1:34" ht="15" customHeight="1">
      <c r="A68" s="299" t="s">
        <v>690</v>
      </c>
      <c r="B68" s="299" t="s">
        <v>612</v>
      </c>
      <c r="C68" s="301">
        <v>46199</v>
      </c>
      <c r="D68" s="301">
        <f t="shared" si="0"/>
        <v>46203</v>
      </c>
      <c r="E68" s="301">
        <v>45708</v>
      </c>
      <c r="F68" s="301">
        <f t="shared" si="1"/>
        <v>45716</v>
      </c>
      <c r="G68" s="299" t="s">
        <v>249</v>
      </c>
      <c r="H68" s="299" t="s">
        <v>674</v>
      </c>
      <c r="I68" s="300">
        <v>7500</v>
      </c>
      <c r="J68" s="300">
        <v>2000</v>
      </c>
      <c r="K68" s="300">
        <v>3600</v>
      </c>
      <c r="L68" s="300">
        <v>2000</v>
      </c>
      <c r="M68" s="300">
        <v>4000</v>
      </c>
      <c r="N68" s="300">
        <v>5000</v>
      </c>
      <c r="O68" s="300">
        <v>1520</v>
      </c>
      <c r="P68" s="300">
        <v>3000</v>
      </c>
      <c r="Q68" s="300"/>
      <c r="R68" s="300"/>
      <c r="S68" s="300">
        <v>4000</v>
      </c>
      <c r="T68" s="300">
        <v>275</v>
      </c>
      <c r="U68" s="300"/>
      <c r="V68" s="300">
        <f t="shared" si="2"/>
        <v>32895</v>
      </c>
      <c r="W68" s="300">
        <v>750</v>
      </c>
      <c r="X68" s="300">
        <v>32620</v>
      </c>
      <c r="Y68" s="300"/>
      <c r="Z68" s="300">
        <f t="shared" si="8"/>
        <v>275</v>
      </c>
      <c r="AA68" s="315" t="b">
        <v>1</v>
      </c>
      <c r="AB68" s="316"/>
      <c r="AC68" s="317"/>
      <c r="AF68" s="318">
        <f t="shared" si="3"/>
        <v>11275</v>
      </c>
      <c r="AG68" s="318">
        <f t="shared" si="4"/>
        <v>25395</v>
      </c>
      <c r="AH68" s="318">
        <f t="shared" si="5"/>
        <v>21395</v>
      </c>
    </row>
    <row r="69" spans="1:34" ht="15" customHeight="1">
      <c r="A69" s="299" t="s">
        <v>690</v>
      </c>
      <c r="B69" s="299" t="s">
        <v>730</v>
      </c>
      <c r="C69" s="301">
        <v>46200</v>
      </c>
      <c r="D69" s="301">
        <f t="shared" si="0"/>
        <v>46203</v>
      </c>
      <c r="E69" s="301">
        <v>45705</v>
      </c>
      <c r="F69" s="301">
        <f t="shared" si="1"/>
        <v>45716</v>
      </c>
      <c r="G69" s="299" t="s">
        <v>249</v>
      </c>
      <c r="H69" s="299" t="s">
        <v>658</v>
      </c>
      <c r="I69" s="300">
        <v>8000</v>
      </c>
      <c r="J69" s="300">
        <v>1400</v>
      </c>
      <c r="K69" s="300"/>
      <c r="L69" s="300"/>
      <c r="M69" s="300"/>
      <c r="N69" s="300"/>
      <c r="O69" s="300"/>
      <c r="P69" s="300"/>
      <c r="Q69" s="300"/>
      <c r="R69" s="300"/>
      <c r="S69" s="300"/>
      <c r="T69" s="300">
        <v>275</v>
      </c>
      <c r="U69" s="300"/>
      <c r="V69" s="300">
        <f t="shared" si="2"/>
        <v>9675</v>
      </c>
      <c r="W69" s="300">
        <v>750</v>
      </c>
      <c r="X69" s="300">
        <v>9400</v>
      </c>
      <c r="Y69" s="300"/>
      <c r="Z69" s="300">
        <f t="shared" si="8"/>
        <v>275</v>
      </c>
      <c r="AA69" s="315" t="b">
        <v>1</v>
      </c>
      <c r="AB69" s="316"/>
      <c r="AC69" s="317"/>
      <c r="AF69" s="318">
        <f t="shared" si="3"/>
        <v>1675</v>
      </c>
      <c r="AG69" s="318">
        <f t="shared" si="4"/>
        <v>1675</v>
      </c>
      <c r="AH69" s="318">
        <f t="shared" si="5"/>
        <v>1675</v>
      </c>
    </row>
    <row r="70" spans="1:34" ht="15" customHeight="1">
      <c r="A70" s="299" t="s">
        <v>690</v>
      </c>
      <c r="B70" s="299" t="s">
        <v>731</v>
      </c>
      <c r="C70" s="301">
        <v>46203</v>
      </c>
      <c r="D70" s="301">
        <f t="shared" si="0"/>
        <v>46203</v>
      </c>
      <c r="E70" s="301">
        <v>45854</v>
      </c>
      <c r="F70" s="301">
        <f t="shared" si="1"/>
        <v>45869</v>
      </c>
      <c r="G70" s="299" t="s">
        <v>250</v>
      </c>
      <c r="H70" s="299" t="s">
        <v>653</v>
      </c>
      <c r="I70" s="300">
        <v>1750</v>
      </c>
      <c r="J70" s="300">
        <v>0</v>
      </c>
      <c r="K70" s="300"/>
      <c r="L70" s="300"/>
      <c r="M70" s="300"/>
      <c r="N70" s="300"/>
      <c r="O70" s="300"/>
      <c r="P70" s="300"/>
      <c r="Q70" s="300"/>
      <c r="R70" s="300"/>
      <c r="S70" s="300"/>
      <c r="T70" s="300" t="s">
        <v>697</v>
      </c>
      <c r="U70" s="300"/>
      <c r="V70" s="300">
        <f t="shared" si="2"/>
        <v>1750</v>
      </c>
      <c r="W70" s="300">
        <v>500</v>
      </c>
      <c r="X70" s="300">
        <v>1750</v>
      </c>
      <c r="Y70" s="300"/>
      <c r="Z70" s="300">
        <f t="shared" si="8"/>
        <v>0</v>
      </c>
      <c r="AA70" s="315" t="b">
        <v>1</v>
      </c>
      <c r="AB70" s="316"/>
      <c r="AC70" s="317"/>
      <c r="AF70" s="318">
        <f t="shared" si="3"/>
        <v>0</v>
      </c>
      <c r="AG70" s="318">
        <f t="shared" si="4"/>
        <v>0</v>
      </c>
      <c r="AH70" s="318">
        <f t="shared" si="5"/>
        <v>0</v>
      </c>
    </row>
    <row r="71" spans="1:34" ht="15" customHeight="1">
      <c r="A71" s="299" t="s">
        <v>690</v>
      </c>
      <c r="B71" s="299" t="s">
        <v>732</v>
      </c>
      <c r="C71" s="301">
        <v>46214</v>
      </c>
      <c r="D71" s="301">
        <f t="shared" si="0"/>
        <v>46234</v>
      </c>
      <c r="E71" s="301">
        <v>45721</v>
      </c>
      <c r="F71" s="301">
        <f t="shared" si="1"/>
        <v>45747</v>
      </c>
      <c r="G71" s="299" t="s">
        <v>249</v>
      </c>
      <c r="H71" s="299" t="s">
        <v>653</v>
      </c>
      <c r="I71" s="300">
        <v>8000</v>
      </c>
      <c r="J71" s="300">
        <v>0</v>
      </c>
      <c r="K71" s="300"/>
      <c r="L71" s="300"/>
      <c r="M71" s="300"/>
      <c r="N71" s="300"/>
      <c r="O71" s="300"/>
      <c r="P71" s="300"/>
      <c r="Q71" s="300"/>
      <c r="R71" s="300"/>
      <c r="S71" s="300"/>
      <c r="T71" s="300" t="s">
        <v>697</v>
      </c>
      <c r="U71" s="300"/>
      <c r="V71" s="300">
        <f t="shared" si="2"/>
        <v>8000</v>
      </c>
      <c r="W71" s="300">
        <v>750</v>
      </c>
      <c r="X71" s="300">
        <v>8000</v>
      </c>
      <c r="Y71" s="300"/>
      <c r="Z71" s="300">
        <f t="shared" si="8"/>
        <v>0</v>
      </c>
      <c r="AA71" s="315" t="b">
        <v>1</v>
      </c>
      <c r="AB71" s="316"/>
      <c r="AC71" s="317"/>
      <c r="AF71" s="318">
        <f t="shared" si="3"/>
        <v>0</v>
      </c>
      <c r="AG71" s="318">
        <f t="shared" si="4"/>
        <v>0</v>
      </c>
      <c r="AH71" s="318">
        <f t="shared" si="5"/>
        <v>0</v>
      </c>
    </row>
    <row r="72" spans="1:34" ht="15" customHeight="1">
      <c r="A72" s="299" t="s">
        <v>690</v>
      </c>
      <c r="B72" s="299" t="s">
        <v>733</v>
      </c>
      <c r="C72" s="301">
        <v>46215</v>
      </c>
      <c r="D72" s="301">
        <f t="shared" si="0"/>
        <v>46234</v>
      </c>
      <c r="E72" s="301" t="s">
        <v>121</v>
      </c>
      <c r="F72" s="301" t="str">
        <f t="shared" si="1"/>
        <v>-</v>
      </c>
      <c r="G72" s="299" t="s">
        <v>249</v>
      </c>
      <c r="H72" s="299" t="s">
        <v>653</v>
      </c>
      <c r="I72" s="300">
        <v>8250</v>
      </c>
      <c r="J72" s="300">
        <v>0</v>
      </c>
      <c r="K72" s="300"/>
      <c r="L72" s="300"/>
      <c r="M72" s="300"/>
      <c r="N72" s="300"/>
      <c r="O72" s="300"/>
      <c r="P72" s="300"/>
      <c r="Q72" s="300"/>
      <c r="R72" s="300"/>
      <c r="S72" s="300"/>
      <c r="T72" s="300">
        <v>275</v>
      </c>
      <c r="U72" s="300"/>
      <c r="V72" s="300">
        <f t="shared" si="2"/>
        <v>8525</v>
      </c>
      <c r="W72" s="300">
        <v>750</v>
      </c>
      <c r="X72" s="300">
        <v>8250</v>
      </c>
      <c r="Y72" s="300"/>
      <c r="Z72" s="300">
        <f t="shared" si="8"/>
        <v>275</v>
      </c>
      <c r="AA72" s="315" t="b">
        <v>1</v>
      </c>
      <c r="AB72" s="316"/>
      <c r="AC72" s="317"/>
      <c r="AF72" s="318">
        <f t="shared" si="3"/>
        <v>275</v>
      </c>
      <c r="AG72" s="318">
        <f t="shared" si="4"/>
        <v>275</v>
      </c>
      <c r="AH72" s="318">
        <f t="shared" si="5"/>
        <v>275</v>
      </c>
    </row>
    <row r="73" spans="1:34" ht="15" customHeight="1">
      <c r="A73" s="299" t="s">
        <v>690</v>
      </c>
      <c r="B73" s="299" t="s">
        <v>734</v>
      </c>
      <c r="C73" s="301">
        <v>46220</v>
      </c>
      <c r="D73" s="301">
        <f t="shared" si="0"/>
        <v>46234</v>
      </c>
      <c r="E73" s="301">
        <v>45902</v>
      </c>
      <c r="F73" s="301">
        <f t="shared" si="1"/>
        <v>45930</v>
      </c>
      <c r="G73" s="299" t="s">
        <v>249</v>
      </c>
      <c r="H73" s="299" t="s">
        <v>658</v>
      </c>
      <c r="I73" s="300">
        <v>7750</v>
      </c>
      <c r="J73" s="300">
        <v>1400</v>
      </c>
      <c r="K73" s="300"/>
      <c r="L73" s="300"/>
      <c r="M73" s="300"/>
      <c r="N73" s="300"/>
      <c r="O73" s="300"/>
      <c r="P73" s="300"/>
      <c r="Q73" s="300"/>
      <c r="R73" s="300"/>
      <c r="S73" s="300"/>
      <c r="T73" s="300">
        <v>275</v>
      </c>
      <c r="U73" s="300"/>
      <c r="V73" s="300">
        <f t="shared" si="2"/>
        <v>9425</v>
      </c>
      <c r="W73" s="300">
        <v>750</v>
      </c>
      <c r="X73" s="300">
        <v>10175</v>
      </c>
      <c r="Y73" s="300"/>
      <c r="Z73" s="300">
        <f t="shared" si="8"/>
        <v>-750</v>
      </c>
      <c r="AA73" s="315" t="b">
        <v>1</v>
      </c>
      <c r="AB73" s="316" t="s">
        <v>735</v>
      </c>
      <c r="AC73" s="317"/>
      <c r="AF73" s="318">
        <f t="shared" si="3"/>
        <v>1675</v>
      </c>
      <c r="AG73" s="318">
        <f t="shared" si="4"/>
        <v>1675</v>
      </c>
      <c r="AH73" s="318">
        <f t="shared" si="5"/>
        <v>1675</v>
      </c>
    </row>
    <row r="74" spans="1:34" ht="15" customHeight="1">
      <c r="A74" s="299" t="s">
        <v>690</v>
      </c>
      <c r="B74" s="299" t="s">
        <v>736</v>
      </c>
      <c r="C74" s="301">
        <v>46221</v>
      </c>
      <c r="D74" s="301">
        <f t="shared" si="0"/>
        <v>46234</v>
      </c>
      <c r="E74" s="301">
        <v>45772</v>
      </c>
      <c r="F74" s="301">
        <f t="shared" si="1"/>
        <v>45777</v>
      </c>
      <c r="G74" s="299" t="s">
        <v>249</v>
      </c>
      <c r="H74" s="299" t="s">
        <v>653</v>
      </c>
      <c r="I74" s="300">
        <v>8000</v>
      </c>
      <c r="J74" s="300">
        <v>0</v>
      </c>
      <c r="K74" s="300"/>
      <c r="L74" s="300"/>
      <c r="M74" s="300"/>
      <c r="N74" s="300"/>
      <c r="O74" s="300"/>
      <c r="P74" s="300"/>
      <c r="Q74" s="300"/>
      <c r="R74" s="300"/>
      <c r="S74" s="300"/>
      <c r="T74" s="300">
        <v>275</v>
      </c>
      <c r="U74" s="300"/>
      <c r="V74" s="300">
        <f t="shared" si="2"/>
        <v>8275</v>
      </c>
      <c r="W74" s="300">
        <v>750</v>
      </c>
      <c r="X74" s="300">
        <v>8275</v>
      </c>
      <c r="Y74" s="300"/>
      <c r="Z74" s="300">
        <f t="shared" si="8"/>
        <v>0</v>
      </c>
      <c r="AA74" s="315" t="b">
        <v>1</v>
      </c>
      <c r="AB74" s="316"/>
      <c r="AC74" s="317"/>
      <c r="AF74" s="318">
        <f t="shared" si="3"/>
        <v>275</v>
      </c>
      <c r="AG74" s="318">
        <f t="shared" si="4"/>
        <v>275</v>
      </c>
      <c r="AH74" s="318">
        <f t="shared" si="5"/>
        <v>275</v>
      </c>
    </row>
    <row r="75" spans="1:34" ht="15" customHeight="1">
      <c r="A75" s="299" t="s">
        <v>690</v>
      </c>
      <c r="B75" s="299" t="s">
        <v>737</v>
      </c>
      <c r="C75" s="301">
        <v>46222</v>
      </c>
      <c r="D75" s="301">
        <f t="shared" si="0"/>
        <v>46234</v>
      </c>
      <c r="E75" s="301">
        <v>45947</v>
      </c>
      <c r="F75" s="301">
        <f t="shared" si="1"/>
        <v>45961</v>
      </c>
      <c r="G75" s="299" t="s">
        <v>249</v>
      </c>
      <c r="H75" s="299" t="s">
        <v>658</v>
      </c>
      <c r="I75" s="300">
        <v>8250</v>
      </c>
      <c r="J75" s="300">
        <v>1400</v>
      </c>
      <c r="K75" s="300"/>
      <c r="L75" s="300"/>
      <c r="M75" s="300"/>
      <c r="N75" s="300"/>
      <c r="O75" s="300"/>
      <c r="P75" s="300"/>
      <c r="Q75" s="300"/>
      <c r="R75" s="300"/>
      <c r="S75" s="300"/>
      <c r="T75" s="300">
        <v>275</v>
      </c>
      <c r="U75" s="300"/>
      <c r="V75" s="300">
        <f t="shared" si="2"/>
        <v>9925</v>
      </c>
      <c r="W75" s="300">
        <v>750</v>
      </c>
      <c r="X75" s="300">
        <v>8950</v>
      </c>
      <c r="Y75" s="300"/>
      <c r="Z75" s="300">
        <f t="shared" si="8"/>
        <v>975</v>
      </c>
      <c r="AA75" s="315" t="b">
        <v>1</v>
      </c>
      <c r="AB75" s="316"/>
      <c r="AC75" s="317"/>
      <c r="AF75" s="318">
        <f t="shared" si="3"/>
        <v>1675</v>
      </c>
      <c r="AG75" s="318">
        <f t="shared" si="4"/>
        <v>1675</v>
      </c>
      <c r="AH75" s="318">
        <f t="shared" si="5"/>
        <v>1675</v>
      </c>
    </row>
    <row r="76" spans="1:34" ht="15" customHeight="1">
      <c r="A76" s="299" t="s">
        <v>690</v>
      </c>
      <c r="B76" s="299" t="s">
        <v>738</v>
      </c>
      <c r="C76" s="301">
        <v>46227</v>
      </c>
      <c r="D76" s="301">
        <f t="shared" si="0"/>
        <v>46234</v>
      </c>
      <c r="E76" s="301">
        <v>45890</v>
      </c>
      <c r="F76" s="301">
        <f t="shared" si="1"/>
        <v>45900</v>
      </c>
      <c r="G76" s="299" t="s">
        <v>249</v>
      </c>
      <c r="H76" s="299" t="s">
        <v>658</v>
      </c>
      <c r="I76" s="300">
        <v>9250</v>
      </c>
      <c r="J76" s="300">
        <v>1400</v>
      </c>
      <c r="K76" s="300"/>
      <c r="L76" s="300"/>
      <c r="M76" s="300"/>
      <c r="N76" s="300"/>
      <c r="O76" s="300"/>
      <c r="P76" s="300"/>
      <c r="Q76" s="300"/>
      <c r="R76" s="300"/>
      <c r="S76" s="300"/>
      <c r="T76" s="300">
        <v>275</v>
      </c>
      <c r="U76" s="300"/>
      <c r="V76" s="300">
        <f t="shared" si="2"/>
        <v>10925</v>
      </c>
      <c r="W76" s="300">
        <v>750</v>
      </c>
      <c r="X76" s="300">
        <v>9950</v>
      </c>
      <c r="Y76" s="300"/>
      <c r="Z76" s="300">
        <f t="shared" si="8"/>
        <v>975</v>
      </c>
      <c r="AA76" s="315" t="b">
        <v>1</v>
      </c>
      <c r="AB76" s="316"/>
      <c r="AC76" s="317"/>
      <c r="AF76" s="318">
        <f t="shared" si="3"/>
        <v>1675</v>
      </c>
      <c r="AG76" s="318">
        <f t="shared" si="4"/>
        <v>1675</v>
      </c>
      <c r="AH76" s="318">
        <f t="shared" si="5"/>
        <v>1675</v>
      </c>
    </row>
    <row r="77" spans="1:34" ht="15" customHeight="1">
      <c r="A77" s="299" t="s">
        <v>690</v>
      </c>
      <c r="B77" s="299" t="s">
        <v>739</v>
      </c>
      <c r="C77" s="301">
        <v>46228</v>
      </c>
      <c r="D77" s="301">
        <f t="shared" si="0"/>
        <v>46234</v>
      </c>
      <c r="E77" s="301">
        <v>45992</v>
      </c>
      <c r="F77" s="301">
        <f t="shared" si="1"/>
        <v>46022</v>
      </c>
      <c r="G77" s="299" t="s">
        <v>248</v>
      </c>
      <c r="H77" s="299" t="s">
        <v>653</v>
      </c>
      <c r="I77" s="300">
        <v>7250</v>
      </c>
      <c r="J77" s="300">
        <v>0</v>
      </c>
      <c r="K77" s="300"/>
      <c r="L77" s="300"/>
      <c r="M77" s="300"/>
      <c r="N77" s="300"/>
      <c r="O77" s="300"/>
      <c r="P77" s="300"/>
      <c r="Q77" s="300"/>
      <c r="R77" s="300"/>
      <c r="S77" s="300"/>
      <c r="T77" s="300" t="s">
        <v>697</v>
      </c>
      <c r="U77" s="300"/>
      <c r="V77" s="300">
        <f t="shared" si="2"/>
        <v>7250</v>
      </c>
      <c r="W77" s="300">
        <v>750</v>
      </c>
      <c r="X77" s="300">
        <v>7250</v>
      </c>
      <c r="Y77" s="300"/>
      <c r="Z77" s="300">
        <f t="shared" si="8"/>
        <v>0</v>
      </c>
      <c r="AA77" s="315" t="b">
        <v>1</v>
      </c>
      <c r="AB77" s="316"/>
      <c r="AC77" s="317"/>
      <c r="AF77" s="318">
        <f t="shared" si="3"/>
        <v>0</v>
      </c>
      <c r="AG77" s="318">
        <f t="shared" si="4"/>
        <v>0</v>
      </c>
      <c r="AH77" s="318">
        <f t="shared" si="5"/>
        <v>0</v>
      </c>
    </row>
    <row r="78" spans="1:34" ht="15" customHeight="1">
      <c r="A78" s="299" t="s">
        <v>690</v>
      </c>
      <c r="B78" s="299" t="s">
        <v>740</v>
      </c>
      <c r="C78" s="301">
        <v>46228</v>
      </c>
      <c r="D78" s="301">
        <f t="shared" si="0"/>
        <v>46234</v>
      </c>
      <c r="E78" s="301">
        <v>45783</v>
      </c>
      <c r="F78" s="301">
        <f t="shared" si="1"/>
        <v>45808</v>
      </c>
      <c r="G78" s="299" t="s">
        <v>249</v>
      </c>
      <c r="H78" s="299" t="s">
        <v>653</v>
      </c>
      <c r="I78" s="300">
        <v>8000</v>
      </c>
      <c r="J78" s="300">
        <v>0</v>
      </c>
      <c r="K78" s="300"/>
      <c r="L78" s="300"/>
      <c r="M78" s="300"/>
      <c r="N78" s="300"/>
      <c r="O78" s="300"/>
      <c r="P78" s="300"/>
      <c r="Q78" s="300"/>
      <c r="R78" s="300"/>
      <c r="S78" s="300"/>
      <c r="T78" s="300">
        <v>275</v>
      </c>
      <c r="U78" s="300"/>
      <c r="V78" s="300">
        <f t="shared" si="2"/>
        <v>8275</v>
      </c>
      <c r="W78" s="300">
        <v>750</v>
      </c>
      <c r="X78" s="300">
        <v>8000</v>
      </c>
      <c r="Y78" s="300"/>
      <c r="Z78" s="300">
        <f t="shared" si="8"/>
        <v>275</v>
      </c>
      <c r="AA78" s="315" t="b">
        <v>1</v>
      </c>
      <c r="AB78" s="316"/>
      <c r="AC78" s="317"/>
      <c r="AF78" s="318">
        <f t="shared" si="3"/>
        <v>275</v>
      </c>
      <c r="AG78" s="318">
        <f t="shared" si="4"/>
        <v>275</v>
      </c>
      <c r="AH78" s="318">
        <f t="shared" si="5"/>
        <v>275</v>
      </c>
    </row>
    <row r="79" spans="1:34" ht="15" customHeight="1">
      <c r="A79" s="299" t="s">
        <v>690</v>
      </c>
      <c r="B79" s="299" t="s">
        <v>741</v>
      </c>
      <c r="C79" s="301">
        <v>46229</v>
      </c>
      <c r="D79" s="301">
        <f t="shared" si="0"/>
        <v>46234</v>
      </c>
      <c r="E79" s="301">
        <v>45897</v>
      </c>
      <c r="F79" s="301">
        <f t="shared" si="1"/>
        <v>45900</v>
      </c>
      <c r="G79" s="299" t="s">
        <v>249</v>
      </c>
      <c r="H79" s="299" t="s">
        <v>658</v>
      </c>
      <c r="I79" s="300">
        <v>8250</v>
      </c>
      <c r="J79" s="300">
        <v>1400</v>
      </c>
      <c r="K79" s="300"/>
      <c r="L79" s="300"/>
      <c r="M79" s="300"/>
      <c r="N79" s="300"/>
      <c r="O79" s="300"/>
      <c r="P79" s="300"/>
      <c r="Q79" s="300"/>
      <c r="R79" s="300"/>
      <c r="S79" s="300"/>
      <c r="T79" s="300">
        <v>275</v>
      </c>
      <c r="U79" s="300">
        <v>400</v>
      </c>
      <c r="V79" s="300">
        <f t="shared" si="2"/>
        <v>10325</v>
      </c>
      <c r="W79" s="300">
        <v>750</v>
      </c>
      <c r="X79" s="300">
        <v>9650</v>
      </c>
      <c r="Y79" s="300"/>
      <c r="Z79" s="300">
        <v>275</v>
      </c>
      <c r="AA79" s="315" t="b">
        <v>1</v>
      </c>
      <c r="AB79" s="316" t="s">
        <v>742</v>
      </c>
      <c r="AC79" s="317"/>
      <c r="AF79" s="318">
        <f t="shared" si="3"/>
        <v>2075</v>
      </c>
      <c r="AG79" s="318">
        <f t="shared" si="4"/>
        <v>2075</v>
      </c>
      <c r="AH79" s="318">
        <f t="shared" si="5"/>
        <v>1675</v>
      </c>
    </row>
    <row r="80" spans="1:34" ht="15" customHeight="1">
      <c r="A80" s="299" t="s">
        <v>690</v>
      </c>
      <c r="B80" s="299" t="s">
        <v>743</v>
      </c>
      <c r="C80" s="301">
        <v>46234</v>
      </c>
      <c r="D80" s="301">
        <f t="shared" si="0"/>
        <v>46234</v>
      </c>
      <c r="E80" s="301">
        <v>45881</v>
      </c>
      <c r="F80" s="301">
        <f t="shared" si="1"/>
        <v>45900</v>
      </c>
      <c r="G80" s="299" t="s">
        <v>249</v>
      </c>
      <c r="H80" s="299" t="s">
        <v>653</v>
      </c>
      <c r="I80" s="300">
        <v>7750</v>
      </c>
      <c r="J80" s="300">
        <v>0</v>
      </c>
      <c r="K80" s="300"/>
      <c r="L80" s="300"/>
      <c r="M80" s="300"/>
      <c r="N80" s="300"/>
      <c r="O80" s="300"/>
      <c r="P80" s="300"/>
      <c r="Q80" s="300"/>
      <c r="R80" s="300"/>
      <c r="S80" s="300"/>
      <c r="T80" s="300" t="s">
        <v>697</v>
      </c>
      <c r="U80" s="300"/>
      <c r="V80" s="300">
        <f t="shared" si="2"/>
        <v>7750</v>
      </c>
      <c r="W80" s="300"/>
      <c r="X80" s="300">
        <v>7750</v>
      </c>
      <c r="Y80" s="300"/>
      <c r="Z80" s="300">
        <f t="shared" ref="Z80:Z81" si="9">V80-X80</f>
        <v>0</v>
      </c>
      <c r="AA80" s="315" t="b">
        <v>1</v>
      </c>
      <c r="AB80" s="316"/>
      <c r="AC80" s="317"/>
      <c r="AF80" s="318">
        <f t="shared" si="3"/>
        <v>0</v>
      </c>
      <c r="AG80" s="318">
        <f t="shared" si="4"/>
        <v>0</v>
      </c>
      <c r="AH80" s="318">
        <f t="shared" si="5"/>
        <v>0</v>
      </c>
    </row>
    <row r="81" spans="1:34" ht="15" customHeight="1">
      <c r="A81" s="299" t="s">
        <v>690</v>
      </c>
      <c r="B81" s="299" t="s">
        <v>744</v>
      </c>
      <c r="C81" s="301">
        <v>46235</v>
      </c>
      <c r="D81" s="301">
        <f t="shared" si="0"/>
        <v>46265</v>
      </c>
      <c r="E81" s="301">
        <v>46361</v>
      </c>
      <c r="F81" s="301">
        <f t="shared" si="1"/>
        <v>46387</v>
      </c>
      <c r="G81" s="299" t="s">
        <v>248</v>
      </c>
      <c r="H81" s="299" t="s">
        <v>653</v>
      </c>
      <c r="I81" s="300">
        <v>7000</v>
      </c>
      <c r="J81" s="300">
        <v>0</v>
      </c>
      <c r="K81" s="300"/>
      <c r="L81" s="300"/>
      <c r="M81" s="300"/>
      <c r="N81" s="300"/>
      <c r="O81" s="300"/>
      <c r="P81" s="300"/>
      <c r="Q81" s="300"/>
      <c r="R81" s="300"/>
      <c r="S81" s="300"/>
      <c r="T81" s="300">
        <v>275</v>
      </c>
      <c r="U81" s="300"/>
      <c r="V81" s="300">
        <f t="shared" si="2"/>
        <v>7275</v>
      </c>
      <c r="W81" s="300">
        <v>750</v>
      </c>
      <c r="X81" s="300">
        <v>7000</v>
      </c>
      <c r="Y81" s="300"/>
      <c r="Z81" s="300">
        <f t="shared" si="9"/>
        <v>275</v>
      </c>
      <c r="AA81" s="315" t="b">
        <v>1</v>
      </c>
      <c r="AB81" s="316"/>
      <c r="AC81" s="317"/>
      <c r="AF81" s="318">
        <f t="shared" si="3"/>
        <v>275</v>
      </c>
      <c r="AG81" s="318">
        <f t="shared" si="4"/>
        <v>275</v>
      </c>
      <c r="AH81" s="318">
        <f t="shared" si="5"/>
        <v>275</v>
      </c>
    </row>
    <row r="82" spans="1:34" ht="15" customHeight="1">
      <c r="A82" s="299" t="s">
        <v>690</v>
      </c>
      <c r="B82" s="299" t="s">
        <v>745</v>
      </c>
      <c r="C82" s="301">
        <v>46235</v>
      </c>
      <c r="D82" s="301">
        <f t="shared" si="0"/>
        <v>46265</v>
      </c>
      <c r="E82" s="301">
        <v>45839</v>
      </c>
      <c r="F82" s="301">
        <f t="shared" si="1"/>
        <v>45869</v>
      </c>
      <c r="G82" s="299" t="s">
        <v>249</v>
      </c>
      <c r="H82" s="299" t="s">
        <v>658</v>
      </c>
      <c r="I82" s="300">
        <v>7450</v>
      </c>
      <c r="J82" s="300">
        <v>1400</v>
      </c>
      <c r="K82" s="300"/>
      <c r="L82" s="300"/>
      <c r="M82" s="300"/>
      <c r="N82" s="300"/>
      <c r="O82" s="300"/>
      <c r="P82" s="300"/>
      <c r="Q82" s="300"/>
      <c r="R82" s="300"/>
      <c r="S82" s="300"/>
      <c r="T82" s="300" t="s">
        <v>697</v>
      </c>
      <c r="U82" s="300"/>
      <c r="V82" s="300">
        <f t="shared" si="2"/>
        <v>8850</v>
      </c>
      <c r="W82" s="300">
        <v>750</v>
      </c>
      <c r="X82" s="300">
        <v>8150</v>
      </c>
      <c r="Y82" s="300"/>
      <c r="Z82" s="300">
        <v>700</v>
      </c>
      <c r="AA82" s="315" t="b">
        <v>1</v>
      </c>
      <c r="AB82" s="316"/>
      <c r="AC82" s="317"/>
      <c r="AF82" s="318">
        <f t="shared" si="3"/>
        <v>1400</v>
      </c>
      <c r="AG82" s="318">
        <f t="shared" si="4"/>
        <v>1400</v>
      </c>
      <c r="AH82" s="318">
        <f t="shared" si="5"/>
        <v>1400</v>
      </c>
    </row>
    <row r="83" spans="1:34" ht="15" customHeight="1">
      <c r="A83" s="299" t="s">
        <v>690</v>
      </c>
      <c r="B83" s="299" t="s">
        <v>746</v>
      </c>
      <c r="C83" s="301">
        <v>46236</v>
      </c>
      <c r="D83" s="301">
        <f t="shared" si="0"/>
        <v>46265</v>
      </c>
      <c r="E83" s="301">
        <v>45842</v>
      </c>
      <c r="F83" s="301">
        <f t="shared" si="1"/>
        <v>45869</v>
      </c>
      <c r="G83" s="299" t="s">
        <v>249</v>
      </c>
      <c r="H83" s="299" t="s">
        <v>653</v>
      </c>
      <c r="I83" s="300">
        <v>8000</v>
      </c>
      <c r="J83" s="300">
        <v>0</v>
      </c>
      <c r="K83" s="300"/>
      <c r="L83" s="300"/>
      <c r="M83" s="300"/>
      <c r="N83" s="300"/>
      <c r="O83" s="300"/>
      <c r="P83" s="300"/>
      <c r="Q83" s="300"/>
      <c r="R83" s="300"/>
      <c r="S83" s="300"/>
      <c r="T83" s="300">
        <v>275</v>
      </c>
      <c r="U83" s="300"/>
      <c r="V83" s="300">
        <f t="shared" si="2"/>
        <v>8275</v>
      </c>
      <c r="W83" s="300">
        <v>750</v>
      </c>
      <c r="X83" s="300">
        <v>8275</v>
      </c>
      <c r="Y83" s="300"/>
      <c r="Z83" s="300">
        <f t="shared" ref="Z83:Z99" si="10">V83-X83</f>
        <v>0</v>
      </c>
      <c r="AA83" s="315" t="b">
        <v>1</v>
      </c>
      <c r="AB83" s="316"/>
      <c r="AC83" s="317"/>
      <c r="AF83" s="318">
        <f t="shared" si="3"/>
        <v>275</v>
      </c>
      <c r="AG83" s="318">
        <f t="shared" si="4"/>
        <v>275</v>
      </c>
      <c r="AH83" s="318">
        <f t="shared" si="5"/>
        <v>275</v>
      </c>
    </row>
    <row r="84" spans="1:34" ht="15" customHeight="1">
      <c r="A84" s="299" t="s">
        <v>690</v>
      </c>
      <c r="B84" s="299" t="s">
        <v>747</v>
      </c>
      <c r="C84" s="301">
        <v>46238</v>
      </c>
      <c r="D84" s="301">
        <f t="shared" si="0"/>
        <v>46265</v>
      </c>
      <c r="E84" s="301">
        <v>46085</v>
      </c>
      <c r="F84" s="301">
        <f t="shared" si="1"/>
        <v>46112</v>
      </c>
      <c r="G84" s="299" t="s">
        <v>250</v>
      </c>
      <c r="H84" s="299" t="s">
        <v>653</v>
      </c>
      <c r="I84" s="300">
        <v>1750</v>
      </c>
      <c r="J84" s="300">
        <v>0</v>
      </c>
      <c r="K84" s="300"/>
      <c r="L84" s="300"/>
      <c r="M84" s="300"/>
      <c r="N84" s="300"/>
      <c r="O84" s="300"/>
      <c r="P84" s="300"/>
      <c r="Q84" s="300"/>
      <c r="R84" s="300"/>
      <c r="S84" s="300"/>
      <c r="T84" s="300" t="s">
        <v>697</v>
      </c>
      <c r="U84" s="300"/>
      <c r="V84" s="300">
        <f t="shared" si="2"/>
        <v>1750</v>
      </c>
      <c r="W84" s="300">
        <v>500</v>
      </c>
      <c r="X84" s="300">
        <v>1750</v>
      </c>
      <c r="Y84" s="300"/>
      <c r="Z84" s="300">
        <f t="shared" si="10"/>
        <v>0</v>
      </c>
      <c r="AA84" s="315" t="b">
        <v>1</v>
      </c>
      <c r="AB84" s="316"/>
      <c r="AC84" s="317"/>
      <c r="AF84" s="318">
        <f t="shared" si="3"/>
        <v>0</v>
      </c>
      <c r="AG84" s="318">
        <f t="shared" si="4"/>
        <v>0</v>
      </c>
      <c r="AH84" s="318">
        <f t="shared" si="5"/>
        <v>0</v>
      </c>
    </row>
    <row r="85" spans="1:34" ht="15" customHeight="1">
      <c r="A85" s="299" t="s">
        <v>690</v>
      </c>
      <c r="B85" s="299" t="s">
        <v>748</v>
      </c>
      <c r="C85" s="301">
        <v>46241</v>
      </c>
      <c r="D85" s="301">
        <f t="shared" si="0"/>
        <v>46265</v>
      </c>
      <c r="E85" s="301">
        <v>45884</v>
      </c>
      <c r="F85" s="301">
        <f t="shared" si="1"/>
        <v>45900</v>
      </c>
      <c r="G85" s="299" t="s">
        <v>249</v>
      </c>
      <c r="H85" s="299" t="s">
        <v>653</v>
      </c>
      <c r="I85" s="300">
        <v>7750</v>
      </c>
      <c r="J85" s="300">
        <v>0</v>
      </c>
      <c r="K85" s="300"/>
      <c r="L85" s="300"/>
      <c r="M85" s="300"/>
      <c r="N85" s="300"/>
      <c r="O85" s="300"/>
      <c r="P85" s="300"/>
      <c r="Q85" s="300"/>
      <c r="R85" s="300"/>
      <c r="S85" s="300"/>
      <c r="T85" s="300">
        <v>275</v>
      </c>
      <c r="U85" s="300"/>
      <c r="V85" s="300">
        <f t="shared" si="2"/>
        <v>8025</v>
      </c>
      <c r="W85" s="300">
        <v>750</v>
      </c>
      <c r="X85" s="300">
        <v>7750</v>
      </c>
      <c r="Y85" s="300"/>
      <c r="Z85" s="300">
        <f t="shared" si="10"/>
        <v>275</v>
      </c>
      <c r="AA85" s="315" t="b">
        <v>1</v>
      </c>
      <c r="AB85" s="316"/>
      <c r="AC85" s="317"/>
      <c r="AF85" s="318">
        <f t="shared" si="3"/>
        <v>275</v>
      </c>
      <c r="AG85" s="318">
        <f t="shared" si="4"/>
        <v>275</v>
      </c>
      <c r="AH85" s="318">
        <f t="shared" si="5"/>
        <v>275</v>
      </c>
    </row>
    <row r="86" spans="1:34" ht="15" customHeight="1">
      <c r="A86" s="299" t="s">
        <v>690</v>
      </c>
      <c r="B86" s="299" t="s">
        <v>749</v>
      </c>
      <c r="C86" s="301">
        <v>46242</v>
      </c>
      <c r="D86" s="301">
        <f t="shared" si="0"/>
        <v>46265</v>
      </c>
      <c r="E86" s="301">
        <v>46123</v>
      </c>
      <c r="F86" s="301">
        <f t="shared" si="1"/>
        <v>46142</v>
      </c>
      <c r="G86" s="299" t="s">
        <v>248</v>
      </c>
      <c r="H86" s="299" t="s">
        <v>653</v>
      </c>
      <c r="I86" s="300">
        <v>7000</v>
      </c>
      <c r="J86" s="300" t="s">
        <v>121</v>
      </c>
      <c r="K86" s="300"/>
      <c r="L86" s="300"/>
      <c r="M86" s="300"/>
      <c r="N86" s="300"/>
      <c r="O86" s="300"/>
      <c r="P86" s="300"/>
      <c r="Q86" s="300"/>
      <c r="R86" s="300"/>
      <c r="S86" s="300"/>
      <c r="T86" s="300">
        <v>275</v>
      </c>
      <c r="U86" s="300"/>
      <c r="V86" s="300">
        <f t="shared" si="2"/>
        <v>7275</v>
      </c>
      <c r="W86" s="300">
        <v>750</v>
      </c>
      <c r="X86" s="300">
        <v>7000</v>
      </c>
      <c r="Y86" s="300"/>
      <c r="Z86" s="300">
        <f t="shared" si="10"/>
        <v>275</v>
      </c>
      <c r="AA86" s="315" t="b">
        <v>1</v>
      </c>
      <c r="AB86" s="316"/>
      <c r="AC86" s="317"/>
      <c r="AF86" s="318">
        <f t="shared" si="3"/>
        <v>275</v>
      </c>
      <c r="AG86" s="318">
        <f t="shared" si="4"/>
        <v>275</v>
      </c>
      <c r="AH86" s="318">
        <f t="shared" si="5"/>
        <v>275</v>
      </c>
    </row>
    <row r="87" spans="1:34" ht="15" customHeight="1">
      <c r="A87" s="299" t="s">
        <v>690</v>
      </c>
      <c r="B87" s="299" t="s">
        <v>613</v>
      </c>
      <c r="C87" s="301">
        <v>46242</v>
      </c>
      <c r="D87" s="301">
        <f t="shared" si="0"/>
        <v>46265</v>
      </c>
      <c r="E87" s="301">
        <v>45840</v>
      </c>
      <c r="F87" s="301">
        <f t="shared" si="1"/>
        <v>45869</v>
      </c>
      <c r="G87" s="299" t="s">
        <v>249</v>
      </c>
      <c r="H87" s="299" t="s">
        <v>674</v>
      </c>
      <c r="I87" s="300">
        <v>8000</v>
      </c>
      <c r="J87" s="300">
        <v>2000</v>
      </c>
      <c r="K87" s="300">
        <v>5000</v>
      </c>
      <c r="L87" s="300">
        <v>2000</v>
      </c>
      <c r="M87" s="300">
        <v>4000</v>
      </c>
      <c r="N87" s="300">
        <v>5000</v>
      </c>
      <c r="O87" s="300"/>
      <c r="P87" s="300"/>
      <c r="Q87" s="300"/>
      <c r="R87" s="300"/>
      <c r="S87" s="300">
        <v>3600</v>
      </c>
      <c r="T87" s="300">
        <v>275</v>
      </c>
      <c r="U87" s="300"/>
      <c r="V87" s="300">
        <f t="shared" si="2"/>
        <v>29875</v>
      </c>
      <c r="W87" s="300">
        <v>750</v>
      </c>
      <c r="X87" s="300">
        <f>22150+7725</f>
        <v>29875</v>
      </c>
      <c r="Y87" s="300"/>
      <c r="Z87" s="300">
        <f t="shared" si="10"/>
        <v>0</v>
      </c>
      <c r="AA87" s="315" t="b">
        <v>1</v>
      </c>
      <c r="AB87" s="316"/>
      <c r="AC87" s="317"/>
      <c r="AF87" s="318">
        <f t="shared" si="3"/>
        <v>7875</v>
      </c>
      <c r="AG87" s="318">
        <f t="shared" si="4"/>
        <v>21875</v>
      </c>
      <c r="AH87" s="318">
        <f t="shared" si="5"/>
        <v>18275</v>
      </c>
    </row>
    <row r="88" spans="1:34" ht="15" customHeight="1">
      <c r="A88" s="299" t="s">
        <v>690</v>
      </c>
      <c r="B88" s="299" t="s">
        <v>750</v>
      </c>
      <c r="C88" s="301">
        <v>46245</v>
      </c>
      <c r="D88" s="301">
        <f t="shared" si="0"/>
        <v>46265</v>
      </c>
      <c r="E88" s="301">
        <v>46020</v>
      </c>
      <c r="F88" s="301">
        <f t="shared" si="1"/>
        <v>46022</v>
      </c>
      <c r="G88" s="299" t="s">
        <v>250</v>
      </c>
      <c r="H88" s="299" t="s">
        <v>653</v>
      </c>
      <c r="I88" s="300">
        <v>1750</v>
      </c>
      <c r="J88" s="300">
        <v>0</v>
      </c>
      <c r="K88" s="300"/>
      <c r="L88" s="300"/>
      <c r="M88" s="300"/>
      <c r="N88" s="300"/>
      <c r="O88" s="300"/>
      <c r="P88" s="300"/>
      <c r="Q88" s="300"/>
      <c r="R88" s="300"/>
      <c r="S88" s="300"/>
      <c r="T88" s="300" t="s">
        <v>697</v>
      </c>
      <c r="U88" s="300"/>
      <c r="V88" s="300">
        <f t="shared" si="2"/>
        <v>1750</v>
      </c>
      <c r="W88" s="300">
        <v>500</v>
      </c>
      <c r="X88" s="300">
        <v>1750</v>
      </c>
      <c r="Y88" s="300"/>
      <c r="Z88" s="300">
        <f t="shared" si="10"/>
        <v>0</v>
      </c>
      <c r="AA88" s="315" t="b">
        <v>1</v>
      </c>
      <c r="AB88" s="316"/>
      <c r="AC88" s="317"/>
      <c r="AF88" s="318">
        <f t="shared" si="3"/>
        <v>0</v>
      </c>
      <c r="AG88" s="318">
        <f t="shared" si="4"/>
        <v>0</v>
      </c>
      <c r="AH88" s="318">
        <f t="shared" si="5"/>
        <v>0</v>
      </c>
    </row>
    <row r="89" spans="1:34" ht="15" customHeight="1">
      <c r="A89" s="299" t="s">
        <v>690</v>
      </c>
      <c r="B89" s="299" t="s">
        <v>751</v>
      </c>
      <c r="C89" s="301">
        <v>46248</v>
      </c>
      <c r="D89" s="301">
        <f t="shared" si="0"/>
        <v>46265</v>
      </c>
      <c r="E89" s="301" t="s">
        <v>121</v>
      </c>
      <c r="F89" s="301" t="str">
        <f t="shared" si="1"/>
        <v>-</v>
      </c>
      <c r="G89" s="299" t="s">
        <v>249</v>
      </c>
      <c r="H89" s="299" t="s">
        <v>658</v>
      </c>
      <c r="I89" s="300">
        <v>7750</v>
      </c>
      <c r="J89" s="300">
        <v>1400</v>
      </c>
      <c r="K89" s="300"/>
      <c r="L89" s="300"/>
      <c r="M89" s="300"/>
      <c r="N89" s="300"/>
      <c r="O89" s="300"/>
      <c r="P89" s="300"/>
      <c r="Q89" s="300"/>
      <c r="R89" s="300"/>
      <c r="S89" s="300"/>
      <c r="T89" s="300">
        <v>275</v>
      </c>
      <c r="U89" s="300"/>
      <c r="V89" s="300">
        <f t="shared" si="2"/>
        <v>9425</v>
      </c>
      <c r="W89" s="300">
        <v>750</v>
      </c>
      <c r="X89" s="300">
        <v>8450</v>
      </c>
      <c r="Y89" s="300"/>
      <c r="Z89" s="300">
        <f t="shared" si="10"/>
        <v>975</v>
      </c>
      <c r="AA89" s="315" t="b">
        <v>1</v>
      </c>
      <c r="AB89" s="316"/>
      <c r="AC89" s="317"/>
      <c r="AF89" s="318">
        <f t="shared" si="3"/>
        <v>1675</v>
      </c>
      <c r="AG89" s="318">
        <f t="shared" si="4"/>
        <v>1675</v>
      </c>
      <c r="AH89" s="318">
        <f t="shared" si="5"/>
        <v>1675</v>
      </c>
    </row>
    <row r="90" spans="1:34" ht="15" customHeight="1">
      <c r="A90" s="299" t="s">
        <v>690</v>
      </c>
      <c r="B90" s="299" t="s">
        <v>752</v>
      </c>
      <c r="C90" s="301">
        <v>46249</v>
      </c>
      <c r="D90" s="301">
        <f t="shared" si="0"/>
        <v>46265</v>
      </c>
      <c r="E90" s="301">
        <v>46045</v>
      </c>
      <c r="F90" s="301">
        <f t="shared" si="1"/>
        <v>46053</v>
      </c>
      <c r="G90" s="299" t="s">
        <v>249</v>
      </c>
      <c r="H90" s="299" t="s">
        <v>658</v>
      </c>
      <c r="I90" s="300">
        <v>8250</v>
      </c>
      <c r="J90" s="300">
        <v>1400</v>
      </c>
      <c r="K90" s="300"/>
      <c r="L90" s="300"/>
      <c r="M90" s="300"/>
      <c r="N90" s="300"/>
      <c r="O90" s="300"/>
      <c r="P90" s="300"/>
      <c r="Q90" s="300"/>
      <c r="R90" s="300"/>
      <c r="S90" s="300"/>
      <c r="T90" s="300">
        <v>275</v>
      </c>
      <c r="U90" s="300"/>
      <c r="V90" s="300">
        <f t="shared" si="2"/>
        <v>9925</v>
      </c>
      <c r="W90" s="300">
        <v>750</v>
      </c>
      <c r="X90" s="321">
        <v>8950</v>
      </c>
      <c r="Y90" s="300"/>
      <c r="Z90" s="300">
        <f t="shared" si="10"/>
        <v>975</v>
      </c>
      <c r="AA90" s="315" t="b">
        <v>1</v>
      </c>
      <c r="AB90" s="316"/>
      <c r="AC90" s="317"/>
      <c r="AF90" s="318">
        <f t="shared" si="3"/>
        <v>1675</v>
      </c>
      <c r="AG90" s="318">
        <f t="shared" si="4"/>
        <v>1675</v>
      </c>
      <c r="AH90" s="318">
        <f t="shared" si="5"/>
        <v>1675</v>
      </c>
    </row>
    <row r="91" spans="1:34" ht="15" customHeight="1">
      <c r="A91" s="299" t="s">
        <v>690</v>
      </c>
      <c r="B91" s="299" t="s">
        <v>614</v>
      </c>
      <c r="C91" s="301">
        <v>46255</v>
      </c>
      <c r="D91" s="301">
        <f t="shared" si="0"/>
        <v>46265</v>
      </c>
      <c r="E91" s="301">
        <v>45870</v>
      </c>
      <c r="F91" s="301">
        <f t="shared" si="1"/>
        <v>45900</v>
      </c>
      <c r="G91" s="299" t="s">
        <v>249</v>
      </c>
      <c r="H91" s="299" t="s">
        <v>674</v>
      </c>
      <c r="I91" s="300">
        <v>7500</v>
      </c>
      <c r="J91" s="300">
        <v>1700</v>
      </c>
      <c r="K91" s="300"/>
      <c r="L91" s="300"/>
      <c r="M91" s="300">
        <v>4000</v>
      </c>
      <c r="N91" s="300">
        <v>5000</v>
      </c>
      <c r="O91" s="300">
        <v>1950</v>
      </c>
      <c r="P91" s="300"/>
      <c r="Q91" s="300"/>
      <c r="R91" s="300"/>
      <c r="S91" s="300">
        <v>4000</v>
      </c>
      <c r="T91" s="300">
        <v>275</v>
      </c>
      <c r="U91" s="300"/>
      <c r="V91" s="300">
        <f t="shared" si="2"/>
        <v>24425</v>
      </c>
      <c r="W91" s="300">
        <v>750</v>
      </c>
      <c r="X91" s="321">
        <v>24150</v>
      </c>
      <c r="Y91" s="300"/>
      <c r="Z91" s="300">
        <f t="shared" si="10"/>
        <v>275</v>
      </c>
      <c r="AA91" s="315" t="b">
        <v>1</v>
      </c>
      <c r="AB91" s="316"/>
      <c r="AC91" s="317"/>
      <c r="AF91" s="318">
        <f t="shared" si="3"/>
        <v>5975</v>
      </c>
      <c r="AG91" s="318">
        <f t="shared" si="4"/>
        <v>16925</v>
      </c>
      <c r="AH91" s="318">
        <f t="shared" si="5"/>
        <v>12925</v>
      </c>
    </row>
    <row r="92" spans="1:34" ht="15" customHeight="1">
      <c r="A92" s="299" t="s">
        <v>690</v>
      </c>
      <c r="B92" s="299" t="s">
        <v>753</v>
      </c>
      <c r="C92" s="301">
        <v>46256</v>
      </c>
      <c r="D92" s="301">
        <f t="shared" si="0"/>
        <v>46265</v>
      </c>
      <c r="E92" s="301">
        <v>45756</v>
      </c>
      <c r="F92" s="301">
        <f t="shared" si="1"/>
        <v>45777</v>
      </c>
      <c r="G92" s="299" t="s">
        <v>249</v>
      </c>
      <c r="H92" s="299" t="s">
        <v>658</v>
      </c>
      <c r="I92" s="300">
        <v>8000</v>
      </c>
      <c r="J92" s="300">
        <v>1400</v>
      </c>
      <c r="K92" s="300"/>
      <c r="L92" s="300"/>
      <c r="M92" s="300"/>
      <c r="N92" s="300"/>
      <c r="O92" s="300"/>
      <c r="P92" s="300"/>
      <c r="Q92" s="300"/>
      <c r="R92" s="300"/>
      <c r="S92" s="300"/>
      <c r="T92" s="300" t="s">
        <v>697</v>
      </c>
      <c r="U92" s="300"/>
      <c r="V92" s="300">
        <f t="shared" si="2"/>
        <v>9400</v>
      </c>
      <c r="W92" s="300">
        <v>750</v>
      </c>
      <c r="X92" s="300">
        <v>9400</v>
      </c>
      <c r="Y92" s="300"/>
      <c r="Z92" s="300">
        <f t="shared" si="10"/>
        <v>0</v>
      </c>
      <c r="AA92" s="315" t="b">
        <v>1</v>
      </c>
      <c r="AB92" s="316"/>
      <c r="AC92" s="317"/>
      <c r="AF92" s="318">
        <f t="shared" si="3"/>
        <v>1400</v>
      </c>
      <c r="AG92" s="318">
        <f t="shared" si="4"/>
        <v>1400</v>
      </c>
      <c r="AH92" s="318">
        <f t="shared" si="5"/>
        <v>1400</v>
      </c>
    </row>
    <row r="93" spans="1:34" ht="14.25" customHeight="1">
      <c r="A93" s="299" t="s">
        <v>690</v>
      </c>
      <c r="B93" s="299" t="s">
        <v>615</v>
      </c>
      <c r="C93" s="301">
        <v>46257</v>
      </c>
      <c r="D93" s="301">
        <f t="shared" si="0"/>
        <v>46265</v>
      </c>
      <c r="E93" s="301">
        <v>46074</v>
      </c>
      <c r="F93" s="301">
        <f t="shared" si="1"/>
        <v>46081</v>
      </c>
      <c r="G93" s="299" t="s">
        <v>249</v>
      </c>
      <c r="H93" s="299" t="s">
        <v>674</v>
      </c>
      <c r="I93" s="300">
        <v>8250</v>
      </c>
      <c r="J93" s="300">
        <v>1850</v>
      </c>
      <c r="K93" s="300">
        <v>5000</v>
      </c>
      <c r="L93" s="300">
        <v>2000</v>
      </c>
      <c r="M93" s="300">
        <v>4000</v>
      </c>
      <c r="N93" s="300">
        <v>5000</v>
      </c>
      <c r="O93" s="300">
        <v>1625</v>
      </c>
      <c r="P93" s="300"/>
      <c r="Q93" s="300"/>
      <c r="R93" s="300"/>
      <c r="S93" s="300">
        <v>3500</v>
      </c>
      <c r="T93" s="300">
        <v>275</v>
      </c>
      <c r="U93" s="300"/>
      <c r="V93" s="300">
        <f t="shared" si="2"/>
        <v>31500</v>
      </c>
      <c r="W93" s="300">
        <v>750</v>
      </c>
      <c r="X93" s="300">
        <f>13075+18150</f>
        <v>31225</v>
      </c>
      <c r="Y93" s="300"/>
      <c r="Z93" s="300">
        <f t="shared" si="10"/>
        <v>275</v>
      </c>
      <c r="AA93" s="315" t="b">
        <v>1</v>
      </c>
      <c r="AB93" s="316"/>
      <c r="AC93" s="317"/>
      <c r="AF93" s="318">
        <f t="shared" si="3"/>
        <v>7625</v>
      </c>
      <c r="AG93" s="318">
        <f t="shared" si="4"/>
        <v>23250</v>
      </c>
      <c r="AH93" s="318">
        <f t="shared" si="5"/>
        <v>19750</v>
      </c>
    </row>
    <row r="94" spans="1:34" ht="15" customHeight="1">
      <c r="A94" s="299" t="s">
        <v>690</v>
      </c>
      <c r="B94" s="299" t="s">
        <v>754</v>
      </c>
      <c r="C94" s="301">
        <v>46262</v>
      </c>
      <c r="D94" s="301">
        <f t="shared" si="0"/>
        <v>46265</v>
      </c>
      <c r="E94" s="301">
        <v>45887</v>
      </c>
      <c r="F94" s="301">
        <f t="shared" si="1"/>
        <v>45900</v>
      </c>
      <c r="G94" s="299" t="s">
        <v>249</v>
      </c>
      <c r="H94" s="299" t="s">
        <v>658</v>
      </c>
      <c r="I94" s="300">
        <v>7750</v>
      </c>
      <c r="J94" s="300">
        <v>1400</v>
      </c>
      <c r="K94" s="300"/>
      <c r="L94" s="300"/>
      <c r="M94" s="300"/>
      <c r="N94" s="300"/>
      <c r="O94" s="300"/>
      <c r="P94" s="300"/>
      <c r="Q94" s="300"/>
      <c r="R94" s="300"/>
      <c r="S94" s="300"/>
      <c r="T94" s="300">
        <v>275</v>
      </c>
      <c r="U94" s="300"/>
      <c r="V94" s="300">
        <f t="shared" si="2"/>
        <v>9425</v>
      </c>
      <c r="W94" s="300">
        <v>750</v>
      </c>
      <c r="X94" s="300">
        <v>8725</v>
      </c>
      <c r="Y94" s="300"/>
      <c r="Z94" s="300">
        <f t="shared" si="10"/>
        <v>700</v>
      </c>
      <c r="AA94" s="315" t="b">
        <v>1</v>
      </c>
      <c r="AB94" s="316"/>
      <c r="AC94" s="317"/>
      <c r="AF94" s="318">
        <f t="shared" si="3"/>
        <v>1675</v>
      </c>
      <c r="AG94" s="318">
        <f t="shared" si="4"/>
        <v>1675</v>
      </c>
      <c r="AH94" s="318">
        <f t="shared" si="5"/>
        <v>1675</v>
      </c>
    </row>
    <row r="95" spans="1:34" ht="15" customHeight="1">
      <c r="A95" s="299" t="s">
        <v>690</v>
      </c>
      <c r="B95" s="299" t="s">
        <v>755</v>
      </c>
      <c r="C95" s="301">
        <v>46263</v>
      </c>
      <c r="D95" s="301">
        <f t="shared" si="0"/>
        <v>46265</v>
      </c>
      <c r="E95" s="301">
        <v>46069</v>
      </c>
      <c r="F95" s="301">
        <f t="shared" si="1"/>
        <v>46081</v>
      </c>
      <c r="G95" s="299" t="s">
        <v>248</v>
      </c>
      <c r="H95" s="299" t="s">
        <v>658</v>
      </c>
      <c r="I95" s="300">
        <v>7250</v>
      </c>
      <c r="J95" s="300">
        <v>1400</v>
      </c>
      <c r="K95" s="300"/>
      <c r="L95" s="300"/>
      <c r="M95" s="300"/>
      <c r="N95" s="300"/>
      <c r="O95" s="300"/>
      <c r="P95" s="300"/>
      <c r="Q95" s="300"/>
      <c r="R95" s="300"/>
      <c r="S95" s="300"/>
      <c r="T95" s="300" t="s">
        <v>697</v>
      </c>
      <c r="U95" s="300"/>
      <c r="V95" s="300">
        <f t="shared" si="2"/>
        <v>8650</v>
      </c>
      <c r="W95" s="300">
        <v>750</v>
      </c>
      <c r="X95" s="300">
        <f>4450+1750</f>
        <v>6200</v>
      </c>
      <c r="Y95" s="300"/>
      <c r="Z95" s="300">
        <f t="shared" si="10"/>
        <v>2450</v>
      </c>
      <c r="AA95" s="315" t="b">
        <v>1</v>
      </c>
      <c r="AB95" s="316"/>
      <c r="AC95" s="317"/>
      <c r="AF95" s="318">
        <f t="shared" si="3"/>
        <v>1400</v>
      </c>
      <c r="AG95" s="318">
        <f t="shared" si="4"/>
        <v>1400</v>
      </c>
      <c r="AH95" s="318">
        <f t="shared" si="5"/>
        <v>1400</v>
      </c>
    </row>
    <row r="96" spans="1:34" ht="15" customHeight="1">
      <c r="A96" s="299" t="s">
        <v>690</v>
      </c>
      <c r="B96" s="299" t="s">
        <v>756</v>
      </c>
      <c r="C96" s="301">
        <v>46263</v>
      </c>
      <c r="D96" s="301">
        <f t="shared" si="0"/>
        <v>46265</v>
      </c>
      <c r="E96" s="301">
        <v>45833</v>
      </c>
      <c r="F96" s="301">
        <f t="shared" si="1"/>
        <v>45838</v>
      </c>
      <c r="G96" s="299" t="s">
        <v>249</v>
      </c>
      <c r="H96" s="299" t="s">
        <v>658</v>
      </c>
      <c r="I96" s="300">
        <v>8000</v>
      </c>
      <c r="J96" s="300">
        <v>1400</v>
      </c>
      <c r="K96" s="300"/>
      <c r="L96" s="300"/>
      <c r="M96" s="300"/>
      <c r="N96" s="300"/>
      <c r="O96" s="300"/>
      <c r="P96" s="300"/>
      <c r="Q96" s="300"/>
      <c r="R96" s="300"/>
      <c r="S96" s="300"/>
      <c r="T96" s="300" t="s">
        <v>697</v>
      </c>
      <c r="U96" s="300"/>
      <c r="V96" s="300">
        <f t="shared" si="2"/>
        <v>9400</v>
      </c>
      <c r="W96" s="300">
        <v>750</v>
      </c>
      <c r="X96" s="300">
        <v>6700</v>
      </c>
      <c r="Y96" s="300"/>
      <c r="Z96" s="300">
        <f t="shared" si="10"/>
        <v>2700</v>
      </c>
      <c r="AA96" s="315" t="b">
        <v>1</v>
      </c>
      <c r="AB96" s="316"/>
      <c r="AC96" s="317"/>
      <c r="AF96" s="318">
        <f t="shared" si="3"/>
        <v>1400</v>
      </c>
      <c r="AG96" s="318">
        <f t="shared" si="4"/>
        <v>1400</v>
      </c>
      <c r="AH96" s="318">
        <f t="shared" si="5"/>
        <v>1400</v>
      </c>
    </row>
    <row r="97" spans="1:34" ht="15" customHeight="1">
      <c r="A97" s="299" t="s">
        <v>690</v>
      </c>
      <c r="B97" s="299" t="s">
        <v>757</v>
      </c>
      <c r="C97" s="301">
        <v>46264</v>
      </c>
      <c r="D97" s="301">
        <f t="shared" si="0"/>
        <v>46265</v>
      </c>
      <c r="E97" s="301">
        <v>46126</v>
      </c>
      <c r="F97" s="301">
        <f t="shared" si="1"/>
        <v>46142</v>
      </c>
      <c r="G97" s="299" t="s">
        <v>249</v>
      </c>
      <c r="H97" s="299" t="s">
        <v>758</v>
      </c>
      <c r="I97" s="300">
        <f>4000-250</f>
        <v>3750</v>
      </c>
      <c r="J97" s="300">
        <v>600</v>
      </c>
      <c r="K97" s="300"/>
      <c r="L97" s="300"/>
      <c r="M97" s="300"/>
      <c r="N97" s="300"/>
      <c r="O97" s="300">
        <v>205</v>
      </c>
      <c r="P97" s="300"/>
      <c r="Q97" s="300"/>
      <c r="R97" s="300"/>
      <c r="S97" s="300"/>
      <c r="T97" s="300" t="s">
        <v>697</v>
      </c>
      <c r="U97" s="300"/>
      <c r="V97" s="300">
        <f t="shared" si="2"/>
        <v>4555</v>
      </c>
      <c r="W97" s="300">
        <v>500</v>
      </c>
      <c r="X97" s="300">
        <v>4600</v>
      </c>
      <c r="Y97" s="300"/>
      <c r="Z97" s="300">
        <f t="shared" si="10"/>
        <v>-45</v>
      </c>
      <c r="AA97" s="315" t="b">
        <v>1</v>
      </c>
      <c r="AB97" s="316" t="s">
        <v>759</v>
      </c>
      <c r="AC97" s="317"/>
      <c r="AF97" s="318">
        <f t="shared" si="3"/>
        <v>600</v>
      </c>
      <c r="AG97" s="318">
        <f t="shared" si="4"/>
        <v>805</v>
      </c>
      <c r="AH97" s="318">
        <f t="shared" si="5"/>
        <v>805</v>
      </c>
    </row>
    <row r="98" spans="1:34" ht="17.25" customHeight="1">
      <c r="A98" s="299" t="s">
        <v>690</v>
      </c>
      <c r="B98" s="299" t="s">
        <v>760</v>
      </c>
      <c r="C98" s="301">
        <v>46269</v>
      </c>
      <c r="D98" s="301">
        <f t="shared" si="0"/>
        <v>46295</v>
      </c>
      <c r="E98" s="301">
        <v>46128</v>
      </c>
      <c r="F98" s="301">
        <f t="shared" si="1"/>
        <v>46142</v>
      </c>
      <c r="G98" s="299" t="s">
        <v>248</v>
      </c>
      <c r="H98" s="299" t="s">
        <v>758</v>
      </c>
      <c r="I98" s="300">
        <f>3200-250</f>
        <v>2950</v>
      </c>
      <c r="J98" s="300" t="s">
        <v>121</v>
      </c>
      <c r="K98" s="300"/>
      <c r="L98" s="300"/>
      <c r="M98" s="300"/>
      <c r="N98" s="300"/>
      <c r="O98" s="300">
        <v>205</v>
      </c>
      <c r="P98" s="300"/>
      <c r="Q98" s="300"/>
      <c r="R98" s="300"/>
      <c r="S98" s="300"/>
      <c r="T98" s="300" t="s">
        <v>697</v>
      </c>
      <c r="U98" s="300"/>
      <c r="V98" s="300">
        <f t="shared" si="2"/>
        <v>3155</v>
      </c>
      <c r="W98" s="300">
        <v>500</v>
      </c>
      <c r="X98" s="300">
        <v>1500</v>
      </c>
      <c r="Y98" s="300"/>
      <c r="Z98" s="300">
        <f t="shared" si="10"/>
        <v>1655</v>
      </c>
      <c r="AA98" s="315" t="b">
        <v>1</v>
      </c>
      <c r="AB98" s="316" t="s">
        <v>761</v>
      </c>
      <c r="AC98" s="317"/>
      <c r="AF98" s="318">
        <f t="shared" si="3"/>
        <v>0</v>
      </c>
      <c r="AG98" s="318">
        <f t="shared" si="4"/>
        <v>205</v>
      </c>
      <c r="AH98" s="318">
        <f t="shared" si="5"/>
        <v>205</v>
      </c>
    </row>
    <row r="99" spans="1:34" ht="15" customHeight="1">
      <c r="A99" s="299" t="s">
        <v>690</v>
      </c>
      <c r="B99" s="299" t="s">
        <v>762</v>
      </c>
      <c r="C99" s="301">
        <v>46269</v>
      </c>
      <c r="D99" s="301">
        <f t="shared" si="0"/>
        <v>46295</v>
      </c>
      <c r="E99" s="301">
        <v>45818</v>
      </c>
      <c r="F99" s="301">
        <f t="shared" si="1"/>
        <v>45838</v>
      </c>
      <c r="G99" s="299" t="s">
        <v>249</v>
      </c>
      <c r="H99" s="299" t="s">
        <v>653</v>
      </c>
      <c r="I99" s="300">
        <v>7500</v>
      </c>
      <c r="J99" s="300">
        <v>0</v>
      </c>
      <c r="K99" s="300"/>
      <c r="L99" s="300"/>
      <c r="M99" s="300"/>
      <c r="N99" s="300"/>
      <c r="O99" s="300"/>
      <c r="P99" s="300"/>
      <c r="Q99" s="300"/>
      <c r="R99" s="300"/>
      <c r="S99" s="300"/>
      <c r="T99" s="300">
        <v>275</v>
      </c>
      <c r="U99" s="300"/>
      <c r="V99" s="300">
        <f t="shared" si="2"/>
        <v>7775</v>
      </c>
      <c r="W99" s="300">
        <v>750</v>
      </c>
      <c r="X99" s="300">
        <v>5670</v>
      </c>
      <c r="Y99" s="300"/>
      <c r="Z99" s="300">
        <f t="shared" si="10"/>
        <v>2105</v>
      </c>
      <c r="AA99" s="315" t="b">
        <v>1</v>
      </c>
      <c r="AB99" s="316"/>
      <c r="AC99" s="317"/>
      <c r="AF99" s="318">
        <f t="shared" si="3"/>
        <v>275</v>
      </c>
      <c r="AG99" s="318">
        <f t="shared" si="4"/>
        <v>275</v>
      </c>
      <c r="AH99" s="318">
        <f t="shared" si="5"/>
        <v>275</v>
      </c>
    </row>
    <row r="100" spans="1:34" ht="15" customHeight="1">
      <c r="A100" s="299" t="s">
        <v>690</v>
      </c>
      <c r="B100" s="299" t="s">
        <v>763</v>
      </c>
      <c r="C100" s="301">
        <v>46270</v>
      </c>
      <c r="D100" s="301">
        <f t="shared" si="0"/>
        <v>46295</v>
      </c>
      <c r="E100" s="301">
        <v>45621</v>
      </c>
      <c r="F100" s="301">
        <f t="shared" si="1"/>
        <v>45626</v>
      </c>
      <c r="G100" s="299" t="s">
        <v>248</v>
      </c>
      <c r="H100" s="299" t="s">
        <v>658</v>
      </c>
      <c r="I100" s="300">
        <v>7000</v>
      </c>
      <c r="J100" s="300">
        <v>1200</v>
      </c>
      <c r="K100" s="300"/>
      <c r="L100" s="300"/>
      <c r="M100" s="300"/>
      <c r="N100" s="300"/>
      <c r="O100" s="300"/>
      <c r="P100" s="300"/>
      <c r="Q100" s="300"/>
      <c r="R100" s="300"/>
      <c r="S100" s="300"/>
      <c r="T100" s="300" t="s">
        <v>697</v>
      </c>
      <c r="U100" s="300"/>
      <c r="V100" s="300">
        <f t="shared" si="2"/>
        <v>8200</v>
      </c>
      <c r="W100" s="300">
        <v>750</v>
      </c>
      <c r="X100" s="300">
        <v>0</v>
      </c>
      <c r="Y100" s="300">
        <v>8200</v>
      </c>
      <c r="Z100" s="300" t="s">
        <v>121</v>
      </c>
      <c r="AA100" s="315" t="b">
        <v>1</v>
      </c>
      <c r="AB100" s="316" t="s">
        <v>764</v>
      </c>
      <c r="AC100" s="317"/>
      <c r="AF100" s="318">
        <f t="shared" si="3"/>
        <v>1200</v>
      </c>
      <c r="AG100" s="318">
        <f t="shared" si="4"/>
        <v>1200</v>
      </c>
      <c r="AH100" s="318">
        <f t="shared" si="5"/>
        <v>1200</v>
      </c>
    </row>
    <row r="101" spans="1:34" ht="15" customHeight="1">
      <c r="A101" s="299" t="s">
        <v>690</v>
      </c>
      <c r="B101" s="299" t="s">
        <v>765</v>
      </c>
      <c r="C101" s="301">
        <v>46270</v>
      </c>
      <c r="D101" s="301">
        <f t="shared" si="0"/>
        <v>46295</v>
      </c>
      <c r="E101" s="301" t="s">
        <v>121</v>
      </c>
      <c r="F101" s="301" t="str">
        <f t="shared" si="1"/>
        <v>-</v>
      </c>
      <c r="G101" s="299" t="s">
        <v>249</v>
      </c>
      <c r="H101" s="299" t="s">
        <v>653</v>
      </c>
      <c r="I101" s="300">
        <v>7750</v>
      </c>
      <c r="J101" s="300">
        <v>0</v>
      </c>
      <c r="K101" s="300"/>
      <c r="L101" s="300"/>
      <c r="M101" s="300"/>
      <c r="N101" s="300"/>
      <c r="O101" s="300"/>
      <c r="P101" s="300"/>
      <c r="Q101" s="300"/>
      <c r="R101" s="300"/>
      <c r="S101" s="300"/>
      <c r="T101" s="300">
        <v>275</v>
      </c>
      <c r="U101" s="300"/>
      <c r="V101" s="300">
        <f t="shared" si="2"/>
        <v>8025</v>
      </c>
      <c r="W101" s="300">
        <v>750</v>
      </c>
      <c r="X101" s="300">
        <v>5830</v>
      </c>
      <c r="Y101" s="300">
        <v>250</v>
      </c>
      <c r="Z101" s="300">
        <v>1945</v>
      </c>
      <c r="AA101" s="315" t="b">
        <v>1</v>
      </c>
      <c r="AB101" s="316" t="s">
        <v>766</v>
      </c>
      <c r="AC101" s="317"/>
      <c r="AF101" s="318">
        <f t="shared" si="3"/>
        <v>275</v>
      </c>
      <c r="AG101" s="318">
        <f t="shared" si="4"/>
        <v>275</v>
      </c>
      <c r="AH101" s="318">
        <f t="shared" si="5"/>
        <v>275</v>
      </c>
    </row>
    <row r="102" spans="1:34" ht="15" customHeight="1">
      <c r="A102" s="299" t="s">
        <v>690</v>
      </c>
      <c r="B102" s="299" t="s">
        <v>767</v>
      </c>
      <c r="C102" s="301">
        <v>46271</v>
      </c>
      <c r="D102" s="301">
        <f t="shared" si="0"/>
        <v>46295</v>
      </c>
      <c r="E102" s="301">
        <v>45727</v>
      </c>
      <c r="F102" s="301">
        <f t="shared" si="1"/>
        <v>45747</v>
      </c>
      <c r="G102" s="299" t="s">
        <v>249</v>
      </c>
      <c r="H102" s="299" t="s">
        <v>653</v>
      </c>
      <c r="I102" s="300">
        <v>8000</v>
      </c>
      <c r="J102" s="300">
        <v>0</v>
      </c>
      <c r="K102" s="300"/>
      <c r="L102" s="300"/>
      <c r="M102" s="300"/>
      <c r="N102" s="300"/>
      <c r="O102" s="300"/>
      <c r="P102" s="300"/>
      <c r="Q102" s="300"/>
      <c r="R102" s="300"/>
      <c r="S102" s="300"/>
      <c r="T102" s="300">
        <v>275</v>
      </c>
      <c r="U102" s="300"/>
      <c r="V102" s="300">
        <f t="shared" si="2"/>
        <v>8275</v>
      </c>
      <c r="W102" s="300">
        <v>750</v>
      </c>
      <c r="X102" s="300">
        <v>6000</v>
      </c>
      <c r="Y102" s="300"/>
      <c r="Z102" s="300">
        <f t="shared" ref="Z102:Z111" si="11">V102-X102</f>
        <v>2275</v>
      </c>
      <c r="AA102" s="315" t="b">
        <v>1</v>
      </c>
      <c r="AB102" s="316"/>
      <c r="AC102" s="317"/>
      <c r="AF102" s="318">
        <f t="shared" si="3"/>
        <v>275</v>
      </c>
      <c r="AG102" s="318">
        <f t="shared" si="4"/>
        <v>275</v>
      </c>
      <c r="AH102" s="318">
        <f t="shared" si="5"/>
        <v>275</v>
      </c>
    </row>
    <row r="103" spans="1:34" ht="15" customHeight="1">
      <c r="A103" s="299" t="s">
        <v>690</v>
      </c>
      <c r="B103" s="299" t="s">
        <v>768</v>
      </c>
      <c r="C103" s="301">
        <v>46273</v>
      </c>
      <c r="D103" s="301">
        <f t="shared" si="0"/>
        <v>46295</v>
      </c>
      <c r="E103" s="301">
        <v>46098</v>
      </c>
      <c r="F103" s="301">
        <f t="shared" si="1"/>
        <v>46112</v>
      </c>
      <c r="G103" s="299" t="s">
        <v>250</v>
      </c>
      <c r="H103" s="299" t="s">
        <v>653</v>
      </c>
      <c r="I103" s="300">
        <v>1750</v>
      </c>
      <c r="J103" s="300">
        <v>0</v>
      </c>
      <c r="K103" s="300"/>
      <c r="L103" s="300"/>
      <c r="M103" s="300"/>
      <c r="N103" s="300"/>
      <c r="O103" s="300"/>
      <c r="P103" s="300"/>
      <c r="Q103" s="300"/>
      <c r="R103" s="300"/>
      <c r="S103" s="300"/>
      <c r="T103" s="300" t="s">
        <v>697</v>
      </c>
      <c r="U103" s="300"/>
      <c r="V103" s="300">
        <f t="shared" si="2"/>
        <v>1750</v>
      </c>
      <c r="W103" s="300">
        <v>500</v>
      </c>
      <c r="X103" s="300">
        <v>1125</v>
      </c>
      <c r="Y103" s="300"/>
      <c r="Z103" s="300">
        <f t="shared" si="11"/>
        <v>625</v>
      </c>
      <c r="AA103" s="315" t="b">
        <v>1</v>
      </c>
      <c r="AB103" s="316"/>
      <c r="AC103" s="317"/>
      <c r="AF103" s="318">
        <f t="shared" si="3"/>
        <v>0</v>
      </c>
      <c r="AG103" s="318">
        <f t="shared" si="4"/>
        <v>0</v>
      </c>
      <c r="AH103" s="318">
        <f t="shared" si="5"/>
        <v>0</v>
      </c>
    </row>
    <row r="104" spans="1:34" ht="15" customHeight="1">
      <c r="A104" s="299" t="s">
        <v>690</v>
      </c>
      <c r="B104" s="299" t="s">
        <v>769</v>
      </c>
      <c r="C104" s="301">
        <v>46276</v>
      </c>
      <c r="D104" s="301">
        <f t="shared" si="0"/>
        <v>46295</v>
      </c>
      <c r="E104" s="301">
        <v>46105</v>
      </c>
      <c r="F104" s="301">
        <f t="shared" si="1"/>
        <v>46112</v>
      </c>
      <c r="G104" s="299" t="s">
        <v>249</v>
      </c>
      <c r="H104" s="299" t="s">
        <v>653</v>
      </c>
      <c r="I104" s="300">
        <v>7500</v>
      </c>
      <c r="J104" s="300">
        <v>0</v>
      </c>
      <c r="K104" s="300"/>
      <c r="L104" s="300"/>
      <c r="M104" s="300"/>
      <c r="N104" s="300"/>
      <c r="O104" s="300"/>
      <c r="P104" s="300"/>
      <c r="Q104" s="300"/>
      <c r="R104" s="300"/>
      <c r="S104" s="300"/>
      <c r="T104" s="300">
        <v>275</v>
      </c>
      <c r="U104" s="300"/>
      <c r="V104" s="300">
        <f t="shared" si="2"/>
        <v>7775</v>
      </c>
      <c r="W104" s="300">
        <v>750</v>
      </c>
      <c r="X104" s="300">
        <v>4166</v>
      </c>
      <c r="Y104" s="300"/>
      <c r="Z104" s="300">
        <f t="shared" si="11"/>
        <v>3609</v>
      </c>
      <c r="AA104" s="315" t="b">
        <v>1</v>
      </c>
      <c r="AB104" s="316"/>
      <c r="AC104" s="317"/>
      <c r="AF104" s="318">
        <f t="shared" si="3"/>
        <v>275</v>
      </c>
      <c r="AG104" s="318">
        <f t="shared" si="4"/>
        <v>275</v>
      </c>
      <c r="AH104" s="318">
        <f t="shared" si="5"/>
        <v>275</v>
      </c>
    </row>
    <row r="105" spans="1:34" ht="15" customHeight="1">
      <c r="A105" s="299" t="s">
        <v>690</v>
      </c>
      <c r="B105" s="299" t="s">
        <v>770</v>
      </c>
      <c r="C105" s="301">
        <v>46277</v>
      </c>
      <c r="D105" s="301">
        <f t="shared" si="0"/>
        <v>46295</v>
      </c>
      <c r="E105" s="301">
        <v>45850</v>
      </c>
      <c r="F105" s="301">
        <f t="shared" si="1"/>
        <v>45869</v>
      </c>
      <c r="G105" s="299" t="s">
        <v>248</v>
      </c>
      <c r="H105" s="299" t="s">
        <v>653</v>
      </c>
      <c r="I105" s="300">
        <v>7000</v>
      </c>
      <c r="J105" s="300">
        <v>0</v>
      </c>
      <c r="K105" s="300"/>
      <c r="L105" s="300"/>
      <c r="M105" s="300"/>
      <c r="N105" s="300"/>
      <c r="O105" s="300"/>
      <c r="P105" s="300"/>
      <c r="Q105" s="300"/>
      <c r="R105" s="300"/>
      <c r="S105" s="300"/>
      <c r="T105" s="300">
        <v>275</v>
      </c>
      <c r="U105" s="300"/>
      <c r="V105" s="300">
        <f t="shared" si="2"/>
        <v>7275</v>
      </c>
      <c r="W105" s="300">
        <v>750</v>
      </c>
      <c r="X105" s="300">
        <v>5340</v>
      </c>
      <c r="Y105" s="300"/>
      <c r="Z105" s="300">
        <f t="shared" si="11"/>
        <v>1935</v>
      </c>
      <c r="AA105" s="315" t="b">
        <v>1</v>
      </c>
      <c r="AB105" s="316"/>
      <c r="AC105" s="317"/>
      <c r="AF105" s="318">
        <f t="shared" si="3"/>
        <v>275</v>
      </c>
      <c r="AG105" s="318">
        <f t="shared" si="4"/>
        <v>275</v>
      </c>
      <c r="AH105" s="318">
        <f t="shared" si="5"/>
        <v>275</v>
      </c>
    </row>
    <row r="106" spans="1:34" ht="15" customHeight="1">
      <c r="A106" s="299" t="s">
        <v>690</v>
      </c>
      <c r="B106" s="299" t="s">
        <v>771</v>
      </c>
      <c r="C106" s="301">
        <v>46277</v>
      </c>
      <c r="D106" s="301">
        <f t="shared" si="0"/>
        <v>46295</v>
      </c>
      <c r="E106" s="301">
        <v>45896</v>
      </c>
      <c r="F106" s="301">
        <f t="shared" si="1"/>
        <v>45900</v>
      </c>
      <c r="G106" s="299" t="s">
        <v>249</v>
      </c>
      <c r="H106" s="299" t="s">
        <v>653</v>
      </c>
      <c r="I106" s="300">
        <v>8250</v>
      </c>
      <c r="J106" s="300">
        <v>0</v>
      </c>
      <c r="K106" s="300"/>
      <c r="L106" s="300"/>
      <c r="M106" s="300"/>
      <c r="N106" s="300"/>
      <c r="O106" s="300"/>
      <c r="P106" s="300"/>
      <c r="Q106" s="300"/>
      <c r="R106" s="300"/>
      <c r="S106" s="300"/>
      <c r="T106" s="300">
        <v>275</v>
      </c>
      <c r="U106" s="300"/>
      <c r="V106" s="300">
        <f t="shared" si="2"/>
        <v>8525</v>
      </c>
      <c r="W106" s="300">
        <v>750</v>
      </c>
      <c r="X106" s="300">
        <v>6170</v>
      </c>
      <c r="Y106" s="300"/>
      <c r="Z106" s="300">
        <f t="shared" si="11"/>
        <v>2355</v>
      </c>
      <c r="AA106" s="315" t="b">
        <v>1</v>
      </c>
      <c r="AB106" s="316"/>
      <c r="AC106" s="317"/>
      <c r="AF106" s="318">
        <f t="shared" si="3"/>
        <v>275</v>
      </c>
      <c r="AG106" s="318">
        <f t="shared" si="4"/>
        <v>275</v>
      </c>
      <c r="AH106" s="318">
        <f t="shared" si="5"/>
        <v>275</v>
      </c>
    </row>
    <row r="107" spans="1:34" ht="15" customHeight="1">
      <c r="A107" s="299" t="s">
        <v>690</v>
      </c>
      <c r="B107" s="299" t="s">
        <v>772</v>
      </c>
      <c r="C107" s="301">
        <v>46280</v>
      </c>
      <c r="D107" s="301">
        <f t="shared" si="0"/>
        <v>46295</v>
      </c>
      <c r="E107" s="301">
        <v>45818</v>
      </c>
      <c r="F107" s="301">
        <f t="shared" si="1"/>
        <v>45838</v>
      </c>
      <c r="G107" s="299" t="s">
        <v>250</v>
      </c>
      <c r="H107" s="299" t="s">
        <v>658</v>
      </c>
      <c r="I107" s="300">
        <v>1750</v>
      </c>
      <c r="J107" s="300">
        <v>200</v>
      </c>
      <c r="K107" s="300"/>
      <c r="L107" s="300"/>
      <c r="M107" s="300"/>
      <c r="N107" s="300"/>
      <c r="O107" s="300"/>
      <c r="P107" s="300"/>
      <c r="Q107" s="300"/>
      <c r="R107" s="300"/>
      <c r="S107" s="300"/>
      <c r="T107" s="300" t="s">
        <v>697</v>
      </c>
      <c r="U107" s="300"/>
      <c r="V107" s="300">
        <f t="shared" si="2"/>
        <v>1950</v>
      </c>
      <c r="W107" s="300">
        <v>500</v>
      </c>
      <c r="X107" s="300">
        <v>1325</v>
      </c>
      <c r="Y107" s="300"/>
      <c r="Z107" s="300">
        <f t="shared" si="11"/>
        <v>625</v>
      </c>
      <c r="AA107" s="315" t="b">
        <v>1</v>
      </c>
      <c r="AB107" s="316"/>
      <c r="AC107" s="317"/>
      <c r="AF107" s="318">
        <f t="shared" si="3"/>
        <v>200</v>
      </c>
      <c r="AG107" s="318">
        <f t="shared" si="4"/>
        <v>200</v>
      </c>
      <c r="AH107" s="318">
        <f t="shared" si="5"/>
        <v>200</v>
      </c>
    </row>
    <row r="108" spans="1:34" ht="15" customHeight="1">
      <c r="A108" s="299" t="s">
        <v>690</v>
      </c>
      <c r="B108" s="299" t="s">
        <v>773</v>
      </c>
      <c r="C108" s="301">
        <v>46283</v>
      </c>
      <c r="D108" s="301">
        <f t="shared" si="0"/>
        <v>46295</v>
      </c>
      <c r="E108" s="301">
        <v>45916</v>
      </c>
      <c r="F108" s="301">
        <f t="shared" si="1"/>
        <v>45930</v>
      </c>
      <c r="G108" s="299" t="s">
        <v>248</v>
      </c>
      <c r="H108" s="299" t="s">
        <v>653</v>
      </c>
      <c r="I108" s="300">
        <v>6500</v>
      </c>
      <c r="J108" s="300">
        <v>0</v>
      </c>
      <c r="K108" s="300"/>
      <c r="L108" s="300"/>
      <c r="M108" s="300"/>
      <c r="N108" s="300"/>
      <c r="O108" s="300"/>
      <c r="P108" s="300"/>
      <c r="Q108" s="300"/>
      <c r="R108" s="300"/>
      <c r="S108" s="300"/>
      <c r="T108" s="300">
        <v>275</v>
      </c>
      <c r="U108" s="300"/>
      <c r="V108" s="300">
        <f t="shared" si="2"/>
        <v>6775</v>
      </c>
      <c r="W108" s="300">
        <v>750</v>
      </c>
      <c r="X108" s="300">
        <v>5000</v>
      </c>
      <c r="Y108" s="300"/>
      <c r="Z108" s="300">
        <f t="shared" si="11"/>
        <v>1775</v>
      </c>
      <c r="AA108" s="315" t="b">
        <v>1</v>
      </c>
      <c r="AB108" s="316"/>
      <c r="AC108" s="317"/>
      <c r="AF108" s="318">
        <f t="shared" si="3"/>
        <v>275</v>
      </c>
      <c r="AG108" s="318">
        <f t="shared" si="4"/>
        <v>275</v>
      </c>
      <c r="AH108" s="318">
        <f t="shared" si="5"/>
        <v>275</v>
      </c>
    </row>
    <row r="109" spans="1:34" ht="15" customHeight="1">
      <c r="A109" s="299" t="s">
        <v>690</v>
      </c>
      <c r="B109" s="299" t="s">
        <v>774</v>
      </c>
      <c r="C109" s="301">
        <v>46283</v>
      </c>
      <c r="D109" s="301">
        <f t="shared" si="0"/>
        <v>46295</v>
      </c>
      <c r="E109" s="301">
        <v>45677</v>
      </c>
      <c r="F109" s="301">
        <f t="shared" si="1"/>
        <v>45688</v>
      </c>
      <c r="G109" s="299" t="s">
        <v>249</v>
      </c>
      <c r="H109" s="299" t="s">
        <v>653</v>
      </c>
      <c r="I109" s="300">
        <v>7500</v>
      </c>
      <c r="J109" s="300" t="s">
        <v>121</v>
      </c>
      <c r="K109" s="300"/>
      <c r="L109" s="300"/>
      <c r="M109" s="300"/>
      <c r="N109" s="300"/>
      <c r="O109" s="300"/>
      <c r="P109" s="300"/>
      <c r="Q109" s="300"/>
      <c r="R109" s="300"/>
      <c r="S109" s="300"/>
      <c r="T109" s="300">
        <v>275</v>
      </c>
      <c r="U109" s="300"/>
      <c r="V109" s="300">
        <f t="shared" si="2"/>
        <v>7775</v>
      </c>
      <c r="W109" s="300">
        <v>750</v>
      </c>
      <c r="X109" s="300">
        <v>5670</v>
      </c>
      <c r="Y109" s="300"/>
      <c r="Z109" s="300">
        <f t="shared" si="11"/>
        <v>2105</v>
      </c>
      <c r="AA109" s="315" t="b">
        <v>1</v>
      </c>
      <c r="AB109" s="316"/>
      <c r="AC109" s="317"/>
      <c r="AF109" s="318">
        <f t="shared" si="3"/>
        <v>275</v>
      </c>
      <c r="AG109" s="318">
        <f t="shared" si="4"/>
        <v>275</v>
      </c>
      <c r="AH109" s="318">
        <f t="shared" si="5"/>
        <v>275</v>
      </c>
    </row>
    <row r="110" spans="1:34" ht="15" customHeight="1">
      <c r="A110" s="299" t="s">
        <v>690</v>
      </c>
      <c r="B110" s="299" t="s">
        <v>616</v>
      </c>
      <c r="C110" s="301">
        <v>46284</v>
      </c>
      <c r="D110" s="301">
        <f t="shared" si="0"/>
        <v>46295</v>
      </c>
      <c r="E110" s="301">
        <v>45868</v>
      </c>
      <c r="F110" s="301">
        <f t="shared" si="1"/>
        <v>45869</v>
      </c>
      <c r="G110" s="299" t="s">
        <v>248</v>
      </c>
      <c r="H110" s="299" t="s">
        <v>674</v>
      </c>
      <c r="I110" s="300">
        <v>7000</v>
      </c>
      <c r="J110" s="300">
        <v>1650</v>
      </c>
      <c r="K110" s="300">
        <v>6000</v>
      </c>
      <c r="L110" s="300">
        <v>2000</v>
      </c>
      <c r="M110" s="300"/>
      <c r="N110" s="300"/>
      <c r="O110" s="300">
        <v>1950</v>
      </c>
      <c r="P110" s="300"/>
      <c r="Q110" s="300">
        <v>1350</v>
      </c>
      <c r="R110" s="300">
        <v>400</v>
      </c>
      <c r="S110" s="300">
        <v>3500</v>
      </c>
      <c r="T110" s="300">
        <v>275</v>
      </c>
      <c r="U110" s="300"/>
      <c r="V110" s="300">
        <f t="shared" si="2"/>
        <v>24125</v>
      </c>
      <c r="W110" s="300">
        <v>750</v>
      </c>
      <c r="X110" s="300">
        <v>23850</v>
      </c>
      <c r="Y110" s="300"/>
      <c r="Z110" s="300">
        <f t="shared" si="11"/>
        <v>275</v>
      </c>
      <c r="AA110" s="315" t="b">
        <v>1</v>
      </c>
      <c r="AB110" s="316"/>
      <c r="AC110" s="317"/>
      <c r="AF110" s="318">
        <f t="shared" si="3"/>
        <v>9175</v>
      </c>
      <c r="AG110" s="318">
        <f t="shared" si="4"/>
        <v>17125</v>
      </c>
      <c r="AH110" s="318">
        <f t="shared" si="5"/>
        <v>13625</v>
      </c>
    </row>
    <row r="111" spans="1:34" ht="15" customHeight="1">
      <c r="A111" s="299" t="s">
        <v>690</v>
      </c>
      <c r="B111" s="299" t="s">
        <v>775</v>
      </c>
      <c r="C111" s="301">
        <v>46284</v>
      </c>
      <c r="D111" s="301">
        <f t="shared" si="0"/>
        <v>46295</v>
      </c>
      <c r="E111" s="301">
        <v>45811</v>
      </c>
      <c r="F111" s="301">
        <f t="shared" si="1"/>
        <v>45838</v>
      </c>
      <c r="G111" s="299" t="s">
        <v>249</v>
      </c>
      <c r="H111" s="299" t="s">
        <v>653</v>
      </c>
      <c r="I111" s="300">
        <v>8000</v>
      </c>
      <c r="J111" s="300">
        <v>0</v>
      </c>
      <c r="K111" s="300"/>
      <c r="L111" s="300"/>
      <c r="M111" s="300"/>
      <c r="N111" s="300"/>
      <c r="O111" s="300"/>
      <c r="P111" s="300"/>
      <c r="Q111" s="300"/>
      <c r="R111" s="300"/>
      <c r="S111" s="300"/>
      <c r="T111" s="300">
        <v>275</v>
      </c>
      <c r="U111" s="300"/>
      <c r="V111" s="300">
        <f t="shared" si="2"/>
        <v>8275</v>
      </c>
      <c r="W111" s="300">
        <v>750</v>
      </c>
      <c r="X111" s="300">
        <v>6000</v>
      </c>
      <c r="Y111" s="300"/>
      <c r="Z111" s="300">
        <f t="shared" si="11"/>
        <v>2275</v>
      </c>
      <c r="AA111" s="315" t="b">
        <v>1</v>
      </c>
      <c r="AB111" s="316"/>
      <c r="AC111" s="317"/>
      <c r="AF111" s="318">
        <f t="shared" si="3"/>
        <v>275</v>
      </c>
      <c r="AG111" s="318">
        <f t="shared" si="4"/>
        <v>275</v>
      </c>
      <c r="AH111" s="318">
        <f t="shared" si="5"/>
        <v>275</v>
      </c>
    </row>
    <row r="112" spans="1:34" ht="15" customHeight="1">
      <c r="A112" s="299" t="s">
        <v>690</v>
      </c>
      <c r="B112" s="299" t="s">
        <v>776</v>
      </c>
      <c r="C112" s="301">
        <v>46285</v>
      </c>
      <c r="D112" s="301">
        <f t="shared" si="0"/>
        <v>46295</v>
      </c>
      <c r="E112" s="301" t="s">
        <v>121</v>
      </c>
      <c r="F112" s="301" t="str">
        <f t="shared" si="1"/>
        <v>-</v>
      </c>
      <c r="G112" s="299" t="s">
        <v>248</v>
      </c>
      <c r="H112" s="299" t="s">
        <v>758</v>
      </c>
      <c r="I112" s="300">
        <v>3200</v>
      </c>
      <c r="J112" s="300" t="s">
        <v>121</v>
      </c>
      <c r="K112" s="300"/>
      <c r="L112" s="300"/>
      <c r="M112" s="300"/>
      <c r="N112" s="300"/>
      <c r="O112" s="300">
        <v>205</v>
      </c>
      <c r="P112" s="300"/>
      <c r="Q112" s="300"/>
      <c r="R112" s="300"/>
      <c r="S112" s="300"/>
      <c r="T112" s="300" t="s">
        <v>697</v>
      </c>
      <c r="U112" s="300"/>
      <c r="V112" s="300">
        <f t="shared" si="2"/>
        <v>3405</v>
      </c>
      <c r="W112" s="300">
        <v>500</v>
      </c>
      <c r="X112" s="300">
        <v>1500</v>
      </c>
      <c r="Y112" s="300"/>
      <c r="Z112" s="300">
        <v>1700</v>
      </c>
      <c r="AA112" s="315" t="b">
        <v>1</v>
      </c>
      <c r="AB112" s="316" t="s">
        <v>777</v>
      </c>
      <c r="AC112" s="317"/>
      <c r="AF112" s="318">
        <f t="shared" si="3"/>
        <v>0</v>
      </c>
      <c r="AG112" s="318">
        <f t="shared" si="4"/>
        <v>205</v>
      </c>
      <c r="AH112" s="318">
        <f t="shared" si="5"/>
        <v>205</v>
      </c>
    </row>
    <row r="113" spans="1:34" ht="15" customHeight="1">
      <c r="A113" s="299" t="s">
        <v>690</v>
      </c>
      <c r="B113" s="299" t="s">
        <v>617</v>
      </c>
      <c r="C113" s="301">
        <v>46285</v>
      </c>
      <c r="D113" s="301">
        <f t="shared" si="0"/>
        <v>46295</v>
      </c>
      <c r="E113" s="301">
        <v>45889</v>
      </c>
      <c r="F113" s="301">
        <f t="shared" si="1"/>
        <v>45900</v>
      </c>
      <c r="G113" s="299" t="s">
        <v>249</v>
      </c>
      <c r="H113" s="299" t="s">
        <v>674</v>
      </c>
      <c r="I113" s="300">
        <v>8200</v>
      </c>
      <c r="J113" s="300">
        <v>2000</v>
      </c>
      <c r="K113" s="300">
        <v>6000</v>
      </c>
      <c r="L113" s="300">
        <v>2000</v>
      </c>
      <c r="M113" s="300">
        <v>4000</v>
      </c>
      <c r="N113" s="300"/>
      <c r="O113" s="300"/>
      <c r="P113" s="300"/>
      <c r="Q113" s="300"/>
      <c r="R113" s="300"/>
      <c r="S113" s="300">
        <v>3500</v>
      </c>
      <c r="T113" s="300">
        <v>275</v>
      </c>
      <c r="U113" s="300"/>
      <c r="V113" s="300">
        <f t="shared" si="2"/>
        <v>25975</v>
      </c>
      <c r="W113" s="300">
        <v>750</v>
      </c>
      <c r="X113" s="300">
        <v>23100</v>
      </c>
      <c r="Y113" s="300"/>
      <c r="Z113" s="300">
        <f t="shared" ref="Z113:Z114" si="12">V113-X113</f>
        <v>2875</v>
      </c>
      <c r="AA113" s="315" t="b">
        <v>1</v>
      </c>
      <c r="AB113" s="316"/>
      <c r="AC113" s="317"/>
      <c r="AF113" s="318">
        <f t="shared" si="3"/>
        <v>7775</v>
      </c>
      <c r="AG113" s="318">
        <f t="shared" si="4"/>
        <v>17775</v>
      </c>
      <c r="AH113" s="318">
        <f t="shared" si="5"/>
        <v>14275</v>
      </c>
    </row>
    <row r="114" spans="1:34" ht="15" customHeight="1">
      <c r="A114" s="299" t="s">
        <v>690</v>
      </c>
      <c r="B114" s="299" t="s">
        <v>778</v>
      </c>
      <c r="C114" s="301">
        <v>46287</v>
      </c>
      <c r="D114" s="301">
        <f t="shared" si="0"/>
        <v>46295</v>
      </c>
      <c r="E114" s="301">
        <v>45768</v>
      </c>
      <c r="F114" s="301">
        <f t="shared" si="1"/>
        <v>45777</v>
      </c>
      <c r="G114" s="299" t="s">
        <v>250</v>
      </c>
      <c r="H114" s="299" t="s">
        <v>653</v>
      </c>
      <c r="I114" s="300">
        <v>1500</v>
      </c>
      <c r="J114" s="300">
        <v>0</v>
      </c>
      <c r="K114" s="300"/>
      <c r="L114" s="300"/>
      <c r="M114" s="300"/>
      <c r="N114" s="300"/>
      <c r="O114" s="300"/>
      <c r="P114" s="300"/>
      <c r="Q114" s="300"/>
      <c r="R114" s="300"/>
      <c r="S114" s="300"/>
      <c r="T114" s="300" t="s">
        <v>697</v>
      </c>
      <c r="U114" s="300"/>
      <c r="V114" s="300">
        <f t="shared" si="2"/>
        <v>1500</v>
      </c>
      <c r="W114" s="300">
        <v>500</v>
      </c>
      <c r="X114" s="300">
        <v>1000</v>
      </c>
      <c r="Y114" s="300"/>
      <c r="Z114" s="300">
        <f t="shared" si="12"/>
        <v>500</v>
      </c>
      <c r="AA114" s="315" t="b">
        <v>1</v>
      </c>
      <c r="AB114" s="316"/>
      <c r="AC114" s="317"/>
      <c r="AF114" s="318">
        <f t="shared" si="3"/>
        <v>0</v>
      </c>
      <c r="AG114" s="318">
        <f t="shared" si="4"/>
        <v>0</v>
      </c>
      <c r="AH114" s="318">
        <f t="shared" si="5"/>
        <v>0</v>
      </c>
    </row>
    <row r="115" spans="1:34" ht="15" customHeight="1">
      <c r="A115" s="299" t="s">
        <v>690</v>
      </c>
      <c r="B115" s="299" t="s">
        <v>779</v>
      </c>
      <c r="C115" s="301">
        <v>46290</v>
      </c>
      <c r="D115" s="301">
        <f t="shared" si="0"/>
        <v>46295</v>
      </c>
      <c r="E115" s="301">
        <v>45855</v>
      </c>
      <c r="F115" s="301">
        <f t="shared" si="1"/>
        <v>45869</v>
      </c>
      <c r="G115" s="299" t="s">
        <v>249</v>
      </c>
      <c r="H115" s="299" t="s">
        <v>658</v>
      </c>
      <c r="I115" s="300">
        <v>7500</v>
      </c>
      <c r="J115" s="300">
        <v>1400</v>
      </c>
      <c r="K115" s="300"/>
      <c r="L115" s="300"/>
      <c r="M115" s="300"/>
      <c r="N115" s="300"/>
      <c r="O115" s="300"/>
      <c r="P115" s="300"/>
      <c r="Q115" s="300"/>
      <c r="R115" s="300"/>
      <c r="S115" s="300"/>
      <c r="T115" s="300">
        <v>275</v>
      </c>
      <c r="U115" s="300"/>
      <c r="V115" s="300">
        <f t="shared" si="2"/>
        <v>9175</v>
      </c>
      <c r="W115" s="300">
        <v>750</v>
      </c>
      <c r="X115" s="300">
        <v>7475</v>
      </c>
      <c r="Y115" s="300"/>
      <c r="Z115" s="300">
        <v>1700</v>
      </c>
      <c r="AA115" s="315" t="b">
        <v>1</v>
      </c>
      <c r="AB115" s="316"/>
      <c r="AC115" s="317"/>
      <c r="AF115" s="318">
        <f t="shared" si="3"/>
        <v>1675</v>
      </c>
      <c r="AG115" s="318">
        <f t="shared" si="4"/>
        <v>1675</v>
      </c>
      <c r="AH115" s="318">
        <f t="shared" si="5"/>
        <v>1675</v>
      </c>
    </row>
    <row r="116" spans="1:34" ht="15" customHeight="1">
      <c r="A116" s="299" t="s">
        <v>690</v>
      </c>
      <c r="B116" s="299" t="s">
        <v>780</v>
      </c>
      <c r="C116" s="301">
        <v>46291</v>
      </c>
      <c r="D116" s="301">
        <f t="shared" si="0"/>
        <v>46295</v>
      </c>
      <c r="E116" s="301">
        <v>45869</v>
      </c>
      <c r="F116" s="301">
        <f t="shared" si="1"/>
        <v>45869</v>
      </c>
      <c r="G116" s="299" t="s">
        <v>248</v>
      </c>
      <c r="H116" s="299" t="s">
        <v>658</v>
      </c>
      <c r="I116" s="300">
        <v>7000</v>
      </c>
      <c r="J116" s="300">
        <v>1400</v>
      </c>
      <c r="K116" s="300"/>
      <c r="L116" s="300"/>
      <c r="M116" s="300"/>
      <c r="N116" s="300"/>
      <c r="O116" s="300"/>
      <c r="P116" s="300"/>
      <c r="Q116" s="300"/>
      <c r="R116" s="300"/>
      <c r="S116" s="300"/>
      <c r="T116" s="300">
        <v>275</v>
      </c>
      <c r="U116" s="300"/>
      <c r="V116" s="300">
        <f t="shared" si="2"/>
        <v>8675</v>
      </c>
      <c r="W116" s="300">
        <v>750</v>
      </c>
      <c r="X116" s="300">
        <v>6030</v>
      </c>
      <c r="Y116" s="300"/>
      <c r="Z116" s="300">
        <v>2645</v>
      </c>
      <c r="AA116" s="315" t="b">
        <v>1</v>
      </c>
      <c r="AB116" s="316"/>
      <c r="AC116" s="317"/>
      <c r="AF116" s="318">
        <f t="shared" si="3"/>
        <v>1675</v>
      </c>
      <c r="AG116" s="318">
        <f t="shared" si="4"/>
        <v>1675</v>
      </c>
      <c r="AH116" s="318">
        <f t="shared" si="5"/>
        <v>1675</v>
      </c>
    </row>
    <row r="117" spans="1:34" ht="15" customHeight="1">
      <c r="A117" s="299" t="s">
        <v>690</v>
      </c>
      <c r="B117" s="299" t="s">
        <v>781</v>
      </c>
      <c r="C117" s="301">
        <v>46291</v>
      </c>
      <c r="D117" s="301">
        <f t="shared" si="0"/>
        <v>46295</v>
      </c>
      <c r="E117" s="301">
        <v>45688</v>
      </c>
      <c r="F117" s="301">
        <f t="shared" si="1"/>
        <v>45688</v>
      </c>
      <c r="G117" s="299" t="s">
        <v>249</v>
      </c>
      <c r="H117" s="299" t="s">
        <v>653</v>
      </c>
      <c r="I117" s="300">
        <v>8000</v>
      </c>
      <c r="J117" s="300">
        <v>0</v>
      </c>
      <c r="K117" s="300"/>
      <c r="L117" s="300"/>
      <c r="M117" s="300"/>
      <c r="N117" s="300"/>
      <c r="O117" s="300"/>
      <c r="P117" s="300"/>
      <c r="Q117" s="300"/>
      <c r="R117" s="300"/>
      <c r="S117" s="300"/>
      <c r="T117" s="300">
        <v>275</v>
      </c>
      <c r="U117" s="300"/>
      <c r="V117" s="300">
        <f t="shared" si="2"/>
        <v>8275</v>
      </c>
      <c r="W117" s="300">
        <v>750</v>
      </c>
      <c r="X117" s="300">
        <v>6000</v>
      </c>
      <c r="Y117" s="300"/>
      <c r="Z117" s="300">
        <f t="shared" ref="Z117:Z121" si="13">V117-X117</f>
        <v>2275</v>
      </c>
      <c r="AA117" s="315" t="b">
        <v>1</v>
      </c>
      <c r="AB117" s="316"/>
      <c r="AC117" s="317"/>
      <c r="AF117" s="318">
        <f t="shared" si="3"/>
        <v>275</v>
      </c>
      <c r="AG117" s="318">
        <f t="shared" si="4"/>
        <v>275</v>
      </c>
      <c r="AH117" s="318">
        <f t="shared" si="5"/>
        <v>275</v>
      </c>
    </row>
    <row r="118" spans="1:34" ht="15" customHeight="1">
      <c r="A118" s="299" t="s">
        <v>690</v>
      </c>
      <c r="B118" s="299" t="s">
        <v>782</v>
      </c>
      <c r="C118" s="301">
        <v>46292</v>
      </c>
      <c r="D118" s="301">
        <f t="shared" si="0"/>
        <v>46295</v>
      </c>
      <c r="E118" s="301">
        <v>45973</v>
      </c>
      <c r="F118" s="301">
        <f t="shared" si="1"/>
        <v>45991</v>
      </c>
      <c r="G118" s="299" t="s">
        <v>248</v>
      </c>
      <c r="H118" s="299" t="s">
        <v>653</v>
      </c>
      <c r="I118" s="300">
        <v>7250</v>
      </c>
      <c r="J118" s="300">
        <v>0</v>
      </c>
      <c r="K118" s="300"/>
      <c r="L118" s="300"/>
      <c r="M118" s="300"/>
      <c r="N118" s="300"/>
      <c r="O118" s="300"/>
      <c r="P118" s="300"/>
      <c r="Q118" s="300"/>
      <c r="R118" s="300"/>
      <c r="S118" s="300"/>
      <c r="T118" s="300" t="s">
        <v>697</v>
      </c>
      <c r="U118" s="300"/>
      <c r="V118" s="300">
        <f t="shared" si="2"/>
        <v>7250</v>
      </c>
      <c r="W118" s="300">
        <v>750</v>
      </c>
      <c r="X118" s="321">
        <v>7250</v>
      </c>
      <c r="Y118" s="300"/>
      <c r="Z118" s="300">
        <f t="shared" si="13"/>
        <v>0</v>
      </c>
      <c r="AA118" s="315" t="b">
        <v>1</v>
      </c>
      <c r="AB118" s="316"/>
      <c r="AC118" s="317"/>
      <c r="AF118" s="318">
        <f t="shared" si="3"/>
        <v>0</v>
      </c>
      <c r="AG118" s="318">
        <f t="shared" si="4"/>
        <v>0</v>
      </c>
      <c r="AH118" s="318">
        <f t="shared" si="5"/>
        <v>0</v>
      </c>
    </row>
    <row r="119" spans="1:34" ht="15" customHeight="1">
      <c r="A119" s="299" t="s">
        <v>690</v>
      </c>
      <c r="B119" s="299" t="s">
        <v>783</v>
      </c>
      <c r="C119" s="301">
        <v>46292</v>
      </c>
      <c r="D119" s="301">
        <f t="shared" si="0"/>
        <v>46295</v>
      </c>
      <c r="E119" s="301">
        <v>45751</v>
      </c>
      <c r="F119" s="301">
        <f t="shared" si="1"/>
        <v>45777</v>
      </c>
      <c r="G119" s="299" t="s">
        <v>249</v>
      </c>
      <c r="H119" s="299" t="s">
        <v>658</v>
      </c>
      <c r="I119" s="300">
        <v>8000</v>
      </c>
      <c r="J119" s="300">
        <v>1400</v>
      </c>
      <c r="K119" s="300"/>
      <c r="L119" s="300"/>
      <c r="M119" s="300"/>
      <c r="N119" s="300"/>
      <c r="O119" s="300"/>
      <c r="P119" s="300"/>
      <c r="Q119" s="300"/>
      <c r="R119" s="300"/>
      <c r="S119" s="300"/>
      <c r="T119" s="300">
        <v>275</v>
      </c>
      <c r="U119" s="300"/>
      <c r="V119" s="300">
        <f t="shared" si="2"/>
        <v>9675</v>
      </c>
      <c r="W119" s="300">
        <v>750</v>
      </c>
      <c r="X119" s="300">
        <v>9400</v>
      </c>
      <c r="Y119" s="300"/>
      <c r="Z119" s="300">
        <f t="shared" si="13"/>
        <v>275</v>
      </c>
      <c r="AA119" s="315" t="b">
        <v>1</v>
      </c>
      <c r="AB119" s="316"/>
      <c r="AC119" s="317"/>
      <c r="AF119" s="318">
        <f t="shared" si="3"/>
        <v>1675</v>
      </c>
      <c r="AG119" s="318">
        <f t="shared" si="4"/>
        <v>1675</v>
      </c>
      <c r="AH119" s="318">
        <f t="shared" si="5"/>
        <v>1675</v>
      </c>
    </row>
    <row r="120" spans="1:34" ht="15" customHeight="1">
      <c r="A120" s="299" t="s">
        <v>690</v>
      </c>
      <c r="B120" s="299" t="s">
        <v>784</v>
      </c>
      <c r="C120" s="301">
        <v>46294</v>
      </c>
      <c r="D120" s="301">
        <f t="shared" si="0"/>
        <v>46295</v>
      </c>
      <c r="E120" s="301">
        <v>46006</v>
      </c>
      <c r="F120" s="301">
        <f t="shared" si="1"/>
        <v>46022</v>
      </c>
      <c r="G120" s="299" t="s">
        <v>250</v>
      </c>
      <c r="H120" s="299" t="s">
        <v>653</v>
      </c>
      <c r="I120" s="300">
        <v>1750</v>
      </c>
      <c r="J120" s="300">
        <v>0</v>
      </c>
      <c r="K120" s="300"/>
      <c r="L120" s="300"/>
      <c r="M120" s="300"/>
      <c r="N120" s="300"/>
      <c r="O120" s="300"/>
      <c r="P120" s="300"/>
      <c r="Q120" s="300"/>
      <c r="R120" s="300"/>
      <c r="S120" s="300"/>
      <c r="T120" s="300" t="s">
        <v>697</v>
      </c>
      <c r="U120" s="300"/>
      <c r="V120" s="300">
        <f t="shared" si="2"/>
        <v>1750</v>
      </c>
      <c r="W120" s="300">
        <v>500</v>
      </c>
      <c r="X120" s="300">
        <v>1125</v>
      </c>
      <c r="Y120" s="300"/>
      <c r="Z120" s="300">
        <f t="shared" si="13"/>
        <v>625</v>
      </c>
      <c r="AA120" s="315" t="b">
        <v>1</v>
      </c>
      <c r="AB120" s="316"/>
      <c r="AC120" s="317"/>
      <c r="AF120" s="318">
        <f t="shared" si="3"/>
        <v>0</v>
      </c>
      <c r="AG120" s="318">
        <f t="shared" si="4"/>
        <v>0</v>
      </c>
      <c r="AH120" s="318">
        <f t="shared" si="5"/>
        <v>0</v>
      </c>
    </row>
    <row r="121" spans="1:34" ht="15" customHeight="1">
      <c r="A121" s="299" t="s">
        <v>690</v>
      </c>
      <c r="B121" s="299" t="s">
        <v>785</v>
      </c>
      <c r="C121" s="301">
        <v>46294</v>
      </c>
      <c r="D121" s="301">
        <f t="shared" si="0"/>
        <v>46295</v>
      </c>
      <c r="E121" s="301">
        <v>46036</v>
      </c>
      <c r="F121" s="301">
        <f t="shared" si="1"/>
        <v>46053</v>
      </c>
      <c r="G121" s="299" t="s">
        <v>250</v>
      </c>
      <c r="H121" s="299" t="s">
        <v>653</v>
      </c>
      <c r="I121" s="300">
        <v>1750</v>
      </c>
      <c r="J121" s="300">
        <v>0</v>
      </c>
      <c r="K121" s="300"/>
      <c r="L121" s="300"/>
      <c r="M121" s="300"/>
      <c r="N121" s="300"/>
      <c r="O121" s="300"/>
      <c r="P121" s="300"/>
      <c r="Q121" s="300"/>
      <c r="R121" s="300"/>
      <c r="S121" s="300"/>
      <c r="T121" s="300" t="s">
        <v>697</v>
      </c>
      <c r="U121" s="300"/>
      <c r="V121" s="300">
        <f t="shared" si="2"/>
        <v>1750</v>
      </c>
      <c r="W121" s="300">
        <v>500</v>
      </c>
      <c r="X121" s="300">
        <v>1750</v>
      </c>
      <c r="Y121" s="300"/>
      <c r="Z121" s="300">
        <f t="shared" si="13"/>
        <v>0</v>
      </c>
      <c r="AA121" s="315" t="b">
        <v>1</v>
      </c>
      <c r="AB121" s="316"/>
      <c r="AC121" s="317"/>
      <c r="AF121" s="318">
        <f t="shared" si="3"/>
        <v>0</v>
      </c>
      <c r="AG121" s="318">
        <f t="shared" si="4"/>
        <v>0</v>
      </c>
      <c r="AH121" s="318">
        <f t="shared" si="5"/>
        <v>0</v>
      </c>
    </row>
    <row r="122" spans="1:34" ht="15.75" customHeight="1">
      <c r="A122" s="299" t="s">
        <v>690</v>
      </c>
      <c r="B122" s="299" t="s">
        <v>786</v>
      </c>
      <c r="C122" s="301">
        <v>46297</v>
      </c>
      <c r="D122" s="301">
        <f t="shared" si="0"/>
        <v>46326</v>
      </c>
      <c r="E122" s="301">
        <v>45856</v>
      </c>
      <c r="F122" s="301">
        <f t="shared" si="1"/>
        <v>45869</v>
      </c>
      <c r="G122" s="299" t="s">
        <v>248</v>
      </c>
      <c r="H122" s="299" t="s">
        <v>653</v>
      </c>
      <c r="I122" s="300">
        <v>5225</v>
      </c>
      <c r="J122" s="300">
        <v>0</v>
      </c>
      <c r="K122" s="300"/>
      <c r="L122" s="300"/>
      <c r="M122" s="300"/>
      <c r="N122" s="300"/>
      <c r="O122" s="300"/>
      <c r="P122" s="300"/>
      <c r="Q122" s="300"/>
      <c r="R122" s="300"/>
      <c r="S122" s="300"/>
      <c r="T122" s="300">
        <v>275</v>
      </c>
      <c r="U122" s="300"/>
      <c r="V122" s="300">
        <f t="shared" si="2"/>
        <v>5500</v>
      </c>
      <c r="W122" s="300">
        <v>750</v>
      </c>
      <c r="X122" s="300" t="s">
        <v>121</v>
      </c>
      <c r="Y122" s="300">
        <v>5225</v>
      </c>
      <c r="Z122" s="300">
        <v>275</v>
      </c>
      <c r="AA122" s="315" t="b">
        <v>1</v>
      </c>
      <c r="AB122" s="316" t="s">
        <v>764</v>
      </c>
      <c r="AC122" s="317"/>
      <c r="AF122" s="318">
        <f t="shared" si="3"/>
        <v>275</v>
      </c>
      <c r="AG122" s="318">
        <f t="shared" si="4"/>
        <v>275</v>
      </c>
      <c r="AH122" s="318">
        <f t="shared" si="5"/>
        <v>275</v>
      </c>
    </row>
    <row r="123" spans="1:34" ht="15" customHeight="1">
      <c r="A123" s="299" t="s">
        <v>690</v>
      </c>
      <c r="B123" s="299" t="s">
        <v>787</v>
      </c>
      <c r="C123" s="301">
        <v>46297</v>
      </c>
      <c r="D123" s="301">
        <f t="shared" si="0"/>
        <v>46326</v>
      </c>
      <c r="E123" s="301">
        <v>45814</v>
      </c>
      <c r="F123" s="301">
        <f t="shared" si="1"/>
        <v>45838</v>
      </c>
      <c r="G123" s="299" t="s">
        <v>249</v>
      </c>
      <c r="H123" s="299" t="s">
        <v>653</v>
      </c>
      <c r="I123" s="300">
        <v>7500</v>
      </c>
      <c r="J123" s="300">
        <v>0</v>
      </c>
      <c r="K123" s="300"/>
      <c r="L123" s="300"/>
      <c r="M123" s="300"/>
      <c r="N123" s="300"/>
      <c r="O123" s="300"/>
      <c r="P123" s="300"/>
      <c r="Q123" s="300"/>
      <c r="R123" s="300"/>
      <c r="S123" s="300"/>
      <c r="T123" s="300">
        <v>275</v>
      </c>
      <c r="U123" s="300"/>
      <c r="V123" s="300">
        <f t="shared" si="2"/>
        <v>7775</v>
      </c>
      <c r="W123" s="300">
        <v>750</v>
      </c>
      <c r="X123" s="300">
        <v>5670</v>
      </c>
      <c r="Y123" s="300"/>
      <c r="Z123" s="300">
        <f t="shared" ref="Z123:Z139" si="14">V123-X123</f>
        <v>2105</v>
      </c>
      <c r="AA123" s="315" t="b">
        <v>1</v>
      </c>
      <c r="AB123" s="316"/>
      <c r="AC123" s="317"/>
      <c r="AF123" s="318">
        <f t="shared" si="3"/>
        <v>275</v>
      </c>
      <c r="AG123" s="318">
        <f t="shared" si="4"/>
        <v>275</v>
      </c>
      <c r="AH123" s="318">
        <f t="shared" si="5"/>
        <v>275</v>
      </c>
    </row>
    <row r="124" spans="1:34" ht="14.25" customHeight="1">
      <c r="A124" s="299" t="s">
        <v>690</v>
      </c>
      <c r="B124" s="299" t="s">
        <v>788</v>
      </c>
      <c r="C124" s="301">
        <v>46298</v>
      </c>
      <c r="D124" s="301">
        <f t="shared" si="0"/>
        <v>46326</v>
      </c>
      <c r="E124" s="301">
        <v>45687</v>
      </c>
      <c r="F124" s="301">
        <f t="shared" si="1"/>
        <v>45688</v>
      </c>
      <c r="G124" s="299" t="s">
        <v>248</v>
      </c>
      <c r="H124" s="299" t="s">
        <v>658</v>
      </c>
      <c r="I124" s="300">
        <v>7000</v>
      </c>
      <c r="J124" s="300">
        <v>1400</v>
      </c>
      <c r="K124" s="300"/>
      <c r="L124" s="300"/>
      <c r="M124" s="300"/>
      <c r="N124" s="300"/>
      <c r="O124" s="300"/>
      <c r="P124" s="300"/>
      <c r="Q124" s="300"/>
      <c r="R124" s="300"/>
      <c r="S124" s="300"/>
      <c r="T124" s="300">
        <v>275</v>
      </c>
      <c r="U124" s="300"/>
      <c r="V124" s="300">
        <f t="shared" si="2"/>
        <v>8675</v>
      </c>
      <c r="W124" s="300">
        <v>750</v>
      </c>
      <c r="X124" s="300">
        <v>6040</v>
      </c>
      <c r="Y124" s="300"/>
      <c r="Z124" s="300">
        <f t="shared" si="14"/>
        <v>2635</v>
      </c>
      <c r="AA124" s="315" t="b">
        <v>1</v>
      </c>
      <c r="AB124" s="316"/>
      <c r="AC124" s="317"/>
      <c r="AF124" s="318">
        <f t="shared" si="3"/>
        <v>1675</v>
      </c>
      <c r="AG124" s="318">
        <f t="shared" si="4"/>
        <v>1675</v>
      </c>
      <c r="AH124" s="318">
        <f t="shared" si="5"/>
        <v>1675</v>
      </c>
    </row>
    <row r="125" spans="1:34" ht="15" customHeight="1">
      <c r="A125" s="299" t="s">
        <v>690</v>
      </c>
      <c r="B125" s="299" t="s">
        <v>789</v>
      </c>
      <c r="C125" s="301">
        <v>46298</v>
      </c>
      <c r="D125" s="301">
        <f t="shared" si="0"/>
        <v>46326</v>
      </c>
      <c r="E125" s="301">
        <v>45561</v>
      </c>
      <c r="F125" s="301">
        <f t="shared" si="1"/>
        <v>45565</v>
      </c>
      <c r="G125" s="299" t="s">
        <v>249</v>
      </c>
      <c r="H125" s="299" t="s">
        <v>653</v>
      </c>
      <c r="I125" s="300">
        <v>7750</v>
      </c>
      <c r="J125" s="300">
        <v>0</v>
      </c>
      <c r="K125" s="300"/>
      <c r="L125" s="300"/>
      <c r="M125" s="300"/>
      <c r="N125" s="300"/>
      <c r="O125" s="300"/>
      <c r="P125" s="300"/>
      <c r="Q125" s="300"/>
      <c r="R125" s="300"/>
      <c r="S125" s="300"/>
      <c r="T125" s="300">
        <v>275</v>
      </c>
      <c r="U125" s="300"/>
      <c r="V125" s="300">
        <f t="shared" si="2"/>
        <v>8025</v>
      </c>
      <c r="W125" s="300">
        <v>750</v>
      </c>
      <c r="X125" s="300">
        <v>5840</v>
      </c>
      <c r="Y125" s="300"/>
      <c r="Z125" s="300">
        <f t="shared" si="14"/>
        <v>2185</v>
      </c>
      <c r="AA125" s="315" t="b">
        <v>1</v>
      </c>
      <c r="AB125" s="316"/>
      <c r="AC125" s="317"/>
      <c r="AF125" s="318">
        <f t="shared" si="3"/>
        <v>275</v>
      </c>
      <c r="AG125" s="318">
        <f t="shared" si="4"/>
        <v>275</v>
      </c>
      <c r="AH125" s="318">
        <f t="shared" si="5"/>
        <v>275</v>
      </c>
    </row>
    <row r="126" spans="1:34" ht="15" customHeight="1">
      <c r="A126" s="299" t="s">
        <v>690</v>
      </c>
      <c r="B126" s="299" t="s">
        <v>790</v>
      </c>
      <c r="C126" s="301">
        <v>46299</v>
      </c>
      <c r="D126" s="301">
        <f t="shared" si="0"/>
        <v>46326</v>
      </c>
      <c r="E126" s="301">
        <v>45677</v>
      </c>
      <c r="F126" s="301">
        <f t="shared" si="1"/>
        <v>45688</v>
      </c>
      <c r="G126" s="299" t="s">
        <v>249</v>
      </c>
      <c r="H126" s="299" t="s">
        <v>658</v>
      </c>
      <c r="I126" s="300">
        <v>8000</v>
      </c>
      <c r="J126" s="300">
        <v>1400</v>
      </c>
      <c r="K126" s="300"/>
      <c r="L126" s="300"/>
      <c r="M126" s="300"/>
      <c r="N126" s="300"/>
      <c r="O126" s="300"/>
      <c r="P126" s="300"/>
      <c r="Q126" s="300"/>
      <c r="R126" s="300"/>
      <c r="S126" s="300"/>
      <c r="T126" s="300">
        <v>275</v>
      </c>
      <c r="U126" s="300"/>
      <c r="V126" s="300">
        <f t="shared" si="2"/>
        <v>9675</v>
      </c>
      <c r="W126" s="300">
        <v>750</v>
      </c>
      <c r="X126" s="300">
        <v>6700</v>
      </c>
      <c r="Y126" s="300"/>
      <c r="Z126" s="300">
        <f t="shared" si="14"/>
        <v>2975</v>
      </c>
      <c r="AA126" s="315" t="b">
        <v>1</v>
      </c>
      <c r="AB126" s="316"/>
      <c r="AC126" s="317"/>
      <c r="AF126" s="318">
        <f t="shared" si="3"/>
        <v>1675</v>
      </c>
      <c r="AG126" s="318">
        <f t="shared" si="4"/>
        <v>1675</v>
      </c>
      <c r="AH126" s="318">
        <f t="shared" si="5"/>
        <v>1675</v>
      </c>
    </row>
    <row r="127" spans="1:34" ht="15" customHeight="1">
      <c r="A127" s="299" t="s">
        <v>690</v>
      </c>
      <c r="B127" s="299" t="s">
        <v>791</v>
      </c>
      <c r="C127" s="301">
        <v>46301</v>
      </c>
      <c r="D127" s="301">
        <f t="shared" si="0"/>
        <v>46326</v>
      </c>
      <c r="E127" s="301">
        <v>45967</v>
      </c>
      <c r="F127" s="301">
        <f t="shared" si="1"/>
        <v>45991</v>
      </c>
      <c r="G127" s="299" t="s">
        <v>250</v>
      </c>
      <c r="H127" s="299" t="s">
        <v>653</v>
      </c>
      <c r="I127" s="300">
        <v>1750</v>
      </c>
      <c r="J127" s="300">
        <v>0</v>
      </c>
      <c r="K127" s="300"/>
      <c r="L127" s="300"/>
      <c r="M127" s="300"/>
      <c r="N127" s="300"/>
      <c r="O127" s="300"/>
      <c r="P127" s="300"/>
      <c r="Q127" s="300"/>
      <c r="R127" s="300"/>
      <c r="S127" s="300"/>
      <c r="T127" s="300" t="s">
        <v>697</v>
      </c>
      <c r="U127" s="300"/>
      <c r="V127" s="300">
        <f t="shared" si="2"/>
        <v>1750</v>
      </c>
      <c r="W127" s="300">
        <v>500</v>
      </c>
      <c r="X127" s="300">
        <v>1125</v>
      </c>
      <c r="Y127" s="300"/>
      <c r="Z127" s="300">
        <f t="shared" si="14"/>
        <v>625</v>
      </c>
      <c r="AA127" s="315" t="b">
        <v>1</v>
      </c>
      <c r="AB127" s="316"/>
      <c r="AC127" s="317"/>
      <c r="AF127" s="318">
        <f t="shared" si="3"/>
        <v>0</v>
      </c>
      <c r="AG127" s="318">
        <f t="shared" si="4"/>
        <v>0</v>
      </c>
      <c r="AH127" s="318">
        <f t="shared" si="5"/>
        <v>0</v>
      </c>
    </row>
    <row r="128" spans="1:34" ht="15" customHeight="1">
      <c r="A128" s="299" t="s">
        <v>690</v>
      </c>
      <c r="B128" s="299" t="s">
        <v>792</v>
      </c>
      <c r="C128" s="301">
        <v>46301</v>
      </c>
      <c r="D128" s="301">
        <f t="shared" si="0"/>
        <v>46326</v>
      </c>
      <c r="E128" s="301">
        <v>46073</v>
      </c>
      <c r="F128" s="301">
        <f t="shared" si="1"/>
        <v>46081</v>
      </c>
      <c r="G128" s="299" t="s">
        <v>249</v>
      </c>
      <c r="H128" s="299" t="s">
        <v>653</v>
      </c>
      <c r="I128" s="300">
        <v>1750</v>
      </c>
      <c r="J128" s="300">
        <v>0</v>
      </c>
      <c r="K128" s="300"/>
      <c r="L128" s="300"/>
      <c r="M128" s="300"/>
      <c r="N128" s="300"/>
      <c r="O128" s="300"/>
      <c r="P128" s="300"/>
      <c r="Q128" s="300"/>
      <c r="R128" s="300"/>
      <c r="S128" s="300"/>
      <c r="T128" s="300" t="s">
        <v>697</v>
      </c>
      <c r="U128" s="300"/>
      <c r="V128" s="300">
        <f t="shared" si="2"/>
        <v>1750</v>
      </c>
      <c r="W128" s="300">
        <v>500</v>
      </c>
      <c r="X128" s="300">
        <v>1750</v>
      </c>
      <c r="Y128" s="300"/>
      <c r="Z128" s="300">
        <f t="shared" si="14"/>
        <v>0</v>
      </c>
      <c r="AA128" s="315" t="b">
        <v>1</v>
      </c>
      <c r="AB128" s="316"/>
      <c r="AC128" s="317"/>
      <c r="AF128" s="318">
        <f t="shared" si="3"/>
        <v>0</v>
      </c>
      <c r="AG128" s="318">
        <f t="shared" si="4"/>
        <v>0</v>
      </c>
      <c r="AH128" s="318">
        <f t="shared" si="5"/>
        <v>0</v>
      </c>
    </row>
    <row r="129" spans="1:34" ht="15" customHeight="1">
      <c r="A129" s="299" t="s">
        <v>690</v>
      </c>
      <c r="B129" s="299" t="s">
        <v>793</v>
      </c>
      <c r="C129" s="301">
        <v>46304</v>
      </c>
      <c r="D129" s="301">
        <f t="shared" si="0"/>
        <v>46326</v>
      </c>
      <c r="E129" s="301" t="s">
        <v>121</v>
      </c>
      <c r="F129" s="301" t="str">
        <f t="shared" si="1"/>
        <v>-</v>
      </c>
      <c r="G129" s="299" t="s">
        <v>248</v>
      </c>
      <c r="H129" s="299" t="s">
        <v>653</v>
      </c>
      <c r="I129" s="300">
        <v>7350</v>
      </c>
      <c r="J129" s="300">
        <v>0</v>
      </c>
      <c r="K129" s="300"/>
      <c r="L129" s="300"/>
      <c r="M129" s="300"/>
      <c r="N129" s="300"/>
      <c r="O129" s="300"/>
      <c r="P129" s="300"/>
      <c r="Q129" s="300"/>
      <c r="R129" s="300"/>
      <c r="S129" s="300"/>
      <c r="T129" s="300">
        <v>275</v>
      </c>
      <c r="U129" s="300"/>
      <c r="V129" s="300">
        <f t="shared" si="2"/>
        <v>7625</v>
      </c>
      <c r="W129" s="300">
        <v>750</v>
      </c>
      <c r="X129" s="300">
        <v>3785</v>
      </c>
      <c r="Y129" s="300"/>
      <c r="Z129" s="300">
        <f t="shared" si="14"/>
        <v>3840</v>
      </c>
      <c r="AA129" s="315" t="b">
        <v>1</v>
      </c>
      <c r="AB129" s="316"/>
      <c r="AC129" s="317"/>
      <c r="AF129" s="318">
        <f t="shared" si="3"/>
        <v>275</v>
      </c>
      <c r="AG129" s="318">
        <f t="shared" si="4"/>
        <v>275</v>
      </c>
      <c r="AH129" s="318">
        <f t="shared" si="5"/>
        <v>275</v>
      </c>
    </row>
    <row r="130" spans="1:34" ht="15" customHeight="1">
      <c r="A130" s="299" t="s">
        <v>690</v>
      </c>
      <c r="B130" s="299" t="s">
        <v>794</v>
      </c>
      <c r="C130" s="301">
        <v>46304</v>
      </c>
      <c r="D130" s="301">
        <f t="shared" si="0"/>
        <v>46326</v>
      </c>
      <c r="E130" s="301">
        <v>45860</v>
      </c>
      <c r="F130" s="301">
        <f t="shared" si="1"/>
        <v>45869</v>
      </c>
      <c r="G130" s="299" t="s">
        <v>249</v>
      </c>
      <c r="H130" s="299" t="s">
        <v>653</v>
      </c>
      <c r="I130" s="300">
        <v>7750</v>
      </c>
      <c r="J130" s="300">
        <v>0</v>
      </c>
      <c r="K130" s="300"/>
      <c r="L130" s="300"/>
      <c r="M130" s="300"/>
      <c r="N130" s="300"/>
      <c r="O130" s="300"/>
      <c r="P130" s="300"/>
      <c r="Q130" s="300"/>
      <c r="R130" s="300"/>
      <c r="S130" s="300"/>
      <c r="T130" s="300">
        <v>275</v>
      </c>
      <c r="U130" s="300"/>
      <c r="V130" s="300">
        <f t="shared" si="2"/>
        <v>8025</v>
      </c>
      <c r="W130" s="300">
        <v>750</v>
      </c>
      <c r="X130" s="300">
        <v>5830</v>
      </c>
      <c r="Y130" s="300"/>
      <c r="Z130" s="300">
        <f t="shared" si="14"/>
        <v>2195</v>
      </c>
      <c r="AA130" s="315" t="b">
        <v>1</v>
      </c>
      <c r="AB130" s="316"/>
      <c r="AC130" s="317"/>
      <c r="AF130" s="318">
        <f t="shared" si="3"/>
        <v>275</v>
      </c>
      <c r="AG130" s="318">
        <f t="shared" si="4"/>
        <v>275</v>
      </c>
      <c r="AH130" s="318">
        <f t="shared" si="5"/>
        <v>275</v>
      </c>
    </row>
    <row r="131" spans="1:34" ht="15" customHeight="1">
      <c r="A131" s="299" t="s">
        <v>690</v>
      </c>
      <c r="B131" s="299" t="s">
        <v>618</v>
      </c>
      <c r="C131" s="301">
        <v>46305</v>
      </c>
      <c r="D131" s="301">
        <f t="shared" si="0"/>
        <v>46326</v>
      </c>
      <c r="E131" s="301">
        <v>45749</v>
      </c>
      <c r="F131" s="301">
        <f t="shared" si="1"/>
        <v>45777</v>
      </c>
      <c r="G131" s="299" t="s">
        <v>248</v>
      </c>
      <c r="H131" s="299" t="s">
        <v>674</v>
      </c>
      <c r="I131" s="300">
        <v>7000</v>
      </c>
      <c r="J131" s="300">
        <v>1900</v>
      </c>
      <c r="K131" s="300"/>
      <c r="L131" s="300">
        <v>2000</v>
      </c>
      <c r="M131" s="300">
        <v>4000</v>
      </c>
      <c r="N131" s="300"/>
      <c r="O131" s="300">
        <v>1750</v>
      </c>
      <c r="P131" s="300"/>
      <c r="Q131" s="300"/>
      <c r="R131" s="300">
        <v>300</v>
      </c>
      <c r="S131" s="300">
        <v>3500</v>
      </c>
      <c r="T131" s="300">
        <v>275</v>
      </c>
      <c r="U131" s="300"/>
      <c r="V131" s="300">
        <f t="shared" si="2"/>
        <v>20725</v>
      </c>
      <c r="W131" s="300">
        <v>750</v>
      </c>
      <c r="X131" s="300">
        <v>16632</v>
      </c>
      <c r="Y131" s="300"/>
      <c r="Z131" s="300">
        <f t="shared" si="14"/>
        <v>4093</v>
      </c>
      <c r="AA131" s="315" t="b">
        <v>1</v>
      </c>
      <c r="AB131" s="316"/>
      <c r="AC131" s="317"/>
      <c r="AF131" s="318">
        <f t="shared" si="3"/>
        <v>7975</v>
      </c>
      <c r="AG131" s="318">
        <f t="shared" si="4"/>
        <v>13725</v>
      </c>
      <c r="AH131" s="318">
        <f t="shared" si="5"/>
        <v>10225</v>
      </c>
    </row>
    <row r="132" spans="1:34" ht="15" customHeight="1">
      <c r="A132" s="299" t="s">
        <v>690</v>
      </c>
      <c r="B132" s="299" t="s">
        <v>795</v>
      </c>
      <c r="C132" s="301">
        <v>46305</v>
      </c>
      <c r="D132" s="301">
        <f t="shared" si="0"/>
        <v>46326</v>
      </c>
      <c r="E132" s="301">
        <v>45496</v>
      </c>
      <c r="F132" s="301">
        <f t="shared" si="1"/>
        <v>45504</v>
      </c>
      <c r="G132" s="299" t="s">
        <v>249</v>
      </c>
      <c r="H132" s="299" t="s">
        <v>658</v>
      </c>
      <c r="I132" s="300">
        <v>7750</v>
      </c>
      <c r="J132" s="300">
        <v>1000</v>
      </c>
      <c r="K132" s="300"/>
      <c r="L132" s="300"/>
      <c r="M132" s="300"/>
      <c r="N132" s="300"/>
      <c r="O132" s="300"/>
      <c r="P132" s="300"/>
      <c r="Q132" s="300"/>
      <c r="R132" s="300"/>
      <c r="S132" s="300"/>
      <c r="T132" s="300">
        <v>275</v>
      </c>
      <c r="U132" s="300"/>
      <c r="V132" s="300">
        <f t="shared" si="2"/>
        <v>9025</v>
      </c>
      <c r="W132" s="300">
        <v>750</v>
      </c>
      <c r="X132" s="300">
        <v>6330</v>
      </c>
      <c r="Y132" s="300"/>
      <c r="Z132" s="300">
        <f t="shared" si="14"/>
        <v>2695</v>
      </c>
      <c r="AA132" s="315" t="b">
        <v>1</v>
      </c>
      <c r="AB132" s="316"/>
      <c r="AC132" s="317"/>
      <c r="AF132" s="318">
        <f t="shared" si="3"/>
        <v>1275</v>
      </c>
      <c r="AG132" s="318">
        <f t="shared" si="4"/>
        <v>1275</v>
      </c>
      <c r="AH132" s="318">
        <f t="shared" si="5"/>
        <v>1275</v>
      </c>
    </row>
    <row r="133" spans="1:34" ht="15" customHeight="1">
      <c r="A133" s="299" t="s">
        <v>690</v>
      </c>
      <c r="B133" s="299" t="s">
        <v>796</v>
      </c>
      <c r="C133" s="301">
        <v>46306</v>
      </c>
      <c r="D133" s="301">
        <f t="shared" si="0"/>
        <v>46326</v>
      </c>
      <c r="E133" s="301">
        <v>45897</v>
      </c>
      <c r="F133" s="301">
        <f t="shared" si="1"/>
        <v>45900</v>
      </c>
      <c r="G133" s="299" t="s">
        <v>249</v>
      </c>
      <c r="H133" s="299" t="s">
        <v>658</v>
      </c>
      <c r="I133" s="300">
        <v>7750</v>
      </c>
      <c r="J133" s="300">
        <v>1400</v>
      </c>
      <c r="K133" s="300"/>
      <c r="L133" s="300"/>
      <c r="M133" s="300"/>
      <c r="N133" s="300"/>
      <c r="O133" s="300"/>
      <c r="P133" s="300"/>
      <c r="Q133" s="300"/>
      <c r="R133" s="300"/>
      <c r="S133" s="300"/>
      <c r="T133" s="300">
        <v>275</v>
      </c>
      <c r="U133" s="300"/>
      <c r="V133" s="300">
        <f t="shared" si="2"/>
        <v>9425</v>
      </c>
      <c r="W133" s="300">
        <v>750</v>
      </c>
      <c r="X133" s="300">
        <v>6532</v>
      </c>
      <c r="Y133" s="300"/>
      <c r="Z133" s="300">
        <f t="shared" si="14"/>
        <v>2893</v>
      </c>
      <c r="AA133" s="315" t="b">
        <v>1</v>
      </c>
      <c r="AB133" s="316"/>
      <c r="AC133" s="317"/>
      <c r="AF133" s="318">
        <f t="shared" si="3"/>
        <v>1675</v>
      </c>
      <c r="AG133" s="318">
        <f t="shared" si="4"/>
        <v>1675</v>
      </c>
      <c r="AH133" s="318">
        <f t="shared" si="5"/>
        <v>1675</v>
      </c>
    </row>
    <row r="134" spans="1:34" ht="15" customHeight="1">
      <c r="A134" s="299" t="s">
        <v>690</v>
      </c>
      <c r="B134" s="299" t="s">
        <v>797</v>
      </c>
      <c r="C134" s="301">
        <v>46308</v>
      </c>
      <c r="D134" s="301">
        <f t="shared" si="0"/>
        <v>46326</v>
      </c>
      <c r="E134" s="301">
        <v>46030</v>
      </c>
      <c r="F134" s="301">
        <f t="shared" si="1"/>
        <v>46053</v>
      </c>
      <c r="G134" s="299" t="s">
        <v>250</v>
      </c>
      <c r="H134" s="299" t="s">
        <v>653</v>
      </c>
      <c r="I134" s="300">
        <v>1750</v>
      </c>
      <c r="J134" s="300">
        <v>0</v>
      </c>
      <c r="K134" s="300"/>
      <c r="L134" s="300"/>
      <c r="M134" s="300"/>
      <c r="N134" s="300"/>
      <c r="O134" s="300"/>
      <c r="P134" s="300"/>
      <c r="Q134" s="300"/>
      <c r="R134" s="300"/>
      <c r="S134" s="300"/>
      <c r="T134" s="300" t="s">
        <v>697</v>
      </c>
      <c r="U134" s="300"/>
      <c r="V134" s="300">
        <f t="shared" si="2"/>
        <v>1750</v>
      </c>
      <c r="W134" s="300">
        <v>500</v>
      </c>
      <c r="X134" s="300">
        <v>1750</v>
      </c>
      <c r="Y134" s="300"/>
      <c r="Z134" s="300">
        <f t="shared" si="14"/>
        <v>0</v>
      </c>
      <c r="AA134" s="315" t="b">
        <v>1</v>
      </c>
      <c r="AB134" s="316"/>
      <c r="AC134" s="317"/>
      <c r="AF134" s="318">
        <f t="shared" si="3"/>
        <v>0</v>
      </c>
      <c r="AG134" s="318">
        <f t="shared" si="4"/>
        <v>0</v>
      </c>
      <c r="AH134" s="318">
        <f t="shared" si="5"/>
        <v>0</v>
      </c>
    </row>
    <row r="135" spans="1:34" ht="15" customHeight="1">
      <c r="A135" s="299" t="s">
        <v>690</v>
      </c>
      <c r="B135" s="299" t="s">
        <v>798</v>
      </c>
      <c r="C135" s="301">
        <v>46308</v>
      </c>
      <c r="D135" s="301">
        <f t="shared" si="0"/>
        <v>46326</v>
      </c>
      <c r="E135" s="301">
        <v>46031</v>
      </c>
      <c r="F135" s="301">
        <f t="shared" si="1"/>
        <v>46053</v>
      </c>
      <c r="G135" s="299" t="s">
        <v>250</v>
      </c>
      <c r="H135" s="299" t="s">
        <v>653</v>
      </c>
      <c r="I135" s="300">
        <v>1750</v>
      </c>
      <c r="J135" s="300">
        <v>0</v>
      </c>
      <c r="K135" s="300"/>
      <c r="L135" s="300"/>
      <c r="M135" s="300"/>
      <c r="N135" s="300"/>
      <c r="O135" s="300"/>
      <c r="P135" s="300"/>
      <c r="Q135" s="300"/>
      <c r="R135" s="300"/>
      <c r="S135" s="300"/>
      <c r="T135" s="300" t="s">
        <v>697</v>
      </c>
      <c r="U135" s="300"/>
      <c r="V135" s="300">
        <f t="shared" si="2"/>
        <v>1750</v>
      </c>
      <c r="W135" s="300">
        <v>500</v>
      </c>
      <c r="X135" s="300">
        <v>1125</v>
      </c>
      <c r="Y135" s="300"/>
      <c r="Z135" s="300">
        <f t="shared" si="14"/>
        <v>625</v>
      </c>
      <c r="AA135" s="315" t="b">
        <v>1</v>
      </c>
      <c r="AB135" s="316"/>
      <c r="AC135" s="317"/>
      <c r="AF135" s="318">
        <f t="shared" si="3"/>
        <v>0</v>
      </c>
      <c r="AG135" s="318">
        <f t="shared" si="4"/>
        <v>0</v>
      </c>
      <c r="AH135" s="318">
        <f t="shared" si="5"/>
        <v>0</v>
      </c>
    </row>
    <row r="136" spans="1:34" ht="15" customHeight="1">
      <c r="A136" s="299" t="s">
        <v>690</v>
      </c>
      <c r="B136" s="299" t="s">
        <v>799</v>
      </c>
      <c r="C136" s="301">
        <v>46311</v>
      </c>
      <c r="D136" s="301">
        <f t="shared" si="0"/>
        <v>46326</v>
      </c>
      <c r="E136" s="301">
        <v>45980</v>
      </c>
      <c r="F136" s="301">
        <f t="shared" si="1"/>
        <v>45991</v>
      </c>
      <c r="G136" s="299" t="s">
        <v>248</v>
      </c>
      <c r="H136" s="299" t="s">
        <v>658</v>
      </c>
      <c r="I136" s="300">
        <v>6500</v>
      </c>
      <c r="J136" s="300">
        <v>1400</v>
      </c>
      <c r="K136" s="300"/>
      <c r="L136" s="300"/>
      <c r="M136" s="300"/>
      <c r="N136" s="300"/>
      <c r="O136" s="300"/>
      <c r="P136" s="300"/>
      <c r="Q136" s="300"/>
      <c r="R136" s="300"/>
      <c r="S136" s="300"/>
      <c r="T136" s="300">
        <v>275</v>
      </c>
      <c r="U136" s="300"/>
      <c r="V136" s="300">
        <f t="shared" si="2"/>
        <v>8175</v>
      </c>
      <c r="W136" s="300">
        <v>750</v>
      </c>
      <c r="X136" s="300">
        <v>5700</v>
      </c>
      <c r="Y136" s="300"/>
      <c r="Z136" s="300">
        <f t="shared" si="14"/>
        <v>2475</v>
      </c>
      <c r="AA136" s="315" t="b">
        <v>1</v>
      </c>
      <c r="AB136" s="316"/>
      <c r="AC136" s="317"/>
      <c r="AF136" s="318">
        <f t="shared" si="3"/>
        <v>1675</v>
      </c>
      <c r="AG136" s="318">
        <f t="shared" si="4"/>
        <v>1675</v>
      </c>
      <c r="AH136" s="318">
        <f t="shared" si="5"/>
        <v>1675</v>
      </c>
    </row>
    <row r="137" spans="1:34" ht="15" customHeight="1">
      <c r="A137" s="299" t="s">
        <v>690</v>
      </c>
      <c r="B137" s="299" t="s">
        <v>800</v>
      </c>
      <c r="C137" s="301">
        <v>46311</v>
      </c>
      <c r="D137" s="301">
        <f t="shared" si="0"/>
        <v>46326</v>
      </c>
      <c r="E137" s="301">
        <v>45707</v>
      </c>
      <c r="F137" s="301">
        <f t="shared" si="1"/>
        <v>45716</v>
      </c>
      <c r="G137" s="299" t="s">
        <v>249</v>
      </c>
      <c r="H137" s="299" t="s">
        <v>653</v>
      </c>
      <c r="I137" s="300">
        <v>9000</v>
      </c>
      <c r="J137" s="300">
        <v>0</v>
      </c>
      <c r="K137" s="300"/>
      <c r="L137" s="300"/>
      <c r="M137" s="300"/>
      <c r="N137" s="300"/>
      <c r="O137" s="300"/>
      <c r="P137" s="300"/>
      <c r="Q137" s="300"/>
      <c r="R137" s="300"/>
      <c r="S137" s="300"/>
      <c r="T137" s="300" t="s">
        <v>697</v>
      </c>
      <c r="U137" s="300"/>
      <c r="V137" s="300">
        <f t="shared" si="2"/>
        <v>9000</v>
      </c>
      <c r="W137" s="300">
        <v>750</v>
      </c>
      <c r="X137" s="300">
        <v>6670</v>
      </c>
      <c r="Y137" s="300"/>
      <c r="Z137" s="300">
        <f t="shared" si="14"/>
        <v>2330</v>
      </c>
      <c r="AA137" s="315" t="b">
        <v>1</v>
      </c>
      <c r="AB137" s="316"/>
      <c r="AC137" s="317"/>
      <c r="AF137" s="318">
        <f t="shared" si="3"/>
        <v>0</v>
      </c>
      <c r="AG137" s="318">
        <f t="shared" si="4"/>
        <v>0</v>
      </c>
      <c r="AH137" s="318">
        <f t="shared" si="5"/>
        <v>0</v>
      </c>
    </row>
    <row r="138" spans="1:34" ht="15" customHeight="1">
      <c r="A138" s="299" t="s">
        <v>690</v>
      </c>
      <c r="B138" s="299" t="s">
        <v>801</v>
      </c>
      <c r="C138" s="301">
        <v>46312</v>
      </c>
      <c r="D138" s="301">
        <f t="shared" si="0"/>
        <v>46326</v>
      </c>
      <c r="E138" s="301">
        <v>45488</v>
      </c>
      <c r="F138" s="301">
        <f t="shared" si="1"/>
        <v>45504</v>
      </c>
      <c r="G138" s="299" t="s">
        <v>248</v>
      </c>
      <c r="H138" s="299" t="s">
        <v>653</v>
      </c>
      <c r="I138" s="300">
        <v>6500</v>
      </c>
      <c r="J138" s="300">
        <v>0</v>
      </c>
      <c r="K138" s="300"/>
      <c r="L138" s="300"/>
      <c r="M138" s="300"/>
      <c r="N138" s="300"/>
      <c r="O138" s="300"/>
      <c r="P138" s="300"/>
      <c r="Q138" s="300"/>
      <c r="R138" s="300"/>
      <c r="S138" s="300"/>
      <c r="T138" s="300">
        <v>250</v>
      </c>
      <c r="U138" s="300"/>
      <c r="V138" s="300">
        <f t="shared" si="2"/>
        <v>6750</v>
      </c>
      <c r="W138" s="300">
        <v>750</v>
      </c>
      <c r="X138" s="300">
        <v>5000</v>
      </c>
      <c r="Y138" s="300"/>
      <c r="Z138" s="300">
        <f t="shared" si="14"/>
        <v>1750</v>
      </c>
      <c r="AA138" s="315" t="b">
        <v>1</v>
      </c>
      <c r="AB138" s="316"/>
      <c r="AC138" s="317"/>
      <c r="AF138" s="318">
        <f t="shared" si="3"/>
        <v>250</v>
      </c>
      <c r="AG138" s="318">
        <f t="shared" si="4"/>
        <v>250</v>
      </c>
      <c r="AH138" s="318">
        <f t="shared" si="5"/>
        <v>250</v>
      </c>
    </row>
    <row r="139" spans="1:34" ht="15" customHeight="1">
      <c r="A139" s="299" t="s">
        <v>690</v>
      </c>
      <c r="B139" s="299" t="s">
        <v>802</v>
      </c>
      <c r="C139" s="301">
        <v>46312</v>
      </c>
      <c r="D139" s="301">
        <f t="shared" si="0"/>
        <v>46326</v>
      </c>
      <c r="E139" s="301" t="s">
        <v>121</v>
      </c>
      <c r="F139" s="301" t="str">
        <f t="shared" si="1"/>
        <v>-</v>
      </c>
      <c r="G139" s="299" t="s">
        <v>249</v>
      </c>
      <c r="H139" s="299" t="s">
        <v>658</v>
      </c>
      <c r="I139" s="300">
        <v>7750</v>
      </c>
      <c r="J139" s="300">
        <v>1000</v>
      </c>
      <c r="K139" s="300"/>
      <c r="L139" s="300"/>
      <c r="M139" s="300"/>
      <c r="N139" s="300"/>
      <c r="O139" s="300"/>
      <c r="P139" s="300"/>
      <c r="Q139" s="300"/>
      <c r="R139" s="300"/>
      <c r="S139" s="300"/>
      <c r="T139" s="300">
        <v>275</v>
      </c>
      <c r="U139" s="300"/>
      <c r="V139" s="300">
        <f t="shared" si="2"/>
        <v>9025</v>
      </c>
      <c r="W139" s="300">
        <v>500</v>
      </c>
      <c r="X139" s="300">
        <v>8525</v>
      </c>
      <c r="Y139" s="300"/>
      <c r="Z139" s="300">
        <f t="shared" si="14"/>
        <v>500</v>
      </c>
      <c r="AA139" s="315" t="b">
        <v>1</v>
      </c>
      <c r="AB139" s="316"/>
      <c r="AC139" s="317"/>
      <c r="AF139" s="318">
        <f t="shared" si="3"/>
        <v>1275</v>
      </c>
      <c r="AG139" s="318">
        <f t="shared" si="4"/>
        <v>1275</v>
      </c>
      <c r="AH139" s="318">
        <f t="shared" si="5"/>
        <v>1275</v>
      </c>
    </row>
    <row r="140" spans="1:34" ht="15" customHeight="1">
      <c r="A140" s="299" t="s">
        <v>690</v>
      </c>
      <c r="B140" s="299" t="s">
        <v>803</v>
      </c>
      <c r="C140" s="301">
        <v>46313</v>
      </c>
      <c r="D140" s="301">
        <f t="shared" si="0"/>
        <v>46326</v>
      </c>
      <c r="E140" s="301">
        <v>46106</v>
      </c>
      <c r="F140" s="301">
        <f t="shared" si="1"/>
        <v>46112</v>
      </c>
      <c r="G140" s="299" t="s">
        <v>248</v>
      </c>
      <c r="H140" s="299" t="s">
        <v>653</v>
      </c>
      <c r="I140" s="300">
        <v>6700</v>
      </c>
      <c r="J140" s="300">
        <v>0</v>
      </c>
      <c r="K140" s="300"/>
      <c r="L140" s="300"/>
      <c r="M140" s="300"/>
      <c r="N140" s="300"/>
      <c r="O140" s="300"/>
      <c r="P140" s="300"/>
      <c r="Q140" s="300"/>
      <c r="R140" s="300"/>
      <c r="S140" s="300"/>
      <c r="T140" s="300">
        <v>275</v>
      </c>
      <c r="U140" s="300"/>
      <c r="V140" s="300">
        <f t="shared" si="2"/>
        <v>6975</v>
      </c>
      <c r="W140" s="300">
        <v>750</v>
      </c>
      <c r="X140" s="300" t="s">
        <v>121</v>
      </c>
      <c r="Y140" s="300">
        <v>6700</v>
      </c>
      <c r="Z140" s="300">
        <v>275</v>
      </c>
      <c r="AA140" s="315" t="b">
        <v>1</v>
      </c>
      <c r="AB140" s="316" t="s">
        <v>804</v>
      </c>
      <c r="AC140" s="317"/>
      <c r="AF140" s="318">
        <f t="shared" si="3"/>
        <v>275</v>
      </c>
      <c r="AG140" s="318">
        <f t="shared" si="4"/>
        <v>275</v>
      </c>
      <c r="AH140" s="318">
        <f t="shared" si="5"/>
        <v>275</v>
      </c>
    </row>
    <row r="141" spans="1:34" ht="15" customHeight="1">
      <c r="A141" s="299" t="s">
        <v>690</v>
      </c>
      <c r="B141" s="299" t="s">
        <v>805</v>
      </c>
      <c r="C141" s="301">
        <v>46313</v>
      </c>
      <c r="D141" s="301">
        <f t="shared" si="0"/>
        <v>46326</v>
      </c>
      <c r="E141" s="301">
        <v>45862</v>
      </c>
      <c r="F141" s="301">
        <f t="shared" si="1"/>
        <v>45869</v>
      </c>
      <c r="G141" s="299" t="s">
        <v>249</v>
      </c>
      <c r="H141" s="299" t="s">
        <v>653</v>
      </c>
      <c r="I141" s="300">
        <v>8250</v>
      </c>
      <c r="J141" s="300">
        <v>0</v>
      </c>
      <c r="K141" s="300"/>
      <c r="L141" s="300"/>
      <c r="M141" s="300"/>
      <c r="N141" s="300"/>
      <c r="O141" s="300"/>
      <c r="P141" s="300"/>
      <c r="Q141" s="300"/>
      <c r="R141" s="300"/>
      <c r="S141" s="300"/>
      <c r="T141" s="300">
        <v>275</v>
      </c>
      <c r="U141" s="300"/>
      <c r="V141" s="300">
        <f t="shared" si="2"/>
        <v>8525</v>
      </c>
      <c r="W141" s="300">
        <v>750</v>
      </c>
      <c r="X141" s="300">
        <v>6170</v>
      </c>
      <c r="Y141" s="300"/>
      <c r="Z141" s="300">
        <f t="shared" ref="Z141:Z165" si="15">V141-X141</f>
        <v>2355</v>
      </c>
      <c r="AA141" s="315" t="b">
        <v>1</v>
      </c>
      <c r="AB141" s="316"/>
      <c r="AC141" s="317"/>
      <c r="AF141" s="318">
        <f t="shared" si="3"/>
        <v>275</v>
      </c>
      <c r="AG141" s="318">
        <f t="shared" si="4"/>
        <v>275</v>
      </c>
      <c r="AH141" s="318">
        <f t="shared" si="5"/>
        <v>275</v>
      </c>
    </row>
    <row r="142" spans="1:34" ht="15" customHeight="1">
      <c r="A142" s="299" t="s">
        <v>690</v>
      </c>
      <c r="B142" s="299" t="s">
        <v>806</v>
      </c>
      <c r="C142" s="301">
        <v>46315</v>
      </c>
      <c r="D142" s="301">
        <f t="shared" si="0"/>
        <v>46326</v>
      </c>
      <c r="E142" s="301">
        <v>45841</v>
      </c>
      <c r="F142" s="301">
        <f t="shared" si="1"/>
        <v>45869</v>
      </c>
      <c r="G142" s="299" t="s">
        <v>250</v>
      </c>
      <c r="H142" s="299" t="s">
        <v>653</v>
      </c>
      <c r="I142" s="300">
        <v>1750</v>
      </c>
      <c r="J142" s="300">
        <v>0</v>
      </c>
      <c r="K142" s="300"/>
      <c r="L142" s="300"/>
      <c r="M142" s="300"/>
      <c r="N142" s="300"/>
      <c r="O142" s="300"/>
      <c r="P142" s="300"/>
      <c r="Q142" s="300"/>
      <c r="R142" s="300"/>
      <c r="S142" s="300"/>
      <c r="T142" s="300" t="s">
        <v>697</v>
      </c>
      <c r="U142" s="300"/>
      <c r="V142" s="300">
        <f t="shared" si="2"/>
        <v>1750</v>
      </c>
      <c r="W142" s="300">
        <v>500</v>
      </c>
      <c r="X142" s="300">
        <v>1125</v>
      </c>
      <c r="Y142" s="300"/>
      <c r="Z142" s="300">
        <f t="shared" si="15"/>
        <v>625</v>
      </c>
      <c r="AA142" s="315" t="b">
        <v>1</v>
      </c>
      <c r="AB142" s="316"/>
      <c r="AC142" s="317"/>
      <c r="AF142" s="318">
        <f t="shared" si="3"/>
        <v>0</v>
      </c>
      <c r="AG142" s="318">
        <f t="shared" si="4"/>
        <v>0</v>
      </c>
      <c r="AH142" s="318">
        <f t="shared" si="5"/>
        <v>0</v>
      </c>
    </row>
    <row r="143" spans="1:34" ht="15" customHeight="1">
      <c r="A143" s="299" t="s">
        <v>690</v>
      </c>
      <c r="B143" s="299" t="s">
        <v>807</v>
      </c>
      <c r="C143" s="301">
        <v>46315</v>
      </c>
      <c r="D143" s="301">
        <f t="shared" si="0"/>
        <v>46326</v>
      </c>
      <c r="E143" s="301">
        <v>46101</v>
      </c>
      <c r="F143" s="301">
        <f t="shared" si="1"/>
        <v>46112</v>
      </c>
      <c r="G143" s="299" t="s">
        <v>250</v>
      </c>
      <c r="H143" s="299" t="s">
        <v>653</v>
      </c>
      <c r="I143" s="300">
        <v>1750</v>
      </c>
      <c r="J143" s="300">
        <v>0</v>
      </c>
      <c r="K143" s="300"/>
      <c r="L143" s="300"/>
      <c r="M143" s="300"/>
      <c r="N143" s="300"/>
      <c r="O143" s="300"/>
      <c r="P143" s="300"/>
      <c r="Q143" s="300"/>
      <c r="R143" s="300"/>
      <c r="S143" s="300"/>
      <c r="T143" s="300" t="s">
        <v>697</v>
      </c>
      <c r="U143" s="300"/>
      <c r="V143" s="300">
        <f t="shared" si="2"/>
        <v>1750</v>
      </c>
      <c r="W143" s="300">
        <v>500</v>
      </c>
      <c r="X143" s="300">
        <v>500</v>
      </c>
      <c r="Y143" s="300"/>
      <c r="Z143" s="300">
        <f t="shared" si="15"/>
        <v>1250</v>
      </c>
      <c r="AA143" s="315" t="b">
        <v>1</v>
      </c>
      <c r="AB143" s="316"/>
      <c r="AC143" s="317"/>
      <c r="AF143" s="318">
        <f t="shared" si="3"/>
        <v>0</v>
      </c>
      <c r="AG143" s="318">
        <f t="shared" si="4"/>
        <v>0</v>
      </c>
      <c r="AH143" s="318">
        <f t="shared" si="5"/>
        <v>0</v>
      </c>
    </row>
    <row r="144" spans="1:34" ht="15" customHeight="1">
      <c r="A144" s="299" t="s">
        <v>690</v>
      </c>
      <c r="B144" s="299" t="s">
        <v>808</v>
      </c>
      <c r="C144" s="301">
        <v>46318</v>
      </c>
      <c r="D144" s="301">
        <f t="shared" si="0"/>
        <v>46326</v>
      </c>
      <c r="E144" s="301">
        <v>45932</v>
      </c>
      <c r="F144" s="301">
        <f t="shared" si="1"/>
        <v>45961</v>
      </c>
      <c r="G144" s="299" t="s">
        <v>248</v>
      </c>
      <c r="H144" s="299" t="s">
        <v>653</v>
      </c>
      <c r="I144" s="300">
        <v>6500</v>
      </c>
      <c r="J144" s="300">
        <v>0</v>
      </c>
      <c r="K144" s="300"/>
      <c r="L144" s="300"/>
      <c r="M144" s="300"/>
      <c r="N144" s="300"/>
      <c r="O144" s="300"/>
      <c r="P144" s="300"/>
      <c r="Q144" s="300"/>
      <c r="R144" s="300"/>
      <c r="S144" s="300"/>
      <c r="T144" s="300">
        <v>275</v>
      </c>
      <c r="U144" s="300"/>
      <c r="V144" s="300">
        <f t="shared" si="2"/>
        <v>6775</v>
      </c>
      <c r="W144" s="300">
        <v>750</v>
      </c>
      <c r="X144" s="300">
        <v>5000</v>
      </c>
      <c r="Y144" s="300"/>
      <c r="Z144" s="300">
        <f t="shared" si="15"/>
        <v>1775</v>
      </c>
      <c r="AA144" s="315" t="b">
        <v>1</v>
      </c>
      <c r="AB144" s="316"/>
      <c r="AC144" s="317"/>
      <c r="AF144" s="318">
        <f t="shared" si="3"/>
        <v>275</v>
      </c>
      <c r="AG144" s="318">
        <f t="shared" si="4"/>
        <v>275</v>
      </c>
      <c r="AH144" s="318">
        <f t="shared" si="5"/>
        <v>275</v>
      </c>
    </row>
    <row r="145" spans="1:34" ht="15" customHeight="1">
      <c r="A145" s="299" t="s">
        <v>690</v>
      </c>
      <c r="B145" s="299" t="s">
        <v>809</v>
      </c>
      <c r="C145" s="301">
        <v>46318</v>
      </c>
      <c r="D145" s="301">
        <f t="shared" si="0"/>
        <v>46326</v>
      </c>
      <c r="E145" s="301">
        <v>45845</v>
      </c>
      <c r="F145" s="301">
        <f t="shared" si="1"/>
        <v>45869</v>
      </c>
      <c r="G145" s="299" t="s">
        <v>249</v>
      </c>
      <c r="H145" s="299" t="s">
        <v>653</v>
      </c>
      <c r="I145" s="300">
        <v>7500</v>
      </c>
      <c r="J145" s="300">
        <v>0</v>
      </c>
      <c r="K145" s="300"/>
      <c r="L145" s="300"/>
      <c r="M145" s="300"/>
      <c r="N145" s="300"/>
      <c r="O145" s="300"/>
      <c r="P145" s="300"/>
      <c r="Q145" s="300"/>
      <c r="R145" s="300"/>
      <c r="S145" s="300"/>
      <c r="T145" s="300">
        <v>275</v>
      </c>
      <c r="U145" s="300"/>
      <c r="V145" s="300">
        <f t="shared" si="2"/>
        <v>7775</v>
      </c>
      <c r="W145" s="300">
        <v>750</v>
      </c>
      <c r="X145" s="300">
        <v>5670</v>
      </c>
      <c r="Y145" s="300"/>
      <c r="Z145" s="300">
        <f t="shared" si="15"/>
        <v>2105</v>
      </c>
      <c r="AA145" s="315" t="b">
        <v>1</v>
      </c>
      <c r="AB145" s="316"/>
      <c r="AC145" s="317"/>
      <c r="AF145" s="318">
        <f t="shared" si="3"/>
        <v>275</v>
      </c>
      <c r="AG145" s="318">
        <f t="shared" si="4"/>
        <v>275</v>
      </c>
      <c r="AH145" s="318">
        <f t="shared" si="5"/>
        <v>275</v>
      </c>
    </row>
    <row r="146" spans="1:34" ht="15" customHeight="1">
      <c r="A146" s="299" t="s">
        <v>690</v>
      </c>
      <c r="B146" s="299" t="s">
        <v>810</v>
      </c>
      <c r="C146" s="301">
        <v>46319</v>
      </c>
      <c r="D146" s="301">
        <f t="shared" si="0"/>
        <v>46326</v>
      </c>
      <c r="E146" s="301" t="s">
        <v>121</v>
      </c>
      <c r="F146" s="301" t="str">
        <f t="shared" si="1"/>
        <v>-</v>
      </c>
      <c r="G146" s="299" t="s">
        <v>248</v>
      </c>
      <c r="H146" s="299" t="s">
        <v>658</v>
      </c>
      <c r="I146" s="300">
        <v>7250</v>
      </c>
      <c r="J146" s="300">
        <v>1400</v>
      </c>
      <c r="K146" s="300"/>
      <c r="L146" s="300"/>
      <c r="M146" s="300"/>
      <c r="N146" s="300"/>
      <c r="O146" s="300"/>
      <c r="P146" s="300"/>
      <c r="Q146" s="300"/>
      <c r="R146" s="300"/>
      <c r="S146" s="300"/>
      <c r="T146" s="300">
        <v>275</v>
      </c>
      <c r="U146" s="300"/>
      <c r="V146" s="300">
        <f t="shared" si="2"/>
        <v>8925</v>
      </c>
      <c r="W146" s="300">
        <v>750</v>
      </c>
      <c r="X146" s="300">
        <v>6200</v>
      </c>
      <c r="Y146" s="300"/>
      <c r="Z146" s="300">
        <f t="shared" si="15"/>
        <v>2725</v>
      </c>
      <c r="AA146" s="315" t="b">
        <v>1</v>
      </c>
      <c r="AB146" s="316"/>
      <c r="AC146" s="317"/>
      <c r="AF146" s="318">
        <f t="shared" si="3"/>
        <v>1675</v>
      </c>
      <c r="AG146" s="318">
        <f t="shared" si="4"/>
        <v>1675</v>
      </c>
      <c r="AH146" s="318">
        <f t="shared" si="5"/>
        <v>1675</v>
      </c>
    </row>
    <row r="147" spans="1:34" ht="15" customHeight="1">
      <c r="A147" s="299" t="s">
        <v>690</v>
      </c>
      <c r="B147" s="299" t="s">
        <v>811</v>
      </c>
      <c r="C147" s="301">
        <v>46319</v>
      </c>
      <c r="D147" s="301">
        <f t="shared" si="0"/>
        <v>46326</v>
      </c>
      <c r="E147" s="301">
        <v>45812</v>
      </c>
      <c r="F147" s="301">
        <f t="shared" si="1"/>
        <v>45838</v>
      </c>
      <c r="G147" s="299" t="s">
        <v>249</v>
      </c>
      <c r="H147" s="299" t="s">
        <v>653</v>
      </c>
      <c r="I147" s="300">
        <v>8000</v>
      </c>
      <c r="J147" s="300">
        <v>0</v>
      </c>
      <c r="K147" s="300"/>
      <c r="L147" s="300"/>
      <c r="M147" s="300"/>
      <c r="N147" s="300"/>
      <c r="O147" s="300"/>
      <c r="P147" s="300"/>
      <c r="Q147" s="300"/>
      <c r="R147" s="300"/>
      <c r="S147" s="300"/>
      <c r="T147" s="300">
        <v>275</v>
      </c>
      <c r="U147" s="300"/>
      <c r="V147" s="300">
        <f t="shared" si="2"/>
        <v>8275</v>
      </c>
      <c r="W147" s="300">
        <v>750</v>
      </c>
      <c r="X147" s="300">
        <v>6000</v>
      </c>
      <c r="Y147" s="300"/>
      <c r="Z147" s="300">
        <f t="shared" si="15"/>
        <v>2275</v>
      </c>
      <c r="AA147" s="315" t="b">
        <v>1</v>
      </c>
      <c r="AB147" s="316"/>
      <c r="AC147" s="317"/>
      <c r="AF147" s="318">
        <f t="shared" si="3"/>
        <v>275</v>
      </c>
      <c r="AG147" s="318">
        <f t="shared" si="4"/>
        <v>275</v>
      </c>
      <c r="AH147" s="318">
        <f t="shared" si="5"/>
        <v>275</v>
      </c>
    </row>
    <row r="148" spans="1:34" ht="15" customHeight="1">
      <c r="A148" s="299" t="s">
        <v>690</v>
      </c>
      <c r="B148" s="299" t="s">
        <v>812</v>
      </c>
      <c r="C148" s="301">
        <v>46320</v>
      </c>
      <c r="D148" s="301">
        <f t="shared" si="0"/>
        <v>46326</v>
      </c>
      <c r="E148" s="301">
        <v>45988</v>
      </c>
      <c r="F148" s="301">
        <f t="shared" si="1"/>
        <v>45991</v>
      </c>
      <c r="G148" s="299" t="s">
        <v>248</v>
      </c>
      <c r="H148" s="299" t="s">
        <v>653</v>
      </c>
      <c r="I148" s="300">
        <v>7250</v>
      </c>
      <c r="J148" s="300">
        <v>0</v>
      </c>
      <c r="K148" s="300"/>
      <c r="L148" s="300"/>
      <c r="M148" s="300"/>
      <c r="N148" s="300"/>
      <c r="O148" s="300"/>
      <c r="P148" s="300"/>
      <c r="Q148" s="300"/>
      <c r="R148" s="300"/>
      <c r="S148" s="300"/>
      <c r="T148" s="300">
        <v>275</v>
      </c>
      <c r="U148" s="300"/>
      <c r="V148" s="300">
        <f t="shared" si="2"/>
        <v>7525</v>
      </c>
      <c r="W148" s="300">
        <v>750</v>
      </c>
      <c r="X148" s="300">
        <v>5500</v>
      </c>
      <c r="Y148" s="300"/>
      <c r="Z148" s="300">
        <f t="shared" si="15"/>
        <v>2025</v>
      </c>
      <c r="AA148" s="315" t="b">
        <v>1</v>
      </c>
      <c r="AB148" s="316"/>
      <c r="AC148" s="317"/>
      <c r="AF148" s="318">
        <f t="shared" si="3"/>
        <v>275</v>
      </c>
      <c r="AG148" s="318">
        <f t="shared" si="4"/>
        <v>275</v>
      </c>
      <c r="AH148" s="318">
        <f t="shared" si="5"/>
        <v>275</v>
      </c>
    </row>
    <row r="149" spans="1:34" ht="15" customHeight="1">
      <c r="A149" s="299" t="s">
        <v>690</v>
      </c>
      <c r="B149" s="299" t="s">
        <v>813</v>
      </c>
      <c r="C149" s="301">
        <v>46320</v>
      </c>
      <c r="D149" s="301">
        <f t="shared" si="0"/>
        <v>46326</v>
      </c>
      <c r="E149" s="301">
        <v>45912</v>
      </c>
      <c r="F149" s="301">
        <f t="shared" si="1"/>
        <v>45930</v>
      </c>
      <c r="G149" s="299" t="s">
        <v>249</v>
      </c>
      <c r="H149" s="299" t="s">
        <v>658</v>
      </c>
      <c r="I149" s="300">
        <v>8250</v>
      </c>
      <c r="J149" s="300">
        <v>1200</v>
      </c>
      <c r="K149" s="300"/>
      <c r="L149" s="300"/>
      <c r="M149" s="300"/>
      <c r="N149" s="300"/>
      <c r="O149" s="300"/>
      <c r="P149" s="300"/>
      <c r="Q149" s="300"/>
      <c r="R149" s="300"/>
      <c r="S149" s="300"/>
      <c r="T149" s="300">
        <v>275</v>
      </c>
      <c r="U149" s="300"/>
      <c r="V149" s="300">
        <f t="shared" si="2"/>
        <v>9725</v>
      </c>
      <c r="W149" s="300">
        <v>750</v>
      </c>
      <c r="X149" s="300">
        <v>6770</v>
      </c>
      <c r="Y149" s="300"/>
      <c r="Z149" s="300">
        <f t="shared" si="15"/>
        <v>2955</v>
      </c>
      <c r="AA149" s="315" t="b">
        <v>1</v>
      </c>
      <c r="AB149" s="316"/>
      <c r="AC149" s="317"/>
      <c r="AF149" s="318">
        <f t="shared" si="3"/>
        <v>1475</v>
      </c>
      <c r="AG149" s="318">
        <f t="shared" si="4"/>
        <v>1475</v>
      </c>
      <c r="AH149" s="318">
        <f t="shared" si="5"/>
        <v>1475</v>
      </c>
    </row>
    <row r="150" spans="1:34" ht="15" customHeight="1">
      <c r="A150" s="299" t="s">
        <v>690</v>
      </c>
      <c r="B150" s="299" t="s">
        <v>814</v>
      </c>
      <c r="C150" s="301">
        <v>46322</v>
      </c>
      <c r="D150" s="301">
        <f t="shared" si="0"/>
        <v>46326</v>
      </c>
      <c r="E150" s="301">
        <v>46000</v>
      </c>
      <c r="F150" s="301">
        <f t="shared" si="1"/>
        <v>46022</v>
      </c>
      <c r="G150" s="299" t="s">
        <v>250</v>
      </c>
      <c r="H150" s="299" t="s">
        <v>653</v>
      </c>
      <c r="I150" s="300">
        <v>1750</v>
      </c>
      <c r="J150" s="300">
        <v>0</v>
      </c>
      <c r="K150" s="300"/>
      <c r="L150" s="300"/>
      <c r="M150" s="300"/>
      <c r="N150" s="300"/>
      <c r="O150" s="300"/>
      <c r="P150" s="300"/>
      <c r="Q150" s="300"/>
      <c r="R150" s="300"/>
      <c r="S150" s="300"/>
      <c r="T150" s="300" t="s">
        <v>697</v>
      </c>
      <c r="U150" s="300"/>
      <c r="V150" s="300">
        <f t="shared" si="2"/>
        <v>1750</v>
      </c>
      <c r="W150" s="300">
        <v>500</v>
      </c>
      <c r="X150" s="300">
        <v>1125</v>
      </c>
      <c r="Y150" s="300"/>
      <c r="Z150" s="300">
        <f t="shared" si="15"/>
        <v>625</v>
      </c>
      <c r="AA150" s="315" t="b">
        <v>1</v>
      </c>
      <c r="AB150" s="316"/>
      <c r="AC150" s="317"/>
      <c r="AF150" s="318">
        <f t="shared" si="3"/>
        <v>0</v>
      </c>
      <c r="AG150" s="318">
        <f t="shared" si="4"/>
        <v>0</v>
      </c>
      <c r="AH150" s="318">
        <f t="shared" si="5"/>
        <v>0</v>
      </c>
    </row>
    <row r="151" spans="1:34" ht="15" customHeight="1">
      <c r="A151" s="299" t="s">
        <v>690</v>
      </c>
      <c r="B151" s="299" t="s">
        <v>815</v>
      </c>
      <c r="C151" s="301">
        <v>46325</v>
      </c>
      <c r="D151" s="301">
        <f t="shared" si="0"/>
        <v>46326</v>
      </c>
      <c r="E151" s="301">
        <v>45911</v>
      </c>
      <c r="F151" s="301">
        <f t="shared" si="1"/>
        <v>45930</v>
      </c>
      <c r="G151" s="299" t="s">
        <v>248</v>
      </c>
      <c r="H151" s="299" t="s">
        <v>658</v>
      </c>
      <c r="I151" s="300">
        <v>6500</v>
      </c>
      <c r="J151" s="300">
        <v>1400</v>
      </c>
      <c r="K151" s="300"/>
      <c r="L151" s="300"/>
      <c r="M151" s="300"/>
      <c r="N151" s="300"/>
      <c r="O151" s="300"/>
      <c r="P151" s="300"/>
      <c r="Q151" s="300"/>
      <c r="R151" s="300"/>
      <c r="S151" s="300"/>
      <c r="T151" s="300">
        <v>275</v>
      </c>
      <c r="U151" s="300"/>
      <c r="V151" s="300">
        <f t="shared" si="2"/>
        <v>8175</v>
      </c>
      <c r="W151" s="300">
        <v>750</v>
      </c>
      <c r="X151" s="300">
        <v>5700</v>
      </c>
      <c r="Y151" s="300"/>
      <c r="Z151" s="300">
        <f t="shared" si="15"/>
        <v>2475</v>
      </c>
      <c r="AA151" s="315" t="b">
        <v>1</v>
      </c>
      <c r="AB151" s="316"/>
      <c r="AC151" s="317"/>
      <c r="AF151" s="318">
        <f t="shared" si="3"/>
        <v>1675</v>
      </c>
      <c r="AG151" s="318">
        <f t="shared" si="4"/>
        <v>1675</v>
      </c>
      <c r="AH151" s="318">
        <f t="shared" si="5"/>
        <v>1675</v>
      </c>
    </row>
    <row r="152" spans="1:34" ht="15" customHeight="1">
      <c r="A152" s="299" t="s">
        <v>690</v>
      </c>
      <c r="B152" s="299" t="s">
        <v>816</v>
      </c>
      <c r="C152" s="301">
        <v>46327</v>
      </c>
      <c r="D152" s="301">
        <f t="shared" si="0"/>
        <v>46356</v>
      </c>
      <c r="E152" s="301">
        <v>45965</v>
      </c>
      <c r="F152" s="301">
        <f t="shared" si="1"/>
        <v>45991</v>
      </c>
      <c r="G152" s="299" t="s">
        <v>249</v>
      </c>
      <c r="H152" s="299" t="s">
        <v>653</v>
      </c>
      <c r="I152" s="300">
        <v>8250</v>
      </c>
      <c r="J152" s="300">
        <v>0</v>
      </c>
      <c r="K152" s="300"/>
      <c r="L152" s="300"/>
      <c r="M152" s="300"/>
      <c r="N152" s="300"/>
      <c r="O152" s="300"/>
      <c r="P152" s="300"/>
      <c r="Q152" s="300"/>
      <c r="R152" s="300"/>
      <c r="S152" s="300"/>
      <c r="T152" s="300">
        <v>275</v>
      </c>
      <c r="U152" s="300"/>
      <c r="V152" s="300">
        <f t="shared" si="2"/>
        <v>8525</v>
      </c>
      <c r="W152" s="300">
        <v>750</v>
      </c>
      <c r="X152" s="300">
        <v>4085</v>
      </c>
      <c r="Y152" s="300"/>
      <c r="Z152" s="300">
        <f t="shared" si="15"/>
        <v>4440</v>
      </c>
      <c r="AA152" s="315" t="b">
        <v>1</v>
      </c>
      <c r="AB152" s="316"/>
      <c r="AC152" s="317"/>
      <c r="AF152" s="318">
        <f t="shared" si="3"/>
        <v>275</v>
      </c>
      <c r="AG152" s="318">
        <f t="shared" si="4"/>
        <v>275</v>
      </c>
      <c r="AH152" s="318">
        <f t="shared" si="5"/>
        <v>275</v>
      </c>
    </row>
    <row r="153" spans="1:34" ht="15" customHeight="1">
      <c r="A153" s="299" t="s">
        <v>690</v>
      </c>
      <c r="B153" s="299" t="s">
        <v>817</v>
      </c>
      <c r="C153" s="301">
        <v>46332</v>
      </c>
      <c r="D153" s="301">
        <f t="shared" si="0"/>
        <v>46356</v>
      </c>
      <c r="E153" s="301">
        <v>45989</v>
      </c>
      <c r="F153" s="301">
        <f t="shared" si="1"/>
        <v>45991</v>
      </c>
      <c r="G153" s="299" t="s">
        <v>249</v>
      </c>
      <c r="H153" s="299" t="s">
        <v>658</v>
      </c>
      <c r="I153" s="300">
        <v>7750</v>
      </c>
      <c r="J153" s="300">
        <v>1400</v>
      </c>
      <c r="K153" s="300"/>
      <c r="L153" s="300"/>
      <c r="M153" s="300"/>
      <c r="N153" s="300"/>
      <c r="O153" s="300"/>
      <c r="P153" s="300"/>
      <c r="Q153" s="300"/>
      <c r="R153" s="300"/>
      <c r="S153" s="300"/>
      <c r="T153" s="300">
        <v>275</v>
      </c>
      <c r="U153" s="300"/>
      <c r="V153" s="300">
        <f t="shared" si="2"/>
        <v>9425</v>
      </c>
      <c r="W153" s="300">
        <v>750</v>
      </c>
      <c r="X153" s="300">
        <v>8450</v>
      </c>
      <c r="Y153" s="300"/>
      <c r="Z153" s="300">
        <f t="shared" si="15"/>
        <v>975</v>
      </c>
      <c r="AA153" s="315" t="b">
        <v>1</v>
      </c>
      <c r="AB153" s="316"/>
      <c r="AC153" s="317"/>
      <c r="AF153" s="318">
        <f t="shared" si="3"/>
        <v>1675</v>
      </c>
      <c r="AG153" s="318">
        <f t="shared" si="4"/>
        <v>1675</v>
      </c>
      <c r="AH153" s="318">
        <f t="shared" si="5"/>
        <v>1675</v>
      </c>
    </row>
    <row r="154" spans="1:34" ht="15" customHeight="1">
      <c r="A154" s="299" t="s">
        <v>690</v>
      </c>
      <c r="B154" s="299" t="s">
        <v>818</v>
      </c>
      <c r="C154" s="301">
        <v>46333</v>
      </c>
      <c r="D154" s="301">
        <f t="shared" si="0"/>
        <v>46356</v>
      </c>
      <c r="E154" s="301">
        <v>45698</v>
      </c>
      <c r="F154" s="301">
        <f t="shared" si="1"/>
        <v>45716</v>
      </c>
      <c r="G154" s="299" t="s">
        <v>248</v>
      </c>
      <c r="H154" s="299" t="s">
        <v>653</v>
      </c>
      <c r="I154" s="300">
        <v>7000</v>
      </c>
      <c r="J154" s="300">
        <v>0</v>
      </c>
      <c r="K154" s="300"/>
      <c r="L154" s="300"/>
      <c r="M154" s="300"/>
      <c r="N154" s="300"/>
      <c r="O154" s="300"/>
      <c r="P154" s="300"/>
      <c r="Q154" s="300"/>
      <c r="R154" s="300"/>
      <c r="S154" s="300"/>
      <c r="T154" s="300">
        <v>275</v>
      </c>
      <c r="U154" s="300"/>
      <c r="V154" s="300">
        <f t="shared" si="2"/>
        <v>7275</v>
      </c>
      <c r="W154" s="300">
        <v>750</v>
      </c>
      <c r="X154" s="300">
        <v>5340</v>
      </c>
      <c r="Y154" s="300"/>
      <c r="Z154" s="300">
        <f t="shared" si="15"/>
        <v>1935</v>
      </c>
      <c r="AA154" s="315" t="b">
        <v>1</v>
      </c>
      <c r="AB154" s="316"/>
      <c r="AC154" s="317"/>
      <c r="AF154" s="318">
        <f t="shared" si="3"/>
        <v>275</v>
      </c>
      <c r="AG154" s="318">
        <f t="shared" si="4"/>
        <v>275</v>
      </c>
      <c r="AH154" s="318">
        <f t="shared" si="5"/>
        <v>275</v>
      </c>
    </row>
    <row r="155" spans="1:34" ht="15" customHeight="1">
      <c r="A155" s="299" t="s">
        <v>690</v>
      </c>
      <c r="B155" s="299" t="s">
        <v>619</v>
      </c>
      <c r="C155" s="301">
        <v>46333</v>
      </c>
      <c r="D155" s="301">
        <f t="shared" si="0"/>
        <v>46356</v>
      </c>
      <c r="E155" s="301">
        <v>45706</v>
      </c>
      <c r="F155" s="301">
        <f t="shared" si="1"/>
        <v>45716</v>
      </c>
      <c r="G155" s="299" t="s">
        <v>249</v>
      </c>
      <c r="H155" s="299" t="s">
        <v>674</v>
      </c>
      <c r="I155" s="300">
        <v>8000</v>
      </c>
      <c r="J155" s="300">
        <v>2000</v>
      </c>
      <c r="K155" s="300">
        <v>2000</v>
      </c>
      <c r="L155" s="300"/>
      <c r="M155" s="300">
        <v>4000</v>
      </c>
      <c r="N155" s="300">
        <v>5000</v>
      </c>
      <c r="O155" s="300">
        <v>800</v>
      </c>
      <c r="P155" s="300"/>
      <c r="Q155" s="300"/>
      <c r="R155" s="300"/>
      <c r="S155" s="300">
        <v>4000</v>
      </c>
      <c r="T155" s="300">
        <v>275</v>
      </c>
      <c r="U155" s="300"/>
      <c r="V155" s="300">
        <f t="shared" si="2"/>
        <v>26075</v>
      </c>
      <c r="W155" s="300">
        <v>750</v>
      </c>
      <c r="X155" s="321">
        <v>19870</v>
      </c>
      <c r="Y155" s="300"/>
      <c r="Z155" s="300">
        <f t="shared" si="15"/>
        <v>6205</v>
      </c>
      <c r="AA155" s="315" t="b">
        <v>1</v>
      </c>
      <c r="AB155" s="316"/>
      <c r="AC155" s="317"/>
      <c r="AF155" s="318">
        <f t="shared" si="3"/>
        <v>6275</v>
      </c>
      <c r="AG155" s="318">
        <f t="shared" si="4"/>
        <v>18075</v>
      </c>
      <c r="AH155" s="318">
        <f t="shared" si="5"/>
        <v>14075</v>
      </c>
    </row>
    <row r="156" spans="1:34" ht="15" customHeight="1">
      <c r="A156" s="299" t="s">
        <v>690</v>
      </c>
      <c r="B156" s="299" t="s">
        <v>819</v>
      </c>
      <c r="C156" s="301">
        <v>46334</v>
      </c>
      <c r="D156" s="301">
        <f t="shared" si="0"/>
        <v>46356</v>
      </c>
      <c r="E156" s="301">
        <v>46010</v>
      </c>
      <c r="F156" s="301">
        <f t="shared" si="1"/>
        <v>46022</v>
      </c>
      <c r="G156" s="299" t="s">
        <v>249</v>
      </c>
      <c r="H156" s="299" t="s">
        <v>653</v>
      </c>
      <c r="I156" s="300">
        <v>8250</v>
      </c>
      <c r="J156" s="300">
        <v>0</v>
      </c>
      <c r="K156" s="300"/>
      <c r="L156" s="300"/>
      <c r="M156" s="300"/>
      <c r="N156" s="300"/>
      <c r="O156" s="300"/>
      <c r="P156" s="300"/>
      <c r="Q156" s="300"/>
      <c r="R156" s="300"/>
      <c r="S156" s="300"/>
      <c r="T156" s="300">
        <v>275</v>
      </c>
      <c r="U156" s="300"/>
      <c r="V156" s="300">
        <f t="shared" si="2"/>
        <v>8525</v>
      </c>
      <c r="W156" s="300">
        <v>750</v>
      </c>
      <c r="X156" s="300">
        <v>6170</v>
      </c>
      <c r="Y156" s="300"/>
      <c r="Z156" s="300">
        <f t="shared" si="15"/>
        <v>2355</v>
      </c>
      <c r="AA156" s="315" t="b">
        <v>1</v>
      </c>
      <c r="AB156" s="316"/>
      <c r="AC156" s="317"/>
      <c r="AF156" s="318">
        <f t="shared" si="3"/>
        <v>275</v>
      </c>
      <c r="AG156" s="318">
        <f t="shared" si="4"/>
        <v>275</v>
      </c>
      <c r="AH156" s="318">
        <f t="shared" si="5"/>
        <v>275</v>
      </c>
    </row>
    <row r="157" spans="1:34" ht="15" customHeight="1">
      <c r="A157" s="299" t="s">
        <v>690</v>
      </c>
      <c r="B157" s="299" t="s">
        <v>820</v>
      </c>
      <c r="C157" s="301">
        <v>46336</v>
      </c>
      <c r="D157" s="301">
        <f t="shared" si="0"/>
        <v>46356</v>
      </c>
      <c r="E157" s="301">
        <v>46131</v>
      </c>
      <c r="F157" s="301">
        <f t="shared" si="1"/>
        <v>46142</v>
      </c>
      <c r="G157" s="299" t="s">
        <v>250</v>
      </c>
      <c r="H157" s="299" t="s">
        <v>653</v>
      </c>
      <c r="I157" s="300">
        <v>1750</v>
      </c>
      <c r="J157" s="300" t="s">
        <v>121</v>
      </c>
      <c r="K157" s="300"/>
      <c r="L157" s="300"/>
      <c r="M157" s="300"/>
      <c r="N157" s="300"/>
      <c r="O157" s="300"/>
      <c r="P157" s="300"/>
      <c r="Q157" s="300"/>
      <c r="R157" s="300"/>
      <c r="S157" s="300"/>
      <c r="T157" s="300" t="s">
        <v>697</v>
      </c>
      <c r="U157" s="300"/>
      <c r="V157" s="300">
        <f t="shared" si="2"/>
        <v>1750</v>
      </c>
      <c r="W157" s="300">
        <v>500</v>
      </c>
      <c r="X157" s="300">
        <v>500</v>
      </c>
      <c r="Y157" s="300"/>
      <c r="Z157" s="300">
        <f t="shared" si="15"/>
        <v>1250</v>
      </c>
      <c r="AA157" s="315" t="b">
        <v>1</v>
      </c>
      <c r="AB157" s="316"/>
      <c r="AC157" s="317"/>
      <c r="AF157" s="318">
        <f t="shared" si="3"/>
        <v>0</v>
      </c>
      <c r="AG157" s="318">
        <f t="shared" si="4"/>
        <v>0</v>
      </c>
      <c r="AH157" s="318">
        <f t="shared" si="5"/>
        <v>0</v>
      </c>
    </row>
    <row r="158" spans="1:34" ht="15" customHeight="1">
      <c r="A158" s="299" t="s">
        <v>690</v>
      </c>
      <c r="B158" s="299" t="s">
        <v>821</v>
      </c>
      <c r="C158" s="301">
        <v>46339</v>
      </c>
      <c r="D158" s="301">
        <f t="shared" si="0"/>
        <v>46356</v>
      </c>
      <c r="E158" s="301">
        <v>45885</v>
      </c>
      <c r="F158" s="301">
        <f t="shared" si="1"/>
        <v>45900</v>
      </c>
      <c r="G158" s="299" t="s">
        <v>248</v>
      </c>
      <c r="H158" s="299" t="s">
        <v>653</v>
      </c>
      <c r="I158" s="300">
        <v>6500</v>
      </c>
      <c r="J158" s="300">
        <v>0</v>
      </c>
      <c r="K158" s="300"/>
      <c r="L158" s="300"/>
      <c r="M158" s="300"/>
      <c r="N158" s="300"/>
      <c r="O158" s="300"/>
      <c r="P158" s="300"/>
      <c r="Q158" s="300"/>
      <c r="R158" s="300"/>
      <c r="S158" s="300"/>
      <c r="T158" s="300">
        <v>275</v>
      </c>
      <c r="U158" s="300"/>
      <c r="V158" s="300">
        <f t="shared" si="2"/>
        <v>6775</v>
      </c>
      <c r="W158" s="300">
        <v>750</v>
      </c>
      <c r="X158" s="321">
        <v>5000</v>
      </c>
      <c r="Y158" s="300"/>
      <c r="Z158" s="300">
        <f t="shared" si="15"/>
        <v>1775</v>
      </c>
      <c r="AA158" s="315" t="b">
        <v>1</v>
      </c>
      <c r="AB158" s="316"/>
      <c r="AC158" s="317"/>
      <c r="AF158" s="318">
        <f t="shared" si="3"/>
        <v>275</v>
      </c>
      <c r="AG158" s="318">
        <f t="shared" si="4"/>
        <v>275</v>
      </c>
      <c r="AH158" s="318">
        <f t="shared" si="5"/>
        <v>275</v>
      </c>
    </row>
    <row r="159" spans="1:34" ht="15" customHeight="1">
      <c r="A159" s="299" t="s">
        <v>690</v>
      </c>
      <c r="B159" s="299" t="s">
        <v>822</v>
      </c>
      <c r="C159" s="301">
        <v>46339</v>
      </c>
      <c r="D159" s="301">
        <f t="shared" si="0"/>
        <v>46356</v>
      </c>
      <c r="E159" s="301">
        <v>45790</v>
      </c>
      <c r="F159" s="301">
        <f t="shared" si="1"/>
        <v>45808</v>
      </c>
      <c r="G159" s="299" t="s">
        <v>249</v>
      </c>
      <c r="H159" s="299" t="s">
        <v>658</v>
      </c>
      <c r="I159" s="300">
        <v>9000</v>
      </c>
      <c r="J159" s="300">
        <v>1500</v>
      </c>
      <c r="K159" s="300"/>
      <c r="L159" s="300"/>
      <c r="M159" s="300"/>
      <c r="N159" s="300"/>
      <c r="O159" s="300"/>
      <c r="P159" s="300"/>
      <c r="Q159" s="300"/>
      <c r="R159" s="300"/>
      <c r="S159" s="300"/>
      <c r="T159" s="300">
        <v>275</v>
      </c>
      <c r="U159" s="300"/>
      <c r="V159" s="300">
        <f t="shared" si="2"/>
        <v>10775</v>
      </c>
      <c r="W159" s="300">
        <v>750</v>
      </c>
      <c r="X159" s="300">
        <v>5035</v>
      </c>
      <c r="Y159" s="300"/>
      <c r="Z159" s="300">
        <f t="shared" si="15"/>
        <v>5740</v>
      </c>
      <c r="AA159" s="315" t="b">
        <v>1</v>
      </c>
      <c r="AB159" s="316"/>
      <c r="AC159" s="317"/>
      <c r="AF159" s="318">
        <f t="shared" si="3"/>
        <v>1775</v>
      </c>
      <c r="AG159" s="318">
        <f t="shared" si="4"/>
        <v>1775</v>
      </c>
      <c r="AH159" s="318">
        <f t="shared" si="5"/>
        <v>1775</v>
      </c>
    </row>
    <row r="160" spans="1:34" ht="15" customHeight="1">
      <c r="A160" s="299" t="s">
        <v>690</v>
      </c>
      <c r="B160" s="299" t="s">
        <v>823</v>
      </c>
      <c r="C160" s="301">
        <v>46340</v>
      </c>
      <c r="D160" s="301">
        <f t="shared" si="0"/>
        <v>46356</v>
      </c>
      <c r="E160" s="301">
        <v>45583</v>
      </c>
      <c r="F160" s="301">
        <f t="shared" si="1"/>
        <v>45596</v>
      </c>
      <c r="G160" s="299" t="s">
        <v>249</v>
      </c>
      <c r="H160" s="299" t="s">
        <v>658</v>
      </c>
      <c r="I160" s="300">
        <v>7750</v>
      </c>
      <c r="J160" s="300">
        <v>1400</v>
      </c>
      <c r="K160" s="300"/>
      <c r="L160" s="300"/>
      <c r="M160" s="300"/>
      <c r="N160" s="300"/>
      <c r="O160" s="300"/>
      <c r="P160" s="300"/>
      <c r="Q160" s="300"/>
      <c r="R160" s="300"/>
      <c r="S160" s="300"/>
      <c r="T160" s="300" t="s">
        <v>697</v>
      </c>
      <c r="U160" s="300"/>
      <c r="V160" s="300">
        <f t="shared" si="2"/>
        <v>9150</v>
      </c>
      <c r="W160" s="300">
        <v>750</v>
      </c>
      <c r="X160" s="300">
        <v>6530</v>
      </c>
      <c r="Y160" s="300"/>
      <c r="Z160" s="300">
        <f t="shared" si="15"/>
        <v>2620</v>
      </c>
      <c r="AA160" s="315" t="b">
        <v>1</v>
      </c>
      <c r="AB160" s="316"/>
      <c r="AC160" s="317"/>
      <c r="AF160" s="318">
        <f t="shared" si="3"/>
        <v>1400</v>
      </c>
      <c r="AG160" s="318">
        <f t="shared" si="4"/>
        <v>1400</v>
      </c>
      <c r="AH160" s="318">
        <f t="shared" si="5"/>
        <v>1400</v>
      </c>
    </row>
    <row r="161" spans="1:34" ht="15" customHeight="1">
      <c r="A161" s="299" t="s">
        <v>690</v>
      </c>
      <c r="B161" s="299" t="s">
        <v>824</v>
      </c>
      <c r="C161" s="301">
        <v>46341</v>
      </c>
      <c r="D161" s="301">
        <f t="shared" si="0"/>
        <v>46356</v>
      </c>
      <c r="E161" s="301" t="s">
        <v>121</v>
      </c>
      <c r="F161" s="301" t="str">
        <f t="shared" si="1"/>
        <v>-</v>
      </c>
      <c r="G161" s="299" t="s">
        <v>249</v>
      </c>
      <c r="H161" s="299" t="s">
        <v>653</v>
      </c>
      <c r="I161" s="300">
        <v>8250</v>
      </c>
      <c r="J161" s="300">
        <v>0</v>
      </c>
      <c r="K161" s="300"/>
      <c r="L161" s="300"/>
      <c r="M161" s="300"/>
      <c r="N161" s="300"/>
      <c r="O161" s="300"/>
      <c r="P161" s="300"/>
      <c r="Q161" s="300"/>
      <c r="R161" s="300"/>
      <c r="S161" s="300"/>
      <c r="T161" s="300" t="s">
        <v>697</v>
      </c>
      <c r="U161" s="300"/>
      <c r="V161" s="300">
        <f t="shared" si="2"/>
        <v>8250</v>
      </c>
      <c r="W161" s="300">
        <v>750</v>
      </c>
      <c r="X161" s="300">
        <v>2500</v>
      </c>
      <c r="Y161" s="300"/>
      <c r="Z161" s="300">
        <f t="shared" si="15"/>
        <v>5750</v>
      </c>
      <c r="AA161" s="315" t="b">
        <v>1</v>
      </c>
      <c r="AB161" s="316"/>
      <c r="AC161" s="317"/>
      <c r="AF161" s="318">
        <f t="shared" si="3"/>
        <v>0</v>
      </c>
      <c r="AG161" s="318">
        <f t="shared" si="4"/>
        <v>0</v>
      </c>
      <c r="AH161" s="318">
        <f t="shared" si="5"/>
        <v>0</v>
      </c>
    </row>
    <row r="162" spans="1:34" ht="15" customHeight="1">
      <c r="A162" s="299" t="s">
        <v>690</v>
      </c>
      <c r="B162" s="299" t="s">
        <v>825</v>
      </c>
      <c r="C162" s="301">
        <v>46346</v>
      </c>
      <c r="D162" s="301">
        <f t="shared" si="0"/>
        <v>46356</v>
      </c>
      <c r="E162" s="301" t="s">
        <v>121</v>
      </c>
      <c r="F162" s="301" t="str">
        <f t="shared" si="1"/>
        <v>-</v>
      </c>
      <c r="G162" s="299" t="s">
        <v>249</v>
      </c>
      <c r="H162" s="299" t="s">
        <v>653</v>
      </c>
      <c r="I162" s="300">
        <v>7250</v>
      </c>
      <c r="J162" s="300">
        <v>0</v>
      </c>
      <c r="K162" s="300"/>
      <c r="L162" s="300"/>
      <c r="M162" s="300"/>
      <c r="N162" s="300"/>
      <c r="O162" s="300"/>
      <c r="P162" s="300"/>
      <c r="Q162" s="300"/>
      <c r="R162" s="300"/>
      <c r="S162" s="300"/>
      <c r="T162" s="300">
        <v>275</v>
      </c>
      <c r="U162" s="300"/>
      <c r="V162" s="300">
        <f t="shared" si="2"/>
        <v>7525</v>
      </c>
      <c r="W162" s="300">
        <v>750</v>
      </c>
      <c r="X162" s="300">
        <v>5500</v>
      </c>
      <c r="Y162" s="300"/>
      <c r="Z162" s="300">
        <f t="shared" si="15"/>
        <v>2025</v>
      </c>
      <c r="AA162" s="315" t="b">
        <v>1</v>
      </c>
      <c r="AB162" s="316"/>
      <c r="AC162" s="317"/>
      <c r="AF162" s="318">
        <f t="shared" si="3"/>
        <v>275</v>
      </c>
      <c r="AG162" s="318">
        <f t="shared" si="4"/>
        <v>275</v>
      </c>
      <c r="AH162" s="318">
        <f t="shared" si="5"/>
        <v>275</v>
      </c>
    </row>
    <row r="163" spans="1:34" ht="15" customHeight="1">
      <c r="A163" s="299" t="s">
        <v>690</v>
      </c>
      <c r="B163" s="299" t="s">
        <v>826</v>
      </c>
      <c r="C163" s="301">
        <v>46347</v>
      </c>
      <c r="D163" s="301">
        <f t="shared" si="0"/>
        <v>46356</v>
      </c>
      <c r="E163" s="301">
        <v>46070</v>
      </c>
      <c r="F163" s="301">
        <f t="shared" si="1"/>
        <v>46081</v>
      </c>
      <c r="G163" s="299" t="s">
        <v>249</v>
      </c>
      <c r="H163" s="299" t="s">
        <v>653</v>
      </c>
      <c r="I163" s="300">
        <v>8250</v>
      </c>
      <c r="J163" s="300">
        <v>0</v>
      </c>
      <c r="K163" s="300"/>
      <c r="L163" s="300"/>
      <c r="M163" s="300"/>
      <c r="N163" s="300"/>
      <c r="O163" s="300"/>
      <c r="P163" s="300"/>
      <c r="Q163" s="300"/>
      <c r="R163" s="300"/>
      <c r="S163" s="300"/>
      <c r="T163" s="300" t="s">
        <v>697</v>
      </c>
      <c r="U163" s="300"/>
      <c r="V163" s="300">
        <f t="shared" si="2"/>
        <v>8250</v>
      </c>
      <c r="W163" s="300">
        <v>750</v>
      </c>
      <c r="X163" s="300">
        <v>4083</v>
      </c>
      <c r="Y163" s="300"/>
      <c r="Z163" s="300">
        <f t="shared" si="15"/>
        <v>4167</v>
      </c>
      <c r="AA163" s="315" t="b">
        <v>1</v>
      </c>
      <c r="AB163" s="316"/>
      <c r="AC163" s="317"/>
      <c r="AF163" s="318">
        <f t="shared" si="3"/>
        <v>0</v>
      </c>
      <c r="AG163" s="318">
        <f t="shared" si="4"/>
        <v>0</v>
      </c>
      <c r="AH163" s="318">
        <f t="shared" si="5"/>
        <v>0</v>
      </c>
    </row>
    <row r="164" spans="1:34" ht="15" customHeight="1">
      <c r="A164" s="299" t="s">
        <v>690</v>
      </c>
      <c r="B164" s="299" t="s">
        <v>827</v>
      </c>
      <c r="C164" s="301">
        <v>46348</v>
      </c>
      <c r="D164" s="301">
        <f t="shared" si="0"/>
        <v>46356</v>
      </c>
      <c r="E164" s="301">
        <v>46126</v>
      </c>
      <c r="F164" s="301">
        <f t="shared" si="1"/>
        <v>46142</v>
      </c>
      <c r="G164" s="299" t="s">
        <v>249</v>
      </c>
      <c r="H164" s="299" t="s">
        <v>653</v>
      </c>
      <c r="I164" s="300">
        <v>8250</v>
      </c>
      <c r="J164" s="300" t="s">
        <v>121</v>
      </c>
      <c r="K164" s="300"/>
      <c r="L164" s="300"/>
      <c r="M164" s="300"/>
      <c r="N164" s="300"/>
      <c r="O164" s="300"/>
      <c r="P164" s="300"/>
      <c r="Q164" s="300"/>
      <c r="R164" s="300"/>
      <c r="S164" s="300"/>
      <c r="T164" s="300">
        <v>275</v>
      </c>
      <c r="U164" s="300"/>
      <c r="V164" s="300">
        <f t="shared" si="2"/>
        <v>8525</v>
      </c>
      <c r="W164" s="300">
        <v>750</v>
      </c>
      <c r="X164" s="300">
        <v>8250</v>
      </c>
      <c r="Y164" s="300"/>
      <c r="Z164" s="300">
        <f t="shared" si="15"/>
        <v>275</v>
      </c>
      <c r="AA164" s="315" t="b">
        <v>1</v>
      </c>
      <c r="AB164" s="316"/>
      <c r="AC164" s="317"/>
      <c r="AF164" s="318">
        <f t="shared" si="3"/>
        <v>275</v>
      </c>
      <c r="AG164" s="318">
        <f t="shared" si="4"/>
        <v>275</v>
      </c>
      <c r="AH164" s="318">
        <f t="shared" si="5"/>
        <v>275</v>
      </c>
    </row>
    <row r="165" spans="1:34" ht="15" customHeight="1">
      <c r="A165" s="299" t="s">
        <v>690</v>
      </c>
      <c r="B165" s="299" t="s">
        <v>828</v>
      </c>
      <c r="C165" s="301">
        <v>46360</v>
      </c>
      <c r="D165" s="301">
        <f t="shared" si="0"/>
        <v>46387</v>
      </c>
      <c r="E165" s="301">
        <v>46126</v>
      </c>
      <c r="F165" s="301">
        <f t="shared" si="1"/>
        <v>46142</v>
      </c>
      <c r="G165" s="299" t="s">
        <v>249</v>
      </c>
      <c r="H165" s="299" t="s">
        <v>653</v>
      </c>
      <c r="I165" s="300">
        <v>7750</v>
      </c>
      <c r="J165" s="300" t="s">
        <v>121</v>
      </c>
      <c r="K165" s="300"/>
      <c r="L165" s="300"/>
      <c r="M165" s="300"/>
      <c r="N165" s="300"/>
      <c r="O165" s="300"/>
      <c r="P165" s="300"/>
      <c r="Q165" s="300"/>
      <c r="R165" s="300"/>
      <c r="S165" s="300"/>
      <c r="T165" s="300" t="s">
        <v>697</v>
      </c>
      <c r="U165" s="300">
        <v>400</v>
      </c>
      <c r="V165" s="300">
        <f t="shared" si="2"/>
        <v>8150</v>
      </c>
      <c r="W165" s="300">
        <v>750</v>
      </c>
      <c r="X165" s="300">
        <v>2500</v>
      </c>
      <c r="Y165" s="300"/>
      <c r="Z165" s="300">
        <f t="shared" si="15"/>
        <v>5650</v>
      </c>
      <c r="AA165" s="315" t="b">
        <v>1</v>
      </c>
      <c r="AB165" s="316" t="s">
        <v>829</v>
      </c>
      <c r="AC165" s="317"/>
      <c r="AF165" s="318">
        <f t="shared" si="3"/>
        <v>400</v>
      </c>
      <c r="AG165" s="318">
        <f t="shared" si="4"/>
        <v>400</v>
      </c>
      <c r="AH165" s="318">
        <f t="shared" si="5"/>
        <v>0</v>
      </c>
    </row>
    <row r="166" spans="1:34" ht="15" customHeight="1">
      <c r="A166" s="323" t="s">
        <v>690</v>
      </c>
      <c r="B166" s="323" t="s">
        <v>830</v>
      </c>
      <c r="C166" s="324">
        <v>46361</v>
      </c>
      <c r="D166" s="301">
        <f t="shared" si="0"/>
        <v>46387</v>
      </c>
      <c r="E166" s="301">
        <v>46149</v>
      </c>
      <c r="F166" s="301">
        <f t="shared" si="1"/>
        <v>46173</v>
      </c>
      <c r="G166" s="323" t="s">
        <v>831</v>
      </c>
      <c r="H166" s="323" t="s">
        <v>653</v>
      </c>
      <c r="I166" s="321">
        <v>14500</v>
      </c>
      <c r="J166" s="321" t="s">
        <v>121</v>
      </c>
      <c r="K166" s="321"/>
      <c r="L166" s="321"/>
      <c r="M166" s="321"/>
      <c r="N166" s="321"/>
      <c r="O166" s="321"/>
      <c r="P166" s="321"/>
      <c r="Q166" s="321"/>
      <c r="R166" s="321"/>
      <c r="S166" s="321"/>
      <c r="T166" s="321">
        <v>275</v>
      </c>
      <c r="U166" s="321"/>
      <c r="V166" s="321">
        <v>14775</v>
      </c>
      <c r="W166" s="321">
        <v>750</v>
      </c>
      <c r="X166" s="321">
        <v>4000</v>
      </c>
      <c r="Y166" s="321"/>
      <c r="Z166" s="321">
        <v>10775</v>
      </c>
      <c r="AA166" s="325"/>
      <c r="AB166" s="322"/>
      <c r="AC166" s="326"/>
      <c r="AF166" s="318">
        <f t="shared" si="3"/>
        <v>275</v>
      </c>
      <c r="AG166" s="318">
        <f t="shared" si="4"/>
        <v>275</v>
      </c>
      <c r="AH166" s="318">
        <f t="shared" si="5"/>
        <v>275</v>
      </c>
    </row>
    <row r="167" spans="1:34" ht="15" customHeight="1">
      <c r="A167" s="299" t="s">
        <v>690</v>
      </c>
      <c r="B167" s="299" t="s">
        <v>832</v>
      </c>
      <c r="C167" s="301">
        <v>46368</v>
      </c>
      <c r="D167" s="301">
        <f t="shared" si="0"/>
        <v>46387</v>
      </c>
      <c r="E167" s="301">
        <v>46044</v>
      </c>
      <c r="F167" s="301">
        <f t="shared" si="1"/>
        <v>46053</v>
      </c>
      <c r="G167" s="299" t="s">
        <v>249</v>
      </c>
      <c r="H167" s="299" t="s">
        <v>653</v>
      </c>
      <c r="I167" s="300">
        <v>8250</v>
      </c>
      <c r="J167" s="300">
        <v>0</v>
      </c>
      <c r="K167" s="300"/>
      <c r="L167" s="300"/>
      <c r="M167" s="300"/>
      <c r="N167" s="300"/>
      <c r="O167" s="300"/>
      <c r="P167" s="300"/>
      <c r="Q167" s="300"/>
      <c r="R167" s="300"/>
      <c r="S167" s="300"/>
      <c r="T167" s="300">
        <v>275</v>
      </c>
      <c r="U167" s="300"/>
      <c r="V167" s="300">
        <f t="shared" ref="V167:V176" si="16">+SUM(I167:U167)</f>
        <v>8525</v>
      </c>
      <c r="W167" s="300">
        <v>750</v>
      </c>
      <c r="X167" s="300">
        <v>4085</v>
      </c>
      <c r="Y167" s="300"/>
      <c r="Z167" s="300">
        <f t="shared" ref="Z167:Z176" si="17">V167-X167</f>
        <v>4440</v>
      </c>
      <c r="AA167" s="315" t="b">
        <v>1</v>
      </c>
      <c r="AB167" s="316"/>
      <c r="AC167" s="317"/>
      <c r="AF167" s="318">
        <f t="shared" si="3"/>
        <v>275</v>
      </c>
      <c r="AG167" s="318">
        <f t="shared" si="4"/>
        <v>275</v>
      </c>
      <c r="AH167" s="318">
        <f t="shared" si="5"/>
        <v>275</v>
      </c>
    </row>
    <row r="168" spans="1:34" ht="15" customHeight="1">
      <c r="A168" s="299" t="s">
        <v>690</v>
      </c>
      <c r="B168" s="299" t="s">
        <v>833</v>
      </c>
      <c r="C168" s="301">
        <v>46473</v>
      </c>
      <c r="D168" s="301">
        <f t="shared" si="0"/>
        <v>46477</v>
      </c>
      <c r="E168" s="301">
        <v>46129</v>
      </c>
      <c r="F168" s="301">
        <f t="shared" si="1"/>
        <v>46142</v>
      </c>
      <c r="G168" s="299" t="s">
        <v>248</v>
      </c>
      <c r="H168" s="299" t="s">
        <v>653</v>
      </c>
      <c r="I168" s="300">
        <v>8500</v>
      </c>
      <c r="J168" s="300" t="s">
        <v>121</v>
      </c>
      <c r="K168" s="300"/>
      <c r="L168" s="300"/>
      <c r="M168" s="300"/>
      <c r="N168" s="300"/>
      <c r="O168" s="300"/>
      <c r="P168" s="300"/>
      <c r="Q168" s="300"/>
      <c r="R168" s="300"/>
      <c r="S168" s="300"/>
      <c r="T168" s="300">
        <v>300</v>
      </c>
      <c r="U168" s="300"/>
      <c r="V168" s="300">
        <f t="shared" si="16"/>
        <v>8800</v>
      </c>
      <c r="W168" s="300">
        <v>750</v>
      </c>
      <c r="X168" s="300">
        <v>2500</v>
      </c>
      <c r="Y168" s="300"/>
      <c r="Z168" s="300">
        <f t="shared" si="17"/>
        <v>6300</v>
      </c>
      <c r="AA168" s="315" t="b">
        <v>1</v>
      </c>
      <c r="AB168" s="316"/>
      <c r="AC168" s="317"/>
      <c r="AF168" s="318">
        <f t="shared" si="3"/>
        <v>300</v>
      </c>
      <c r="AG168" s="318">
        <f t="shared" si="4"/>
        <v>300</v>
      </c>
      <c r="AH168" s="318">
        <f t="shared" si="5"/>
        <v>300</v>
      </c>
    </row>
    <row r="169" spans="1:34" ht="15" customHeight="1">
      <c r="A169" s="299" t="s">
        <v>690</v>
      </c>
      <c r="B169" s="299" t="s">
        <v>834</v>
      </c>
      <c r="C169" s="301">
        <v>46480</v>
      </c>
      <c r="D169" s="301">
        <f t="shared" si="0"/>
        <v>46507</v>
      </c>
      <c r="E169" s="301">
        <v>46099</v>
      </c>
      <c r="F169" s="301">
        <f t="shared" si="1"/>
        <v>46112</v>
      </c>
      <c r="G169" s="299" t="s">
        <v>248</v>
      </c>
      <c r="H169" s="299" t="s">
        <v>653</v>
      </c>
      <c r="I169" s="300">
        <v>8500</v>
      </c>
      <c r="J169" s="300">
        <v>0</v>
      </c>
      <c r="K169" s="300"/>
      <c r="L169" s="300"/>
      <c r="M169" s="300"/>
      <c r="N169" s="300"/>
      <c r="O169" s="300"/>
      <c r="P169" s="300"/>
      <c r="Q169" s="300"/>
      <c r="R169" s="300"/>
      <c r="S169" s="300"/>
      <c r="T169" s="300">
        <v>300</v>
      </c>
      <c r="U169" s="300"/>
      <c r="V169" s="300">
        <f t="shared" si="16"/>
        <v>8800</v>
      </c>
      <c r="W169" s="300">
        <v>750</v>
      </c>
      <c r="X169" s="300">
        <v>4500</v>
      </c>
      <c r="Y169" s="300"/>
      <c r="Z169" s="300">
        <f t="shared" si="17"/>
        <v>4300</v>
      </c>
      <c r="AA169" s="315" t="b">
        <v>1</v>
      </c>
      <c r="AB169" s="316"/>
      <c r="AC169" s="317"/>
      <c r="AF169" s="318">
        <f t="shared" si="3"/>
        <v>300</v>
      </c>
      <c r="AG169" s="318">
        <f t="shared" si="4"/>
        <v>300</v>
      </c>
      <c r="AH169" s="318">
        <f t="shared" si="5"/>
        <v>300</v>
      </c>
    </row>
    <row r="170" spans="1:34" ht="15" customHeight="1">
      <c r="A170" s="299" t="s">
        <v>690</v>
      </c>
      <c r="B170" s="299" t="s">
        <v>835</v>
      </c>
      <c r="C170" s="301">
        <v>46486</v>
      </c>
      <c r="D170" s="301">
        <f t="shared" si="0"/>
        <v>46507</v>
      </c>
      <c r="E170" s="301" t="s">
        <v>121</v>
      </c>
      <c r="F170" s="301" t="str">
        <f t="shared" si="1"/>
        <v>-</v>
      </c>
      <c r="G170" s="299" t="s">
        <v>249</v>
      </c>
      <c r="H170" s="299" t="s">
        <v>653</v>
      </c>
      <c r="I170" s="300">
        <v>8000</v>
      </c>
      <c r="J170" s="300">
        <v>0</v>
      </c>
      <c r="K170" s="300"/>
      <c r="L170" s="300"/>
      <c r="M170" s="300"/>
      <c r="N170" s="300"/>
      <c r="O170" s="300"/>
      <c r="P170" s="300"/>
      <c r="Q170" s="300"/>
      <c r="R170" s="300"/>
      <c r="S170" s="300"/>
      <c r="T170" s="300">
        <v>300</v>
      </c>
      <c r="U170" s="300"/>
      <c r="V170" s="300">
        <f t="shared" si="16"/>
        <v>8300</v>
      </c>
      <c r="W170" s="300">
        <v>750</v>
      </c>
      <c r="X170" s="300">
        <v>2500</v>
      </c>
      <c r="Y170" s="300"/>
      <c r="Z170" s="300">
        <f t="shared" si="17"/>
        <v>5800</v>
      </c>
      <c r="AA170" s="315" t="b">
        <v>1</v>
      </c>
      <c r="AB170" s="316"/>
      <c r="AC170" s="317"/>
      <c r="AF170" s="318">
        <f t="shared" si="3"/>
        <v>300</v>
      </c>
      <c r="AG170" s="318">
        <f t="shared" si="4"/>
        <v>300</v>
      </c>
      <c r="AH170" s="318">
        <f t="shared" si="5"/>
        <v>300</v>
      </c>
    </row>
    <row r="171" spans="1:34" ht="15" customHeight="1">
      <c r="A171" s="299" t="s">
        <v>690</v>
      </c>
      <c r="B171" s="299" t="s">
        <v>836</v>
      </c>
      <c r="C171" s="301">
        <v>46487</v>
      </c>
      <c r="D171" s="301">
        <f t="shared" si="0"/>
        <v>46507</v>
      </c>
      <c r="E171" s="301">
        <v>45747</v>
      </c>
      <c r="F171" s="301">
        <f t="shared" si="1"/>
        <v>45747</v>
      </c>
      <c r="G171" s="299" t="s">
        <v>249</v>
      </c>
      <c r="H171" s="299" t="s">
        <v>653</v>
      </c>
      <c r="I171" s="300">
        <v>10500</v>
      </c>
      <c r="J171" s="300">
        <v>0</v>
      </c>
      <c r="K171" s="300"/>
      <c r="L171" s="300"/>
      <c r="M171" s="300"/>
      <c r="N171" s="300"/>
      <c r="O171" s="300"/>
      <c r="P171" s="300"/>
      <c r="Q171" s="300"/>
      <c r="R171" s="300"/>
      <c r="S171" s="300"/>
      <c r="T171" s="300">
        <v>275</v>
      </c>
      <c r="U171" s="300"/>
      <c r="V171" s="300">
        <f t="shared" si="16"/>
        <v>10775</v>
      </c>
      <c r="W171" s="300">
        <v>750</v>
      </c>
      <c r="X171" s="300">
        <f>4000+2165</f>
        <v>6165</v>
      </c>
      <c r="Y171" s="300"/>
      <c r="Z171" s="300">
        <f t="shared" si="17"/>
        <v>4610</v>
      </c>
      <c r="AA171" s="315" t="b">
        <v>1</v>
      </c>
      <c r="AB171" s="316"/>
      <c r="AC171" s="317"/>
      <c r="AF171" s="318">
        <f t="shared" si="3"/>
        <v>275</v>
      </c>
      <c r="AG171" s="318">
        <f t="shared" si="4"/>
        <v>275</v>
      </c>
      <c r="AH171" s="318">
        <f t="shared" si="5"/>
        <v>275</v>
      </c>
    </row>
    <row r="172" spans="1:34" ht="15" customHeight="1">
      <c r="A172" s="299" t="s">
        <v>690</v>
      </c>
      <c r="B172" s="299" t="s">
        <v>837</v>
      </c>
      <c r="C172" s="301">
        <v>46493</v>
      </c>
      <c r="D172" s="301">
        <f t="shared" si="0"/>
        <v>46507</v>
      </c>
      <c r="E172" s="301">
        <v>46079</v>
      </c>
      <c r="F172" s="301">
        <f t="shared" si="1"/>
        <v>46081</v>
      </c>
      <c r="G172" s="299" t="s">
        <v>249</v>
      </c>
      <c r="H172" s="299" t="s">
        <v>653</v>
      </c>
      <c r="I172" s="300">
        <v>10000</v>
      </c>
      <c r="J172" s="300">
        <v>0</v>
      </c>
      <c r="K172" s="300"/>
      <c r="L172" s="300"/>
      <c r="M172" s="300"/>
      <c r="N172" s="300"/>
      <c r="O172" s="300"/>
      <c r="P172" s="300"/>
      <c r="Q172" s="300"/>
      <c r="R172" s="300"/>
      <c r="S172" s="300"/>
      <c r="T172" s="300">
        <v>300</v>
      </c>
      <c r="U172" s="300"/>
      <c r="V172" s="300">
        <f t="shared" si="16"/>
        <v>10300</v>
      </c>
      <c r="W172" s="300">
        <v>750</v>
      </c>
      <c r="X172" s="300">
        <v>2500</v>
      </c>
      <c r="Y172" s="300"/>
      <c r="Z172" s="300">
        <f t="shared" si="17"/>
        <v>7800</v>
      </c>
      <c r="AA172" s="315" t="b">
        <v>1</v>
      </c>
      <c r="AB172" s="316"/>
      <c r="AC172" s="317"/>
      <c r="AF172" s="318">
        <f t="shared" si="3"/>
        <v>300</v>
      </c>
      <c r="AG172" s="318">
        <f t="shared" si="4"/>
        <v>300</v>
      </c>
      <c r="AH172" s="318">
        <f t="shared" si="5"/>
        <v>300</v>
      </c>
    </row>
    <row r="173" spans="1:34" ht="15" customHeight="1">
      <c r="A173" s="299" t="s">
        <v>690</v>
      </c>
      <c r="B173" s="299" t="s">
        <v>838</v>
      </c>
      <c r="C173" s="301">
        <v>46494</v>
      </c>
      <c r="D173" s="301">
        <f t="shared" si="0"/>
        <v>46507</v>
      </c>
      <c r="E173" s="301">
        <v>45897</v>
      </c>
      <c r="F173" s="301">
        <f t="shared" si="1"/>
        <v>45900</v>
      </c>
      <c r="G173" s="299" t="s">
        <v>248</v>
      </c>
      <c r="H173" s="299" t="s">
        <v>653</v>
      </c>
      <c r="I173" s="300">
        <v>0</v>
      </c>
      <c r="J173" s="300">
        <v>0</v>
      </c>
      <c r="K173" s="300"/>
      <c r="L173" s="300"/>
      <c r="M173" s="300"/>
      <c r="N173" s="300"/>
      <c r="O173" s="300"/>
      <c r="P173" s="300"/>
      <c r="Q173" s="300"/>
      <c r="R173" s="300"/>
      <c r="S173" s="300"/>
      <c r="T173" s="300">
        <v>275</v>
      </c>
      <c r="U173" s="300"/>
      <c r="V173" s="300">
        <f t="shared" si="16"/>
        <v>275</v>
      </c>
      <c r="W173" s="300">
        <v>750</v>
      </c>
      <c r="X173" s="300">
        <v>0</v>
      </c>
      <c r="Y173" s="300"/>
      <c r="Z173" s="300">
        <f t="shared" si="17"/>
        <v>275</v>
      </c>
      <c r="AA173" s="315" t="b">
        <v>1</v>
      </c>
      <c r="AB173" s="316" t="s">
        <v>839</v>
      </c>
      <c r="AC173" s="317"/>
      <c r="AF173" s="318">
        <f t="shared" si="3"/>
        <v>275</v>
      </c>
      <c r="AG173" s="318">
        <f t="shared" si="4"/>
        <v>275</v>
      </c>
      <c r="AH173" s="318">
        <f t="shared" si="5"/>
        <v>275</v>
      </c>
    </row>
    <row r="174" spans="1:34" ht="15" customHeight="1">
      <c r="A174" s="299" t="s">
        <v>690</v>
      </c>
      <c r="B174" s="299" t="s">
        <v>840</v>
      </c>
      <c r="C174" s="301">
        <v>46494</v>
      </c>
      <c r="D174" s="301">
        <f t="shared" si="0"/>
        <v>46507</v>
      </c>
      <c r="E174" s="301">
        <v>46022</v>
      </c>
      <c r="F174" s="301">
        <f t="shared" si="1"/>
        <v>46022</v>
      </c>
      <c r="G174" s="299" t="s">
        <v>249</v>
      </c>
      <c r="H174" s="299" t="s">
        <v>653</v>
      </c>
      <c r="I174" s="300">
        <v>8500</v>
      </c>
      <c r="J174" s="300">
        <v>0</v>
      </c>
      <c r="K174" s="300"/>
      <c r="L174" s="300"/>
      <c r="M174" s="300"/>
      <c r="N174" s="300"/>
      <c r="O174" s="300"/>
      <c r="P174" s="300"/>
      <c r="Q174" s="300"/>
      <c r="R174" s="300"/>
      <c r="S174" s="300"/>
      <c r="T174" s="300">
        <v>300</v>
      </c>
      <c r="U174" s="300"/>
      <c r="V174" s="300">
        <f t="shared" si="16"/>
        <v>8800</v>
      </c>
      <c r="W174" s="300">
        <v>750</v>
      </c>
      <c r="X174" s="300">
        <v>6000</v>
      </c>
      <c r="Y174" s="300"/>
      <c r="Z174" s="300">
        <f t="shared" si="17"/>
        <v>2800</v>
      </c>
      <c r="AA174" s="315" t="b">
        <v>1</v>
      </c>
      <c r="AB174" s="316"/>
      <c r="AC174" s="317"/>
      <c r="AF174" s="318">
        <f t="shared" si="3"/>
        <v>300</v>
      </c>
      <c r="AG174" s="318">
        <f t="shared" si="4"/>
        <v>300</v>
      </c>
      <c r="AH174" s="318">
        <f t="shared" si="5"/>
        <v>300</v>
      </c>
    </row>
    <row r="175" spans="1:34" ht="15" customHeight="1">
      <c r="A175" s="299" t="s">
        <v>690</v>
      </c>
      <c r="B175" s="299" t="s">
        <v>841</v>
      </c>
      <c r="C175" s="301">
        <v>46500</v>
      </c>
      <c r="D175" s="301">
        <f t="shared" si="0"/>
        <v>46507</v>
      </c>
      <c r="E175" s="301" t="s">
        <v>121</v>
      </c>
      <c r="F175" s="301" t="str">
        <f t="shared" si="1"/>
        <v>-</v>
      </c>
      <c r="G175" s="299" t="s">
        <v>249</v>
      </c>
      <c r="H175" s="299" t="s">
        <v>653</v>
      </c>
      <c r="I175" s="300">
        <v>8000</v>
      </c>
      <c r="J175" s="300">
        <v>0</v>
      </c>
      <c r="K175" s="300"/>
      <c r="L175" s="300"/>
      <c r="M175" s="300"/>
      <c r="N175" s="300"/>
      <c r="O175" s="300"/>
      <c r="P175" s="300"/>
      <c r="Q175" s="300"/>
      <c r="R175" s="300"/>
      <c r="S175" s="300"/>
      <c r="T175" s="300">
        <v>300</v>
      </c>
      <c r="U175" s="300"/>
      <c r="V175" s="300">
        <f t="shared" si="16"/>
        <v>8300</v>
      </c>
      <c r="W175" s="300">
        <v>750</v>
      </c>
      <c r="X175" s="300">
        <v>2500</v>
      </c>
      <c r="Y175" s="300"/>
      <c r="Z175" s="300">
        <f t="shared" si="17"/>
        <v>5800</v>
      </c>
      <c r="AA175" s="315" t="b">
        <v>1</v>
      </c>
      <c r="AB175" s="316"/>
      <c r="AC175" s="317"/>
      <c r="AF175" s="318">
        <f t="shared" si="3"/>
        <v>300</v>
      </c>
      <c r="AG175" s="318">
        <f t="shared" si="4"/>
        <v>300</v>
      </c>
      <c r="AH175" s="318">
        <f t="shared" si="5"/>
        <v>300</v>
      </c>
    </row>
    <row r="176" spans="1:34" ht="15" customHeight="1">
      <c r="A176" s="299" t="s">
        <v>690</v>
      </c>
      <c r="B176" s="299" t="s">
        <v>842</v>
      </c>
      <c r="C176" s="301">
        <v>46501</v>
      </c>
      <c r="D176" s="301">
        <f t="shared" si="0"/>
        <v>46507</v>
      </c>
      <c r="E176" s="301">
        <v>45979</v>
      </c>
      <c r="F176" s="301">
        <f t="shared" si="1"/>
        <v>45991</v>
      </c>
      <c r="G176" s="299" t="s">
        <v>249</v>
      </c>
      <c r="H176" s="299" t="s">
        <v>653</v>
      </c>
      <c r="I176" s="300">
        <v>8500</v>
      </c>
      <c r="J176" s="300">
        <v>0</v>
      </c>
      <c r="K176" s="300"/>
      <c r="L176" s="300"/>
      <c r="M176" s="300"/>
      <c r="N176" s="300"/>
      <c r="O176" s="300"/>
      <c r="P176" s="300"/>
      <c r="Q176" s="300"/>
      <c r="R176" s="300"/>
      <c r="S176" s="300"/>
      <c r="T176" s="300">
        <v>300</v>
      </c>
      <c r="U176" s="300"/>
      <c r="V176" s="300">
        <f t="shared" si="16"/>
        <v>8800</v>
      </c>
      <c r="W176" s="300">
        <v>750</v>
      </c>
      <c r="X176" s="300">
        <v>4166</v>
      </c>
      <c r="Y176" s="300"/>
      <c r="Z176" s="300">
        <f t="shared" si="17"/>
        <v>4634</v>
      </c>
      <c r="AA176" s="315" t="b">
        <v>1</v>
      </c>
      <c r="AB176" s="316"/>
      <c r="AC176" s="317"/>
      <c r="AF176" s="318">
        <f t="shared" si="3"/>
        <v>300</v>
      </c>
      <c r="AG176" s="318">
        <f t="shared" si="4"/>
        <v>300</v>
      </c>
      <c r="AH176" s="318">
        <f t="shared" si="5"/>
        <v>300</v>
      </c>
    </row>
    <row r="177" spans="1:34" ht="15" customHeight="1">
      <c r="A177" s="323" t="s">
        <v>690</v>
      </c>
      <c r="B177" s="323" t="s">
        <v>843</v>
      </c>
      <c r="C177" s="324">
        <v>46507</v>
      </c>
      <c r="D177" s="301">
        <f t="shared" si="0"/>
        <v>46507</v>
      </c>
      <c r="E177" s="301" t="s">
        <v>121</v>
      </c>
      <c r="F177" s="301" t="str">
        <f t="shared" si="1"/>
        <v>-</v>
      </c>
      <c r="G177" s="323" t="s">
        <v>249</v>
      </c>
      <c r="H177" s="323" t="s">
        <v>653</v>
      </c>
      <c r="I177" s="321">
        <v>8600</v>
      </c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>
        <v>300</v>
      </c>
      <c r="U177" s="321"/>
      <c r="V177" s="321">
        <v>8900</v>
      </c>
      <c r="W177" s="321">
        <v>750</v>
      </c>
      <c r="X177" s="321">
        <v>2500</v>
      </c>
      <c r="Y177" s="321"/>
      <c r="Z177" s="321">
        <v>6400</v>
      </c>
      <c r="AA177" s="325"/>
      <c r="AB177" s="322"/>
      <c r="AC177" s="326"/>
      <c r="AF177" s="318">
        <f t="shared" si="3"/>
        <v>300</v>
      </c>
      <c r="AG177" s="318">
        <f t="shared" si="4"/>
        <v>300</v>
      </c>
      <c r="AH177" s="318">
        <f t="shared" si="5"/>
        <v>300</v>
      </c>
    </row>
    <row r="178" spans="1:34" ht="15" customHeight="1">
      <c r="A178" s="299" t="s">
        <v>690</v>
      </c>
      <c r="B178" s="299" t="s">
        <v>844</v>
      </c>
      <c r="C178" s="301">
        <v>46508</v>
      </c>
      <c r="D178" s="301">
        <f t="shared" si="0"/>
        <v>46538</v>
      </c>
      <c r="E178" s="301">
        <v>46073</v>
      </c>
      <c r="F178" s="301">
        <f t="shared" si="1"/>
        <v>46081</v>
      </c>
      <c r="G178" s="299" t="s">
        <v>248</v>
      </c>
      <c r="H178" s="299" t="s">
        <v>653</v>
      </c>
      <c r="I178" s="300">
        <v>7500</v>
      </c>
      <c r="J178" s="300">
        <v>0</v>
      </c>
      <c r="K178" s="300"/>
      <c r="L178" s="300"/>
      <c r="M178" s="300"/>
      <c r="N178" s="300"/>
      <c r="O178" s="300"/>
      <c r="P178" s="300"/>
      <c r="Q178" s="300"/>
      <c r="R178" s="300"/>
      <c r="S178" s="300"/>
      <c r="T178" s="300">
        <v>300</v>
      </c>
      <c r="U178" s="300"/>
      <c r="V178" s="300">
        <f t="shared" ref="V178:V206" si="18">+SUM(I178:U178)</f>
        <v>7800</v>
      </c>
      <c r="W178" s="300">
        <v>750</v>
      </c>
      <c r="X178" s="300">
        <v>2500</v>
      </c>
      <c r="Y178" s="300"/>
      <c r="Z178" s="300">
        <f t="shared" ref="Z178:Z179" si="19">V178-X178</f>
        <v>5300</v>
      </c>
      <c r="AA178" s="315" t="b">
        <v>1</v>
      </c>
      <c r="AB178" s="316"/>
      <c r="AC178" s="317"/>
      <c r="AF178" s="318">
        <f t="shared" si="3"/>
        <v>300</v>
      </c>
      <c r="AG178" s="318">
        <f t="shared" si="4"/>
        <v>300</v>
      </c>
      <c r="AH178" s="318">
        <f t="shared" si="5"/>
        <v>300</v>
      </c>
    </row>
    <row r="179" spans="1:34" ht="15" customHeight="1">
      <c r="A179" s="299" t="s">
        <v>690</v>
      </c>
      <c r="B179" s="299" t="s">
        <v>845</v>
      </c>
      <c r="C179" s="301">
        <v>46508</v>
      </c>
      <c r="D179" s="301">
        <f t="shared" si="0"/>
        <v>46538</v>
      </c>
      <c r="E179" s="301">
        <v>45927</v>
      </c>
      <c r="F179" s="301">
        <f t="shared" si="1"/>
        <v>45930</v>
      </c>
      <c r="G179" s="299" t="s">
        <v>249</v>
      </c>
      <c r="H179" s="299" t="s">
        <v>658</v>
      </c>
      <c r="I179" s="300">
        <v>8500</v>
      </c>
      <c r="J179" s="300">
        <v>1400</v>
      </c>
      <c r="K179" s="300"/>
      <c r="L179" s="300"/>
      <c r="M179" s="300"/>
      <c r="N179" s="300"/>
      <c r="O179" s="300"/>
      <c r="P179" s="300"/>
      <c r="Q179" s="300"/>
      <c r="R179" s="300"/>
      <c r="S179" s="300"/>
      <c r="T179" s="300">
        <v>300</v>
      </c>
      <c r="U179" s="300"/>
      <c r="V179" s="300">
        <f t="shared" si="18"/>
        <v>10200</v>
      </c>
      <c r="W179" s="300">
        <v>750</v>
      </c>
      <c r="X179" s="300">
        <v>4866</v>
      </c>
      <c r="Y179" s="300"/>
      <c r="Z179" s="300">
        <f t="shared" si="19"/>
        <v>5334</v>
      </c>
      <c r="AA179" s="315" t="b">
        <v>1</v>
      </c>
      <c r="AB179" s="316"/>
      <c r="AC179" s="317"/>
      <c r="AF179" s="318">
        <f t="shared" si="3"/>
        <v>1700</v>
      </c>
      <c r="AG179" s="318">
        <f t="shared" si="4"/>
        <v>1700</v>
      </c>
      <c r="AH179" s="318">
        <f t="shared" si="5"/>
        <v>1700</v>
      </c>
    </row>
    <row r="180" spans="1:34" ht="15" customHeight="1">
      <c r="A180" s="299" t="s">
        <v>690</v>
      </c>
      <c r="B180" s="299" t="s">
        <v>846</v>
      </c>
      <c r="C180" s="301">
        <v>46509</v>
      </c>
      <c r="D180" s="301">
        <f t="shared" si="0"/>
        <v>46538</v>
      </c>
      <c r="E180" s="301" t="s">
        <v>121</v>
      </c>
      <c r="F180" s="301" t="str">
        <f t="shared" si="1"/>
        <v>-</v>
      </c>
      <c r="G180" s="299" t="s">
        <v>249</v>
      </c>
      <c r="H180" s="299" t="s">
        <v>653</v>
      </c>
      <c r="I180" s="300">
        <v>8500</v>
      </c>
      <c r="J180" s="300" t="s">
        <v>121</v>
      </c>
      <c r="K180" s="300"/>
      <c r="L180" s="300"/>
      <c r="M180" s="300"/>
      <c r="N180" s="300"/>
      <c r="O180" s="300"/>
      <c r="P180" s="300"/>
      <c r="Q180" s="300"/>
      <c r="R180" s="300"/>
      <c r="S180" s="300"/>
      <c r="T180" s="300">
        <v>300</v>
      </c>
      <c r="U180" s="300"/>
      <c r="V180" s="300">
        <f t="shared" si="18"/>
        <v>8800</v>
      </c>
      <c r="W180" s="300">
        <v>750</v>
      </c>
      <c r="X180" s="300">
        <v>2500</v>
      </c>
      <c r="Y180" s="300"/>
      <c r="Z180" s="300">
        <v>6300</v>
      </c>
      <c r="AA180" s="315" t="b">
        <v>1</v>
      </c>
      <c r="AB180" s="316"/>
      <c r="AC180" s="317"/>
      <c r="AF180" s="318">
        <f t="shared" si="3"/>
        <v>300</v>
      </c>
      <c r="AG180" s="318">
        <f t="shared" si="4"/>
        <v>300</v>
      </c>
      <c r="AH180" s="318">
        <f t="shared" si="5"/>
        <v>300</v>
      </c>
    </row>
    <row r="181" spans="1:34" ht="15" customHeight="1">
      <c r="A181" s="299" t="s">
        <v>690</v>
      </c>
      <c r="B181" s="299" t="s">
        <v>620</v>
      </c>
      <c r="C181" s="301">
        <v>46514</v>
      </c>
      <c r="D181" s="301">
        <f t="shared" si="0"/>
        <v>46538</v>
      </c>
      <c r="E181" s="301" t="s">
        <v>121</v>
      </c>
      <c r="F181" s="301" t="str">
        <f t="shared" si="1"/>
        <v>-</v>
      </c>
      <c r="G181" s="299" t="s">
        <v>249</v>
      </c>
      <c r="H181" s="299" t="s">
        <v>674</v>
      </c>
      <c r="I181" s="300">
        <v>8000</v>
      </c>
      <c r="J181" s="300">
        <v>2000</v>
      </c>
      <c r="K181" s="300">
        <v>3000</v>
      </c>
      <c r="L181" s="300">
        <v>2300</v>
      </c>
      <c r="M181" s="300">
        <v>4000</v>
      </c>
      <c r="N181" s="300">
        <v>5000</v>
      </c>
      <c r="O181" s="300">
        <v>975</v>
      </c>
      <c r="P181" s="300"/>
      <c r="Q181" s="300"/>
      <c r="R181" s="300"/>
      <c r="S181" s="300">
        <v>3500</v>
      </c>
      <c r="T181" s="300">
        <v>300</v>
      </c>
      <c r="U181" s="300"/>
      <c r="V181" s="300">
        <f t="shared" si="18"/>
        <v>29075</v>
      </c>
      <c r="W181" s="300">
        <v>750</v>
      </c>
      <c r="X181" s="300">
        <v>4500</v>
      </c>
      <c r="Y181" s="300"/>
      <c r="Z181" s="300">
        <v>24575</v>
      </c>
      <c r="AA181" s="315" t="b">
        <v>1</v>
      </c>
      <c r="AB181" s="316"/>
      <c r="AC181" s="317"/>
      <c r="AF181" s="318">
        <f t="shared" si="3"/>
        <v>8100</v>
      </c>
      <c r="AG181" s="318">
        <f t="shared" si="4"/>
        <v>21075</v>
      </c>
      <c r="AH181" s="318">
        <f t="shared" si="5"/>
        <v>17575</v>
      </c>
    </row>
    <row r="182" spans="1:34" ht="15" customHeight="1">
      <c r="A182" s="299" t="s">
        <v>690</v>
      </c>
      <c r="B182" s="299" t="s">
        <v>847</v>
      </c>
      <c r="C182" s="301">
        <v>46515</v>
      </c>
      <c r="D182" s="301">
        <f t="shared" si="0"/>
        <v>46538</v>
      </c>
      <c r="E182" s="301" t="s">
        <v>121</v>
      </c>
      <c r="F182" s="301" t="str">
        <f t="shared" si="1"/>
        <v>-</v>
      </c>
      <c r="G182" s="299" t="s">
        <v>248</v>
      </c>
      <c r="H182" s="299" t="s">
        <v>653</v>
      </c>
      <c r="I182" s="300">
        <v>7500</v>
      </c>
      <c r="J182" s="300" t="s">
        <v>121</v>
      </c>
      <c r="K182" s="300"/>
      <c r="L182" s="300"/>
      <c r="M182" s="300"/>
      <c r="N182" s="300"/>
      <c r="O182" s="300"/>
      <c r="P182" s="300"/>
      <c r="Q182" s="300"/>
      <c r="R182" s="300"/>
      <c r="S182" s="300"/>
      <c r="T182" s="300">
        <v>300</v>
      </c>
      <c r="U182" s="300"/>
      <c r="V182" s="300">
        <f t="shared" si="18"/>
        <v>7800</v>
      </c>
      <c r="W182" s="300">
        <v>750</v>
      </c>
      <c r="X182" s="300">
        <v>2500</v>
      </c>
      <c r="Y182" s="300"/>
      <c r="Z182" s="300">
        <v>5300</v>
      </c>
      <c r="AA182" s="315" t="b">
        <v>1</v>
      </c>
      <c r="AB182" s="316"/>
      <c r="AC182" s="317"/>
      <c r="AF182" s="318">
        <f t="shared" si="3"/>
        <v>300</v>
      </c>
      <c r="AG182" s="318">
        <f t="shared" si="4"/>
        <v>300</v>
      </c>
      <c r="AH182" s="318">
        <f t="shared" si="5"/>
        <v>300</v>
      </c>
    </row>
    <row r="183" spans="1:34" ht="15" customHeight="1">
      <c r="A183" s="299" t="s">
        <v>690</v>
      </c>
      <c r="B183" s="299" t="s">
        <v>848</v>
      </c>
      <c r="C183" s="301">
        <v>46515</v>
      </c>
      <c r="D183" s="301">
        <f t="shared" si="0"/>
        <v>46538</v>
      </c>
      <c r="E183" s="301">
        <v>46063</v>
      </c>
      <c r="F183" s="301">
        <f t="shared" si="1"/>
        <v>46081</v>
      </c>
      <c r="G183" s="299" t="s">
        <v>249</v>
      </c>
      <c r="H183" s="299" t="s">
        <v>653</v>
      </c>
      <c r="I183" s="300">
        <v>9000</v>
      </c>
      <c r="J183" s="300">
        <v>0</v>
      </c>
      <c r="K183" s="300"/>
      <c r="L183" s="300"/>
      <c r="M183" s="300"/>
      <c r="N183" s="300"/>
      <c r="O183" s="300"/>
      <c r="P183" s="300"/>
      <c r="Q183" s="300"/>
      <c r="R183" s="300"/>
      <c r="S183" s="300"/>
      <c r="T183" s="300">
        <v>300</v>
      </c>
      <c r="U183" s="300"/>
      <c r="V183" s="300">
        <f t="shared" si="18"/>
        <v>9300</v>
      </c>
      <c r="W183" s="300">
        <v>750</v>
      </c>
      <c r="X183" s="300">
        <v>4665</v>
      </c>
      <c r="Y183" s="300"/>
      <c r="Z183" s="300">
        <f t="shared" ref="Z183:Z198" si="20">V183-X183</f>
        <v>4635</v>
      </c>
      <c r="AA183" s="315" t="b">
        <v>1</v>
      </c>
      <c r="AB183" s="316"/>
      <c r="AC183" s="317"/>
      <c r="AF183" s="318">
        <f t="shared" si="3"/>
        <v>300</v>
      </c>
      <c r="AG183" s="318">
        <f t="shared" si="4"/>
        <v>300</v>
      </c>
      <c r="AH183" s="318">
        <f t="shared" si="5"/>
        <v>300</v>
      </c>
    </row>
    <row r="184" spans="1:34" ht="15" customHeight="1">
      <c r="A184" s="299" t="s">
        <v>690</v>
      </c>
      <c r="B184" s="299" t="s">
        <v>621</v>
      </c>
      <c r="C184" s="301">
        <v>46521</v>
      </c>
      <c r="D184" s="301">
        <f t="shared" si="0"/>
        <v>46538</v>
      </c>
      <c r="E184" s="301">
        <v>46079</v>
      </c>
      <c r="F184" s="301">
        <f t="shared" si="1"/>
        <v>46081</v>
      </c>
      <c r="G184" s="299" t="s">
        <v>248</v>
      </c>
      <c r="H184" s="299" t="s">
        <v>674</v>
      </c>
      <c r="I184" s="300">
        <v>6750</v>
      </c>
      <c r="J184" s="300">
        <v>2000</v>
      </c>
      <c r="K184" s="300">
        <v>4000</v>
      </c>
      <c r="L184" s="300">
        <v>2000</v>
      </c>
      <c r="M184" s="300"/>
      <c r="N184" s="300">
        <v>5000</v>
      </c>
      <c r="O184" s="300">
        <v>1400</v>
      </c>
      <c r="P184" s="300"/>
      <c r="Q184" s="300"/>
      <c r="R184" s="300">
        <v>460</v>
      </c>
      <c r="S184" s="300">
        <v>3700</v>
      </c>
      <c r="T184" s="300">
        <v>300</v>
      </c>
      <c r="U184" s="300"/>
      <c r="V184" s="300">
        <f t="shared" si="18"/>
        <v>25610</v>
      </c>
      <c r="W184" s="300">
        <v>750</v>
      </c>
      <c r="X184" s="300">
        <v>4000</v>
      </c>
      <c r="Y184" s="300"/>
      <c r="Z184" s="300">
        <f t="shared" si="20"/>
        <v>21610</v>
      </c>
      <c r="AA184" s="315" t="b">
        <v>1</v>
      </c>
      <c r="AB184" s="316"/>
      <c r="AC184" s="317"/>
      <c r="AF184" s="318">
        <f t="shared" si="3"/>
        <v>8460</v>
      </c>
      <c r="AG184" s="318">
        <f t="shared" si="4"/>
        <v>18860</v>
      </c>
      <c r="AH184" s="318">
        <f t="shared" si="5"/>
        <v>15160</v>
      </c>
    </row>
    <row r="185" spans="1:34" ht="15" customHeight="1">
      <c r="A185" s="299" t="s">
        <v>690</v>
      </c>
      <c r="B185" s="299" t="s">
        <v>849</v>
      </c>
      <c r="C185" s="301">
        <v>46521</v>
      </c>
      <c r="D185" s="301">
        <f t="shared" si="0"/>
        <v>46538</v>
      </c>
      <c r="E185" s="301">
        <v>46094</v>
      </c>
      <c r="F185" s="301">
        <f t="shared" si="1"/>
        <v>46112</v>
      </c>
      <c r="G185" s="299" t="s">
        <v>249</v>
      </c>
      <c r="H185" s="299" t="s">
        <v>653</v>
      </c>
      <c r="I185" s="300">
        <v>7750</v>
      </c>
      <c r="J185" s="300">
        <v>0</v>
      </c>
      <c r="K185" s="300"/>
      <c r="L185" s="300"/>
      <c r="M185" s="300"/>
      <c r="N185" s="300"/>
      <c r="O185" s="300"/>
      <c r="P185" s="300"/>
      <c r="Q185" s="300"/>
      <c r="R185" s="300"/>
      <c r="S185" s="300"/>
      <c r="T185" s="300">
        <v>300</v>
      </c>
      <c r="U185" s="300"/>
      <c r="V185" s="300">
        <f t="shared" si="18"/>
        <v>8050</v>
      </c>
      <c r="W185" s="300">
        <v>750</v>
      </c>
      <c r="X185" s="300">
        <v>4250</v>
      </c>
      <c r="Y185" s="300"/>
      <c r="Z185" s="300">
        <f t="shared" si="20"/>
        <v>3800</v>
      </c>
      <c r="AA185" s="315" t="b">
        <v>1</v>
      </c>
      <c r="AB185" s="316"/>
      <c r="AC185" s="317"/>
      <c r="AF185" s="318">
        <f t="shared" si="3"/>
        <v>300</v>
      </c>
      <c r="AG185" s="318">
        <f t="shared" si="4"/>
        <v>300</v>
      </c>
      <c r="AH185" s="318">
        <f t="shared" si="5"/>
        <v>300</v>
      </c>
    </row>
    <row r="186" spans="1:34" ht="15" customHeight="1">
      <c r="A186" s="299" t="s">
        <v>690</v>
      </c>
      <c r="B186" s="299" t="s">
        <v>850</v>
      </c>
      <c r="C186" s="301">
        <v>46522</v>
      </c>
      <c r="D186" s="301">
        <f t="shared" si="0"/>
        <v>46538</v>
      </c>
      <c r="E186" s="301">
        <v>46041</v>
      </c>
      <c r="F186" s="301">
        <f t="shared" si="1"/>
        <v>46053</v>
      </c>
      <c r="G186" s="299" t="s">
        <v>248</v>
      </c>
      <c r="H186" s="299" t="s">
        <v>658</v>
      </c>
      <c r="I186" s="300">
        <v>7500</v>
      </c>
      <c r="J186" s="300">
        <v>1400</v>
      </c>
      <c r="K186" s="300"/>
      <c r="L186" s="300"/>
      <c r="M186" s="300"/>
      <c r="N186" s="300"/>
      <c r="O186" s="300"/>
      <c r="P186" s="300"/>
      <c r="Q186" s="300"/>
      <c r="R186" s="300"/>
      <c r="S186" s="300"/>
      <c r="T186" s="300">
        <v>300</v>
      </c>
      <c r="U186" s="300"/>
      <c r="V186" s="300">
        <f t="shared" si="18"/>
        <v>9200</v>
      </c>
      <c r="W186" s="300">
        <v>750</v>
      </c>
      <c r="X186" s="300">
        <v>4533</v>
      </c>
      <c r="Y186" s="300"/>
      <c r="Z186" s="300">
        <f t="shared" si="20"/>
        <v>4667</v>
      </c>
      <c r="AA186" s="315" t="b">
        <v>1</v>
      </c>
      <c r="AB186" s="316"/>
      <c r="AC186" s="317"/>
      <c r="AF186" s="318">
        <f t="shared" si="3"/>
        <v>1700</v>
      </c>
      <c r="AG186" s="318">
        <f t="shared" si="4"/>
        <v>1700</v>
      </c>
      <c r="AH186" s="318">
        <f t="shared" si="5"/>
        <v>1700</v>
      </c>
    </row>
    <row r="187" spans="1:34" ht="15" customHeight="1">
      <c r="A187" s="299" t="s">
        <v>690</v>
      </c>
      <c r="B187" s="299" t="s">
        <v>851</v>
      </c>
      <c r="C187" s="301">
        <v>46522</v>
      </c>
      <c r="D187" s="301">
        <f t="shared" si="0"/>
        <v>46538</v>
      </c>
      <c r="E187" s="301">
        <v>45884</v>
      </c>
      <c r="F187" s="301">
        <f t="shared" si="1"/>
        <v>45900</v>
      </c>
      <c r="G187" s="299" t="s">
        <v>249</v>
      </c>
      <c r="H187" s="299" t="s">
        <v>653</v>
      </c>
      <c r="I187" s="300">
        <v>8250</v>
      </c>
      <c r="J187" s="300">
        <v>0</v>
      </c>
      <c r="K187" s="300"/>
      <c r="L187" s="300"/>
      <c r="M187" s="300"/>
      <c r="N187" s="300"/>
      <c r="O187" s="300"/>
      <c r="P187" s="300"/>
      <c r="Q187" s="300"/>
      <c r="R187" s="300"/>
      <c r="S187" s="300"/>
      <c r="T187" s="300">
        <v>275</v>
      </c>
      <c r="U187" s="300"/>
      <c r="V187" s="300">
        <f t="shared" si="18"/>
        <v>8525</v>
      </c>
      <c r="W187" s="300">
        <v>750</v>
      </c>
      <c r="X187" s="300">
        <v>4085</v>
      </c>
      <c r="Y187" s="300"/>
      <c r="Z187" s="300">
        <f t="shared" si="20"/>
        <v>4440</v>
      </c>
      <c r="AA187" s="315" t="b">
        <v>1</v>
      </c>
      <c r="AB187" s="316"/>
      <c r="AC187" s="317"/>
      <c r="AF187" s="318">
        <f t="shared" si="3"/>
        <v>275</v>
      </c>
      <c r="AG187" s="318">
        <f t="shared" si="4"/>
        <v>275</v>
      </c>
      <c r="AH187" s="318">
        <f t="shared" si="5"/>
        <v>275</v>
      </c>
    </row>
    <row r="188" spans="1:34" ht="15" customHeight="1">
      <c r="A188" s="299" t="s">
        <v>690</v>
      </c>
      <c r="B188" s="299" t="s">
        <v>852</v>
      </c>
      <c r="C188" s="301">
        <v>46523</v>
      </c>
      <c r="D188" s="301">
        <f t="shared" si="0"/>
        <v>46538</v>
      </c>
      <c r="E188" s="301">
        <v>46071</v>
      </c>
      <c r="F188" s="301">
        <f t="shared" si="1"/>
        <v>46081</v>
      </c>
      <c r="G188" s="299" t="s">
        <v>249</v>
      </c>
      <c r="H188" s="299" t="s">
        <v>658</v>
      </c>
      <c r="I188" s="300">
        <v>9000</v>
      </c>
      <c r="J188" s="300">
        <v>1400</v>
      </c>
      <c r="K188" s="300"/>
      <c r="L188" s="300"/>
      <c r="M188" s="300"/>
      <c r="N188" s="300"/>
      <c r="O188" s="300"/>
      <c r="P188" s="300"/>
      <c r="Q188" s="300"/>
      <c r="R188" s="300"/>
      <c r="S188" s="300"/>
      <c r="T188" s="300">
        <v>300</v>
      </c>
      <c r="U188" s="300"/>
      <c r="V188" s="300">
        <f t="shared" si="18"/>
        <v>10700</v>
      </c>
      <c r="W188" s="300">
        <v>750</v>
      </c>
      <c r="X188" s="300">
        <v>3200</v>
      </c>
      <c r="Y188" s="300"/>
      <c r="Z188" s="300">
        <f t="shared" si="20"/>
        <v>7500</v>
      </c>
      <c r="AA188" s="315" t="b">
        <v>1</v>
      </c>
      <c r="AB188" s="316"/>
      <c r="AC188" s="317"/>
      <c r="AF188" s="318">
        <f t="shared" si="3"/>
        <v>1700</v>
      </c>
      <c r="AG188" s="318">
        <f t="shared" si="4"/>
        <v>1700</v>
      </c>
      <c r="AH188" s="318">
        <f t="shared" si="5"/>
        <v>1700</v>
      </c>
    </row>
    <row r="189" spans="1:34" ht="15" customHeight="1">
      <c r="A189" s="299" t="s">
        <v>690</v>
      </c>
      <c r="B189" s="299" t="s">
        <v>622</v>
      </c>
      <c r="C189" s="301">
        <v>46528</v>
      </c>
      <c r="D189" s="301">
        <f t="shared" si="0"/>
        <v>46538</v>
      </c>
      <c r="E189" s="301">
        <v>46043</v>
      </c>
      <c r="F189" s="301">
        <f t="shared" si="1"/>
        <v>46053</v>
      </c>
      <c r="G189" s="299" t="s">
        <v>249</v>
      </c>
      <c r="H189" s="299" t="s">
        <v>674</v>
      </c>
      <c r="I189" s="300">
        <v>8500</v>
      </c>
      <c r="J189" s="300">
        <v>1400</v>
      </c>
      <c r="K189" s="300">
        <v>4000</v>
      </c>
      <c r="L189" s="300">
        <v>2000</v>
      </c>
      <c r="M189" s="300"/>
      <c r="N189" s="300">
        <v>5000</v>
      </c>
      <c r="O189" s="300"/>
      <c r="P189" s="300"/>
      <c r="Q189" s="300"/>
      <c r="R189" s="300"/>
      <c r="S189" s="300">
        <v>3800</v>
      </c>
      <c r="T189" s="300">
        <v>275</v>
      </c>
      <c r="U189" s="300"/>
      <c r="V189" s="300">
        <f t="shared" si="18"/>
        <v>24975</v>
      </c>
      <c r="W189" s="300">
        <v>750</v>
      </c>
      <c r="X189" s="300">
        <v>4000</v>
      </c>
      <c r="Y189" s="300"/>
      <c r="Z189" s="300">
        <f t="shared" si="20"/>
        <v>20975</v>
      </c>
      <c r="AA189" s="315" t="b">
        <v>1</v>
      </c>
      <c r="AB189" s="316"/>
      <c r="AC189" s="317"/>
      <c r="AF189" s="318">
        <f t="shared" si="3"/>
        <v>7475</v>
      </c>
      <c r="AG189" s="318">
        <f t="shared" si="4"/>
        <v>16475</v>
      </c>
      <c r="AH189" s="318">
        <f t="shared" si="5"/>
        <v>12675</v>
      </c>
    </row>
    <row r="190" spans="1:34" ht="15" customHeight="1">
      <c r="A190" s="299" t="s">
        <v>690</v>
      </c>
      <c r="B190" s="299" t="s">
        <v>853</v>
      </c>
      <c r="C190" s="301">
        <v>46529</v>
      </c>
      <c r="D190" s="301">
        <f t="shared" si="0"/>
        <v>46538</v>
      </c>
      <c r="E190" s="301">
        <v>45810</v>
      </c>
      <c r="F190" s="301">
        <f t="shared" si="1"/>
        <v>45838</v>
      </c>
      <c r="G190" s="299" t="s">
        <v>249</v>
      </c>
      <c r="H190" s="299" t="s">
        <v>658</v>
      </c>
      <c r="I190" s="300">
        <v>8000</v>
      </c>
      <c r="J190" s="300">
        <v>1400</v>
      </c>
      <c r="K190" s="300"/>
      <c r="L190" s="300"/>
      <c r="M190" s="300"/>
      <c r="N190" s="300"/>
      <c r="O190" s="300"/>
      <c r="P190" s="300"/>
      <c r="Q190" s="300"/>
      <c r="R190" s="300"/>
      <c r="S190" s="300"/>
      <c r="T190" s="300">
        <v>275</v>
      </c>
      <c r="U190" s="300"/>
      <c r="V190" s="300">
        <f t="shared" si="18"/>
        <v>9675</v>
      </c>
      <c r="W190" s="300">
        <v>750</v>
      </c>
      <c r="X190" s="321">
        <v>4700</v>
      </c>
      <c r="Y190" s="300"/>
      <c r="Z190" s="300">
        <f t="shared" si="20"/>
        <v>4975</v>
      </c>
      <c r="AA190" s="315" t="b">
        <v>1</v>
      </c>
      <c r="AB190" s="316"/>
      <c r="AC190" s="317"/>
      <c r="AF190" s="318">
        <f t="shared" si="3"/>
        <v>1675</v>
      </c>
      <c r="AG190" s="318">
        <f t="shared" si="4"/>
        <v>1675</v>
      </c>
      <c r="AH190" s="318">
        <f t="shared" si="5"/>
        <v>1675</v>
      </c>
    </row>
    <row r="191" spans="1:34" ht="15" customHeight="1">
      <c r="A191" s="299" t="s">
        <v>690</v>
      </c>
      <c r="B191" s="299" t="s">
        <v>854</v>
      </c>
      <c r="C191" s="301">
        <v>46530</v>
      </c>
      <c r="D191" s="301">
        <f t="shared" si="0"/>
        <v>46538</v>
      </c>
      <c r="E191" s="301">
        <v>46014</v>
      </c>
      <c r="F191" s="301">
        <f t="shared" si="1"/>
        <v>46022</v>
      </c>
      <c r="G191" s="299" t="s">
        <v>249</v>
      </c>
      <c r="H191" s="299" t="s">
        <v>653</v>
      </c>
      <c r="I191" s="300">
        <v>8500</v>
      </c>
      <c r="J191" s="300">
        <v>0</v>
      </c>
      <c r="K191" s="300"/>
      <c r="L191" s="300"/>
      <c r="M191" s="300"/>
      <c r="N191" s="300"/>
      <c r="O191" s="300"/>
      <c r="P191" s="300"/>
      <c r="Q191" s="300"/>
      <c r="R191" s="300"/>
      <c r="S191" s="300"/>
      <c r="T191" s="300">
        <v>300</v>
      </c>
      <c r="U191" s="300"/>
      <c r="V191" s="300">
        <f t="shared" si="18"/>
        <v>8800</v>
      </c>
      <c r="W191" s="300">
        <v>750</v>
      </c>
      <c r="X191" s="300">
        <v>2000</v>
      </c>
      <c r="Y191" s="300"/>
      <c r="Z191" s="300">
        <f t="shared" si="20"/>
        <v>6800</v>
      </c>
      <c r="AA191" s="315" t="b">
        <v>1</v>
      </c>
      <c r="AB191" s="316"/>
      <c r="AC191" s="317"/>
      <c r="AF191" s="318">
        <f t="shared" si="3"/>
        <v>300</v>
      </c>
      <c r="AG191" s="318">
        <f t="shared" si="4"/>
        <v>300</v>
      </c>
      <c r="AH191" s="318">
        <f t="shared" si="5"/>
        <v>300</v>
      </c>
    </row>
    <row r="192" spans="1:34" ht="15" customHeight="1">
      <c r="A192" s="299" t="s">
        <v>690</v>
      </c>
      <c r="B192" s="299" t="s">
        <v>855</v>
      </c>
      <c r="C192" s="301">
        <v>46535</v>
      </c>
      <c r="D192" s="301">
        <f t="shared" si="0"/>
        <v>46538</v>
      </c>
      <c r="E192" s="301">
        <v>45845</v>
      </c>
      <c r="F192" s="301">
        <f t="shared" si="1"/>
        <v>45869</v>
      </c>
      <c r="G192" s="299" t="s">
        <v>249</v>
      </c>
      <c r="H192" s="299" t="s">
        <v>653</v>
      </c>
      <c r="I192" s="300">
        <v>7500</v>
      </c>
      <c r="J192" s="300">
        <v>0</v>
      </c>
      <c r="K192" s="300"/>
      <c r="L192" s="300"/>
      <c r="M192" s="300"/>
      <c r="N192" s="300"/>
      <c r="O192" s="300"/>
      <c r="P192" s="300"/>
      <c r="Q192" s="300"/>
      <c r="R192" s="300"/>
      <c r="S192" s="300"/>
      <c r="T192" s="300">
        <v>275</v>
      </c>
      <c r="U192" s="300"/>
      <c r="V192" s="300">
        <f t="shared" si="18"/>
        <v>7775</v>
      </c>
      <c r="W192" s="300">
        <v>750</v>
      </c>
      <c r="X192" s="300">
        <v>3835</v>
      </c>
      <c r="Y192" s="300"/>
      <c r="Z192" s="300">
        <f t="shared" si="20"/>
        <v>3940</v>
      </c>
      <c r="AA192" s="315" t="b">
        <v>1</v>
      </c>
      <c r="AB192" s="316"/>
      <c r="AC192" s="317"/>
      <c r="AF192" s="318">
        <f t="shared" si="3"/>
        <v>275</v>
      </c>
      <c r="AG192" s="318">
        <f t="shared" si="4"/>
        <v>275</v>
      </c>
      <c r="AH192" s="318">
        <f t="shared" si="5"/>
        <v>275</v>
      </c>
    </row>
    <row r="193" spans="1:34" ht="15" customHeight="1">
      <c r="A193" s="299" t="s">
        <v>690</v>
      </c>
      <c r="B193" s="299" t="s">
        <v>856</v>
      </c>
      <c r="C193" s="301">
        <v>46536</v>
      </c>
      <c r="D193" s="301">
        <f t="shared" si="0"/>
        <v>46538</v>
      </c>
      <c r="E193" s="301">
        <v>46049</v>
      </c>
      <c r="F193" s="301">
        <f t="shared" si="1"/>
        <v>46053</v>
      </c>
      <c r="G193" s="299" t="s">
        <v>248</v>
      </c>
      <c r="H193" s="299" t="s">
        <v>653</v>
      </c>
      <c r="I193" s="300">
        <v>7500</v>
      </c>
      <c r="J193" s="300">
        <v>0</v>
      </c>
      <c r="K193" s="300"/>
      <c r="L193" s="300"/>
      <c r="M193" s="300"/>
      <c r="N193" s="300"/>
      <c r="O193" s="300"/>
      <c r="P193" s="300"/>
      <c r="Q193" s="300"/>
      <c r="R193" s="300"/>
      <c r="S193" s="300"/>
      <c r="T193" s="300">
        <v>300</v>
      </c>
      <c r="U193" s="300"/>
      <c r="V193" s="300">
        <f t="shared" si="18"/>
        <v>7800</v>
      </c>
      <c r="W193" s="300">
        <v>750</v>
      </c>
      <c r="X193" s="300">
        <v>2000</v>
      </c>
      <c r="Y193" s="300"/>
      <c r="Z193" s="300">
        <f t="shared" si="20"/>
        <v>5800</v>
      </c>
      <c r="AA193" s="315" t="b">
        <v>1</v>
      </c>
      <c r="AB193" s="316"/>
      <c r="AC193" s="317"/>
      <c r="AF193" s="318">
        <f t="shared" si="3"/>
        <v>300</v>
      </c>
      <c r="AG193" s="318">
        <f t="shared" si="4"/>
        <v>300</v>
      </c>
      <c r="AH193" s="318">
        <f t="shared" si="5"/>
        <v>300</v>
      </c>
    </row>
    <row r="194" spans="1:34" ht="15" customHeight="1">
      <c r="A194" s="299" t="s">
        <v>690</v>
      </c>
      <c r="B194" s="299" t="s">
        <v>857</v>
      </c>
      <c r="C194" s="301">
        <v>46536</v>
      </c>
      <c r="D194" s="301">
        <f t="shared" si="0"/>
        <v>46538</v>
      </c>
      <c r="E194" s="301">
        <v>45924</v>
      </c>
      <c r="F194" s="301">
        <f t="shared" si="1"/>
        <v>45930</v>
      </c>
      <c r="G194" s="299" t="s">
        <v>249</v>
      </c>
      <c r="H194" s="299" t="s">
        <v>653</v>
      </c>
      <c r="I194" s="300">
        <v>8500</v>
      </c>
      <c r="J194" s="300">
        <v>0</v>
      </c>
      <c r="K194" s="300"/>
      <c r="L194" s="300"/>
      <c r="M194" s="300"/>
      <c r="N194" s="300"/>
      <c r="O194" s="300"/>
      <c r="P194" s="300"/>
      <c r="Q194" s="300"/>
      <c r="R194" s="300"/>
      <c r="S194" s="300"/>
      <c r="T194" s="300">
        <v>300</v>
      </c>
      <c r="U194" s="300"/>
      <c r="V194" s="300">
        <f t="shared" si="18"/>
        <v>8800</v>
      </c>
      <c r="W194" s="300">
        <v>750</v>
      </c>
      <c r="X194" s="300">
        <v>2000</v>
      </c>
      <c r="Y194" s="300"/>
      <c r="Z194" s="300">
        <f t="shared" si="20"/>
        <v>6800</v>
      </c>
      <c r="AA194" s="315" t="b">
        <v>1</v>
      </c>
      <c r="AB194" s="316"/>
      <c r="AC194" s="317"/>
      <c r="AF194" s="318">
        <f t="shared" si="3"/>
        <v>300</v>
      </c>
      <c r="AG194" s="318">
        <f t="shared" si="4"/>
        <v>300</v>
      </c>
      <c r="AH194" s="318">
        <f t="shared" si="5"/>
        <v>300</v>
      </c>
    </row>
    <row r="195" spans="1:34" ht="15" customHeight="1">
      <c r="A195" s="299" t="s">
        <v>690</v>
      </c>
      <c r="B195" s="299" t="s">
        <v>858</v>
      </c>
      <c r="C195" s="301">
        <v>46537</v>
      </c>
      <c r="D195" s="301">
        <f t="shared" si="0"/>
        <v>46538</v>
      </c>
      <c r="E195" s="301">
        <v>46126</v>
      </c>
      <c r="F195" s="301">
        <f t="shared" si="1"/>
        <v>46142</v>
      </c>
      <c r="G195" s="299" t="s">
        <v>249</v>
      </c>
      <c r="H195" s="299" t="s">
        <v>653</v>
      </c>
      <c r="I195" s="300">
        <v>8250</v>
      </c>
      <c r="J195" s="300" t="s">
        <v>121</v>
      </c>
      <c r="K195" s="300"/>
      <c r="L195" s="300"/>
      <c r="M195" s="300"/>
      <c r="N195" s="300"/>
      <c r="O195" s="300"/>
      <c r="P195" s="300"/>
      <c r="Q195" s="300"/>
      <c r="R195" s="300"/>
      <c r="S195" s="300"/>
      <c r="T195" s="300">
        <v>300</v>
      </c>
      <c r="U195" s="300"/>
      <c r="V195" s="300">
        <f t="shared" si="18"/>
        <v>8550</v>
      </c>
      <c r="W195" s="300">
        <v>750</v>
      </c>
      <c r="X195" s="300">
        <v>2500</v>
      </c>
      <c r="Y195" s="300"/>
      <c r="Z195" s="300">
        <f t="shared" si="20"/>
        <v>6050</v>
      </c>
      <c r="AA195" s="315" t="b">
        <v>1</v>
      </c>
      <c r="AB195" s="316"/>
      <c r="AC195" s="317"/>
      <c r="AF195" s="318">
        <f t="shared" si="3"/>
        <v>300</v>
      </c>
      <c r="AG195" s="318">
        <f t="shared" si="4"/>
        <v>300</v>
      </c>
      <c r="AH195" s="318">
        <f t="shared" si="5"/>
        <v>300</v>
      </c>
    </row>
    <row r="196" spans="1:34" ht="15" customHeight="1">
      <c r="A196" s="299" t="s">
        <v>690</v>
      </c>
      <c r="B196" s="299" t="s">
        <v>859</v>
      </c>
      <c r="C196" s="301">
        <v>46542</v>
      </c>
      <c r="D196" s="301">
        <f t="shared" si="0"/>
        <v>46568</v>
      </c>
      <c r="E196" s="301">
        <v>45944</v>
      </c>
      <c r="F196" s="301">
        <f t="shared" si="1"/>
        <v>45961</v>
      </c>
      <c r="G196" s="299" t="s">
        <v>249</v>
      </c>
      <c r="H196" s="299" t="s">
        <v>653</v>
      </c>
      <c r="I196" s="300">
        <v>9500</v>
      </c>
      <c r="J196" s="300">
        <v>0</v>
      </c>
      <c r="K196" s="300"/>
      <c r="L196" s="300"/>
      <c r="M196" s="300"/>
      <c r="N196" s="300"/>
      <c r="O196" s="300"/>
      <c r="P196" s="300"/>
      <c r="Q196" s="300"/>
      <c r="R196" s="300"/>
      <c r="S196" s="300"/>
      <c r="T196" s="300">
        <v>300</v>
      </c>
      <c r="U196" s="300"/>
      <c r="V196" s="300">
        <f t="shared" si="18"/>
        <v>9800</v>
      </c>
      <c r="W196" s="300">
        <v>750</v>
      </c>
      <c r="X196" s="300">
        <v>2375</v>
      </c>
      <c r="Y196" s="300"/>
      <c r="Z196" s="300">
        <f t="shared" si="20"/>
        <v>7425</v>
      </c>
      <c r="AA196" s="315" t="b">
        <v>1</v>
      </c>
      <c r="AB196" s="316"/>
      <c r="AC196" s="317"/>
      <c r="AF196" s="318">
        <f t="shared" si="3"/>
        <v>300</v>
      </c>
      <c r="AG196" s="318">
        <f t="shared" si="4"/>
        <v>300</v>
      </c>
      <c r="AH196" s="318">
        <f t="shared" si="5"/>
        <v>300</v>
      </c>
    </row>
    <row r="197" spans="1:34" ht="15" customHeight="1">
      <c r="A197" s="299" t="s">
        <v>690</v>
      </c>
      <c r="B197" s="299" t="s">
        <v>860</v>
      </c>
      <c r="C197" s="301">
        <v>46543</v>
      </c>
      <c r="D197" s="301">
        <f t="shared" si="0"/>
        <v>46568</v>
      </c>
      <c r="E197" s="301">
        <v>45982</v>
      </c>
      <c r="F197" s="301">
        <f t="shared" si="1"/>
        <v>45991</v>
      </c>
      <c r="G197" s="299" t="s">
        <v>249</v>
      </c>
      <c r="H197" s="299" t="s">
        <v>653</v>
      </c>
      <c r="I197" s="300">
        <v>8500</v>
      </c>
      <c r="J197" s="300">
        <v>0</v>
      </c>
      <c r="K197" s="300"/>
      <c r="L197" s="300"/>
      <c r="M197" s="300"/>
      <c r="N197" s="300"/>
      <c r="O197" s="300"/>
      <c r="P197" s="300"/>
      <c r="Q197" s="300"/>
      <c r="R197" s="300"/>
      <c r="S197" s="300"/>
      <c r="T197" s="300" t="s">
        <v>697</v>
      </c>
      <c r="U197" s="300"/>
      <c r="V197" s="300">
        <f t="shared" si="18"/>
        <v>8500</v>
      </c>
      <c r="W197" s="300">
        <v>750</v>
      </c>
      <c r="X197" s="300">
        <v>2000</v>
      </c>
      <c r="Y197" s="300"/>
      <c r="Z197" s="300">
        <f t="shared" si="20"/>
        <v>6500</v>
      </c>
      <c r="AA197" s="315" t="b">
        <v>1</v>
      </c>
      <c r="AB197" s="316"/>
      <c r="AC197" s="317"/>
      <c r="AF197" s="318">
        <f t="shared" si="3"/>
        <v>0</v>
      </c>
      <c r="AG197" s="318">
        <f t="shared" si="4"/>
        <v>0</v>
      </c>
      <c r="AH197" s="318">
        <f t="shared" si="5"/>
        <v>0</v>
      </c>
    </row>
    <row r="198" spans="1:34" ht="15" customHeight="1">
      <c r="A198" s="299" t="s">
        <v>690</v>
      </c>
      <c r="B198" s="299" t="s">
        <v>861</v>
      </c>
      <c r="C198" s="301">
        <v>46545</v>
      </c>
      <c r="D198" s="301">
        <f t="shared" si="0"/>
        <v>46568</v>
      </c>
      <c r="E198" s="301">
        <v>45847</v>
      </c>
      <c r="F198" s="301">
        <f t="shared" si="1"/>
        <v>45869</v>
      </c>
      <c r="G198" s="299" t="s">
        <v>249</v>
      </c>
      <c r="H198" s="299" t="s">
        <v>653</v>
      </c>
      <c r="I198" s="300">
        <v>7750</v>
      </c>
      <c r="J198" s="300">
        <v>0</v>
      </c>
      <c r="K198" s="300"/>
      <c r="L198" s="300"/>
      <c r="M198" s="300"/>
      <c r="N198" s="300"/>
      <c r="O198" s="300"/>
      <c r="P198" s="300"/>
      <c r="Q198" s="300"/>
      <c r="R198" s="300"/>
      <c r="S198" s="300"/>
      <c r="T198" s="300">
        <v>275</v>
      </c>
      <c r="U198" s="300"/>
      <c r="V198" s="300">
        <f t="shared" si="18"/>
        <v>8025</v>
      </c>
      <c r="W198" s="300">
        <v>750</v>
      </c>
      <c r="X198" s="300">
        <v>2000</v>
      </c>
      <c r="Y198" s="300"/>
      <c r="Z198" s="300">
        <f t="shared" si="20"/>
        <v>6025</v>
      </c>
      <c r="AA198" s="315" t="b">
        <v>1</v>
      </c>
      <c r="AB198" s="316"/>
      <c r="AC198" s="317"/>
      <c r="AF198" s="318">
        <f t="shared" si="3"/>
        <v>275</v>
      </c>
      <c r="AG198" s="318">
        <f t="shared" si="4"/>
        <v>275</v>
      </c>
      <c r="AH198" s="318">
        <f t="shared" si="5"/>
        <v>275</v>
      </c>
    </row>
    <row r="199" spans="1:34" ht="15" customHeight="1">
      <c r="A199" s="299" t="s">
        <v>690</v>
      </c>
      <c r="B199" s="299" t="s">
        <v>862</v>
      </c>
      <c r="C199" s="301">
        <v>46549</v>
      </c>
      <c r="D199" s="301">
        <f t="shared" si="0"/>
        <v>46568</v>
      </c>
      <c r="E199" s="301">
        <v>46104</v>
      </c>
      <c r="F199" s="301">
        <f t="shared" si="1"/>
        <v>46112</v>
      </c>
      <c r="G199" s="299" t="s">
        <v>249</v>
      </c>
      <c r="H199" s="299" t="s">
        <v>653</v>
      </c>
      <c r="I199" s="300">
        <v>9500</v>
      </c>
      <c r="J199" s="300">
        <v>0</v>
      </c>
      <c r="K199" s="300"/>
      <c r="L199" s="300"/>
      <c r="M199" s="300"/>
      <c r="N199" s="300"/>
      <c r="O199" s="300"/>
      <c r="P199" s="300"/>
      <c r="Q199" s="300"/>
      <c r="R199" s="300"/>
      <c r="S199" s="300"/>
      <c r="T199" s="300" t="s">
        <v>697</v>
      </c>
      <c r="U199" s="300"/>
      <c r="V199" s="300">
        <f t="shared" si="18"/>
        <v>9500</v>
      </c>
      <c r="W199" s="300">
        <v>750</v>
      </c>
      <c r="X199" s="300">
        <v>2500</v>
      </c>
      <c r="Y199" s="300"/>
      <c r="Z199" s="300">
        <v>7000</v>
      </c>
      <c r="AA199" s="315" t="b">
        <v>1</v>
      </c>
      <c r="AB199" s="316"/>
      <c r="AC199" s="317"/>
      <c r="AF199" s="318">
        <f t="shared" si="3"/>
        <v>0</v>
      </c>
      <c r="AG199" s="318">
        <f t="shared" si="4"/>
        <v>0</v>
      </c>
      <c r="AH199" s="318">
        <f t="shared" si="5"/>
        <v>0</v>
      </c>
    </row>
    <row r="200" spans="1:34" ht="15" customHeight="1">
      <c r="A200" s="299" t="s">
        <v>690</v>
      </c>
      <c r="B200" s="299" t="s">
        <v>863</v>
      </c>
      <c r="C200" s="301">
        <v>46550</v>
      </c>
      <c r="D200" s="301">
        <f t="shared" si="0"/>
        <v>46568</v>
      </c>
      <c r="E200" s="301" t="s">
        <v>121</v>
      </c>
      <c r="F200" s="301" t="str">
        <f t="shared" si="1"/>
        <v>-</v>
      </c>
      <c r="G200" s="299" t="s">
        <v>248</v>
      </c>
      <c r="H200" s="299" t="s">
        <v>653</v>
      </c>
      <c r="I200" s="300">
        <v>7500</v>
      </c>
      <c r="J200" s="300">
        <v>0</v>
      </c>
      <c r="K200" s="300"/>
      <c r="L200" s="300"/>
      <c r="M200" s="300"/>
      <c r="N200" s="300"/>
      <c r="O200" s="300"/>
      <c r="P200" s="300"/>
      <c r="Q200" s="300"/>
      <c r="R200" s="300"/>
      <c r="S200" s="300"/>
      <c r="T200" s="300">
        <v>300</v>
      </c>
      <c r="U200" s="300"/>
      <c r="V200" s="300">
        <f t="shared" si="18"/>
        <v>7800</v>
      </c>
      <c r="W200" s="300">
        <v>750</v>
      </c>
      <c r="X200" s="321">
        <v>2500</v>
      </c>
      <c r="Y200" s="300"/>
      <c r="Z200" s="300">
        <v>7000</v>
      </c>
      <c r="AA200" s="315" t="b">
        <v>1</v>
      </c>
      <c r="AB200" s="316"/>
      <c r="AC200" s="317"/>
      <c r="AF200" s="318">
        <f t="shared" si="3"/>
        <v>300</v>
      </c>
      <c r="AG200" s="318">
        <f t="shared" si="4"/>
        <v>300</v>
      </c>
      <c r="AH200" s="318">
        <f t="shared" si="5"/>
        <v>300</v>
      </c>
    </row>
    <row r="201" spans="1:34" ht="15" customHeight="1">
      <c r="A201" s="299" t="s">
        <v>690</v>
      </c>
      <c r="B201" s="299" t="s">
        <v>623</v>
      </c>
      <c r="C201" s="301">
        <v>46550</v>
      </c>
      <c r="D201" s="301">
        <f t="shared" si="0"/>
        <v>46568</v>
      </c>
      <c r="E201" s="301">
        <v>45940</v>
      </c>
      <c r="F201" s="301">
        <f t="shared" si="1"/>
        <v>45961</v>
      </c>
      <c r="G201" s="299" t="s">
        <v>249</v>
      </c>
      <c r="H201" s="299" t="s">
        <v>674</v>
      </c>
      <c r="I201" s="300">
        <v>8500</v>
      </c>
      <c r="J201" s="300">
        <v>1950</v>
      </c>
      <c r="K201" s="300">
        <v>6000</v>
      </c>
      <c r="L201" s="300">
        <v>2300</v>
      </c>
      <c r="M201" s="300">
        <v>4000</v>
      </c>
      <c r="N201" s="300">
        <v>5000</v>
      </c>
      <c r="O201" s="300">
        <v>1950</v>
      </c>
      <c r="P201" s="300"/>
      <c r="Q201" s="300"/>
      <c r="R201" s="300"/>
      <c r="S201" s="300">
        <v>3500</v>
      </c>
      <c r="T201" s="300">
        <v>300</v>
      </c>
      <c r="U201" s="300"/>
      <c r="V201" s="300">
        <f t="shared" si="18"/>
        <v>33500</v>
      </c>
      <c r="W201" s="300">
        <v>750</v>
      </c>
      <c r="X201" s="300">
        <v>4000</v>
      </c>
      <c r="Y201" s="300"/>
      <c r="Z201" s="300">
        <f t="shared" ref="Z201:Z202" si="21">V201-X201</f>
        <v>29500</v>
      </c>
      <c r="AA201" s="315" t="b">
        <v>1</v>
      </c>
      <c r="AB201" s="316"/>
      <c r="AC201" s="317"/>
      <c r="AF201" s="318">
        <f t="shared" si="3"/>
        <v>8050</v>
      </c>
      <c r="AG201" s="318">
        <f t="shared" si="4"/>
        <v>25000</v>
      </c>
      <c r="AH201" s="318">
        <f t="shared" si="5"/>
        <v>21500</v>
      </c>
    </row>
    <row r="202" spans="1:34" ht="15" customHeight="1">
      <c r="A202" s="299" t="s">
        <v>690</v>
      </c>
      <c r="B202" s="299" t="s">
        <v>864</v>
      </c>
      <c r="C202" s="301">
        <v>46551</v>
      </c>
      <c r="D202" s="301">
        <f t="shared" si="0"/>
        <v>46568</v>
      </c>
      <c r="E202" s="301">
        <v>46471</v>
      </c>
      <c r="F202" s="301">
        <f t="shared" si="1"/>
        <v>46477</v>
      </c>
      <c r="G202" s="299" t="s">
        <v>249</v>
      </c>
      <c r="H202" s="299" t="s">
        <v>653</v>
      </c>
      <c r="I202" s="300">
        <v>8500</v>
      </c>
      <c r="J202" s="300">
        <v>0</v>
      </c>
      <c r="K202" s="300"/>
      <c r="L202" s="300"/>
      <c r="M202" s="300"/>
      <c r="N202" s="300"/>
      <c r="O202" s="300"/>
      <c r="P202" s="300"/>
      <c r="Q202" s="300"/>
      <c r="R202" s="300"/>
      <c r="S202" s="300"/>
      <c r="T202" s="300">
        <v>300</v>
      </c>
      <c r="U202" s="300"/>
      <c r="V202" s="300">
        <f t="shared" si="18"/>
        <v>8800</v>
      </c>
      <c r="W202" s="300">
        <v>750</v>
      </c>
      <c r="X202" s="300">
        <v>2500</v>
      </c>
      <c r="Y202" s="300"/>
      <c r="Z202" s="300">
        <f t="shared" si="21"/>
        <v>6300</v>
      </c>
      <c r="AA202" s="315" t="b">
        <v>1</v>
      </c>
      <c r="AB202" s="316"/>
      <c r="AC202" s="317"/>
      <c r="AF202" s="318">
        <f t="shared" si="3"/>
        <v>300</v>
      </c>
      <c r="AG202" s="318">
        <f t="shared" si="4"/>
        <v>300</v>
      </c>
      <c r="AH202" s="318">
        <f t="shared" si="5"/>
        <v>300</v>
      </c>
    </row>
    <row r="203" spans="1:34" ht="15" customHeight="1">
      <c r="A203" s="299" t="s">
        <v>690</v>
      </c>
      <c r="B203" s="299" t="s">
        <v>865</v>
      </c>
      <c r="C203" s="301">
        <v>46556</v>
      </c>
      <c r="D203" s="301">
        <f t="shared" si="0"/>
        <v>46568</v>
      </c>
      <c r="E203" s="301">
        <v>45986</v>
      </c>
      <c r="F203" s="301">
        <f t="shared" si="1"/>
        <v>45991</v>
      </c>
      <c r="G203" s="299" t="s">
        <v>249</v>
      </c>
      <c r="H203" s="299" t="s">
        <v>653</v>
      </c>
      <c r="I203" s="300">
        <v>9025</v>
      </c>
      <c r="J203" s="300">
        <v>0</v>
      </c>
      <c r="K203" s="300"/>
      <c r="L203" s="300"/>
      <c r="M203" s="300"/>
      <c r="N203" s="300"/>
      <c r="O203" s="300"/>
      <c r="P203" s="300"/>
      <c r="Q203" s="300"/>
      <c r="R203" s="300"/>
      <c r="S203" s="300"/>
      <c r="T203" s="300">
        <v>300</v>
      </c>
      <c r="U203" s="300"/>
      <c r="V203" s="300">
        <f t="shared" si="18"/>
        <v>9325</v>
      </c>
      <c r="W203" s="300">
        <v>750</v>
      </c>
      <c r="X203" s="300">
        <v>0</v>
      </c>
      <c r="Y203" s="300">
        <v>9025</v>
      </c>
      <c r="Z203" s="300">
        <v>300</v>
      </c>
      <c r="AA203" s="315" t="b">
        <v>1</v>
      </c>
      <c r="AB203" s="316" t="s">
        <v>764</v>
      </c>
      <c r="AC203" s="317"/>
      <c r="AF203" s="318">
        <f t="shared" si="3"/>
        <v>300</v>
      </c>
      <c r="AG203" s="318">
        <f t="shared" si="4"/>
        <v>300</v>
      </c>
      <c r="AH203" s="318">
        <f t="shared" si="5"/>
        <v>300</v>
      </c>
    </row>
    <row r="204" spans="1:34" ht="15" customHeight="1">
      <c r="A204" s="299" t="s">
        <v>690</v>
      </c>
      <c r="B204" s="299" t="s">
        <v>866</v>
      </c>
      <c r="C204" s="301">
        <v>46557</v>
      </c>
      <c r="D204" s="301">
        <f t="shared" si="0"/>
        <v>46568</v>
      </c>
      <c r="E204" s="301">
        <v>46044</v>
      </c>
      <c r="F204" s="301">
        <f t="shared" si="1"/>
        <v>46053</v>
      </c>
      <c r="G204" s="299" t="s">
        <v>249</v>
      </c>
      <c r="H204" s="299" t="s">
        <v>653</v>
      </c>
      <c r="I204" s="300">
        <v>8500</v>
      </c>
      <c r="J204" s="300">
        <v>0</v>
      </c>
      <c r="K204" s="300"/>
      <c r="L204" s="300"/>
      <c r="M204" s="300"/>
      <c r="N204" s="300"/>
      <c r="O204" s="300"/>
      <c r="P204" s="300"/>
      <c r="Q204" s="300"/>
      <c r="R204" s="300"/>
      <c r="S204" s="300"/>
      <c r="T204" s="300">
        <v>300</v>
      </c>
      <c r="U204" s="300"/>
      <c r="V204" s="300">
        <f t="shared" si="18"/>
        <v>8800</v>
      </c>
      <c r="W204" s="300">
        <v>750</v>
      </c>
      <c r="X204" s="300">
        <v>2000</v>
      </c>
      <c r="Y204" s="300"/>
      <c r="Z204" s="300">
        <f t="shared" ref="Z204:Z206" si="22">V204-X204</f>
        <v>6800</v>
      </c>
      <c r="AA204" s="315" t="b">
        <v>1</v>
      </c>
      <c r="AB204" s="316"/>
      <c r="AC204" s="317"/>
      <c r="AF204" s="318">
        <f t="shared" si="3"/>
        <v>300</v>
      </c>
      <c r="AG204" s="318">
        <f t="shared" si="4"/>
        <v>300</v>
      </c>
      <c r="AH204" s="318">
        <f t="shared" si="5"/>
        <v>300</v>
      </c>
    </row>
    <row r="205" spans="1:34" ht="15" customHeight="1">
      <c r="A205" s="299" t="s">
        <v>690</v>
      </c>
      <c r="B205" s="299" t="s">
        <v>867</v>
      </c>
      <c r="C205" s="301">
        <v>46563</v>
      </c>
      <c r="D205" s="301">
        <f t="shared" si="0"/>
        <v>46568</v>
      </c>
      <c r="E205" s="301">
        <v>46078</v>
      </c>
      <c r="F205" s="301">
        <f t="shared" si="1"/>
        <v>46081</v>
      </c>
      <c r="G205" s="299" t="s">
        <v>249</v>
      </c>
      <c r="H205" s="299" t="s">
        <v>653</v>
      </c>
      <c r="I205" s="300">
        <v>8500</v>
      </c>
      <c r="J205" s="300">
        <v>0</v>
      </c>
      <c r="K205" s="300"/>
      <c r="L205" s="300"/>
      <c r="M205" s="300"/>
      <c r="N205" s="300"/>
      <c r="O205" s="300"/>
      <c r="P205" s="300"/>
      <c r="Q205" s="300"/>
      <c r="R205" s="300"/>
      <c r="S205" s="300"/>
      <c r="T205" s="300">
        <v>300</v>
      </c>
      <c r="U205" s="300"/>
      <c r="V205" s="300">
        <f t="shared" si="18"/>
        <v>8800</v>
      </c>
      <c r="W205" s="300">
        <v>750</v>
      </c>
      <c r="X205" s="300">
        <v>4500</v>
      </c>
      <c r="Y205" s="300"/>
      <c r="Z205" s="300">
        <f t="shared" si="22"/>
        <v>4300</v>
      </c>
      <c r="AA205" s="315" t="b">
        <v>1</v>
      </c>
      <c r="AB205" s="316"/>
      <c r="AC205" s="317"/>
      <c r="AF205" s="318">
        <f t="shared" si="3"/>
        <v>300</v>
      </c>
      <c r="AG205" s="318">
        <f t="shared" si="4"/>
        <v>300</v>
      </c>
      <c r="AH205" s="318">
        <f t="shared" si="5"/>
        <v>300</v>
      </c>
    </row>
    <row r="206" spans="1:34" ht="15" customHeight="1">
      <c r="A206" s="299" t="s">
        <v>690</v>
      </c>
      <c r="B206" s="299" t="s">
        <v>868</v>
      </c>
      <c r="C206" s="301">
        <v>46564</v>
      </c>
      <c r="D206" s="301">
        <f t="shared" si="0"/>
        <v>46568</v>
      </c>
      <c r="E206" s="301" t="s">
        <v>121</v>
      </c>
      <c r="F206" s="301" t="str">
        <f t="shared" si="1"/>
        <v>-</v>
      </c>
      <c r="G206" s="299" t="s">
        <v>249</v>
      </c>
      <c r="H206" s="299" t="s">
        <v>653</v>
      </c>
      <c r="I206" s="300">
        <v>8500</v>
      </c>
      <c r="J206" s="300">
        <v>0</v>
      </c>
      <c r="K206" s="300"/>
      <c r="L206" s="300"/>
      <c r="M206" s="300"/>
      <c r="N206" s="300"/>
      <c r="O206" s="300"/>
      <c r="P206" s="300"/>
      <c r="Q206" s="300"/>
      <c r="R206" s="300"/>
      <c r="S206" s="300"/>
      <c r="T206" s="300">
        <v>300</v>
      </c>
      <c r="U206" s="300"/>
      <c r="V206" s="300">
        <f t="shared" si="18"/>
        <v>8800</v>
      </c>
      <c r="W206" s="300">
        <v>750</v>
      </c>
      <c r="X206" s="300">
        <v>2500</v>
      </c>
      <c r="Y206" s="300"/>
      <c r="Z206" s="300">
        <f t="shared" si="22"/>
        <v>6300</v>
      </c>
      <c r="AA206" s="315" t="b">
        <v>1</v>
      </c>
      <c r="AB206" s="316"/>
      <c r="AC206" s="317"/>
      <c r="AF206" s="318">
        <f t="shared" si="3"/>
        <v>300</v>
      </c>
      <c r="AG206" s="318">
        <f t="shared" si="4"/>
        <v>300</v>
      </c>
      <c r="AH206" s="318">
        <f t="shared" si="5"/>
        <v>300</v>
      </c>
    </row>
    <row r="207" spans="1:34" ht="15" customHeight="1">
      <c r="A207" s="323" t="s">
        <v>690</v>
      </c>
      <c r="B207" s="323" t="s">
        <v>869</v>
      </c>
      <c r="C207" s="324">
        <v>46570</v>
      </c>
      <c r="D207" s="301">
        <f t="shared" si="0"/>
        <v>46599</v>
      </c>
      <c r="E207" s="301" t="s">
        <v>121</v>
      </c>
      <c r="F207" s="301" t="str">
        <f t="shared" si="1"/>
        <v>-</v>
      </c>
      <c r="G207" s="323" t="s">
        <v>249</v>
      </c>
      <c r="H207" s="323" t="s">
        <v>653</v>
      </c>
      <c r="I207" s="321">
        <v>8000</v>
      </c>
      <c r="J207" s="321" t="s">
        <v>121</v>
      </c>
      <c r="K207" s="321"/>
      <c r="L207" s="321"/>
      <c r="M207" s="321"/>
      <c r="N207" s="321"/>
      <c r="O207" s="321"/>
      <c r="P207" s="321"/>
      <c r="Q207" s="321"/>
      <c r="R207" s="321"/>
      <c r="S207" s="321"/>
      <c r="T207" s="321">
        <v>300</v>
      </c>
      <c r="U207" s="321"/>
      <c r="V207" s="321">
        <v>8300</v>
      </c>
      <c r="W207" s="321">
        <v>750</v>
      </c>
      <c r="X207" s="321">
        <v>2500</v>
      </c>
      <c r="Y207" s="321"/>
      <c r="Z207" s="321">
        <v>5800</v>
      </c>
      <c r="AA207" s="325"/>
      <c r="AB207" s="322"/>
      <c r="AC207" s="326"/>
      <c r="AF207" s="318">
        <f t="shared" si="3"/>
        <v>300</v>
      </c>
      <c r="AG207" s="318">
        <f t="shared" si="4"/>
        <v>300</v>
      </c>
      <c r="AH207" s="318">
        <f t="shared" si="5"/>
        <v>300</v>
      </c>
    </row>
    <row r="208" spans="1:34" ht="15" customHeight="1">
      <c r="A208" s="299" t="s">
        <v>690</v>
      </c>
      <c r="B208" s="299" t="s">
        <v>870</v>
      </c>
      <c r="C208" s="301">
        <v>46585</v>
      </c>
      <c r="D208" s="301">
        <f t="shared" si="0"/>
        <v>46599</v>
      </c>
      <c r="E208" s="301" t="s">
        <v>121</v>
      </c>
      <c r="F208" s="301" t="str">
        <f t="shared" si="1"/>
        <v>-</v>
      </c>
      <c r="G208" s="299" t="s">
        <v>249</v>
      </c>
      <c r="H208" s="299" t="s">
        <v>653</v>
      </c>
      <c r="I208" s="300">
        <v>8500</v>
      </c>
      <c r="J208" s="300">
        <v>0</v>
      </c>
      <c r="K208" s="300"/>
      <c r="L208" s="300"/>
      <c r="M208" s="300"/>
      <c r="N208" s="300"/>
      <c r="O208" s="300"/>
      <c r="P208" s="300"/>
      <c r="Q208" s="300"/>
      <c r="R208" s="300"/>
      <c r="S208" s="300"/>
      <c r="T208" s="300">
        <v>300</v>
      </c>
      <c r="U208" s="300"/>
      <c r="V208" s="300">
        <f t="shared" ref="V208:V225" si="23">+SUM(I208:U208)</f>
        <v>8800</v>
      </c>
      <c r="W208" s="300">
        <v>750</v>
      </c>
      <c r="X208" s="300">
        <v>2500</v>
      </c>
      <c r="Y208" s="300"/>
      <c r="Z208" s="300">
        <f t="shared" ref="Z208:Z209" si="24">V208-X208</f>
        <v>6300</v>
      </c>
      <c r="AA208" s="315" t="b">
        <v>1</v>
      </c>
      <c r="AB208" s="316"/>
      <c r="AC208" s="317"/>
      <c r="AF208" s="318">
        <f t="shared" si="3"/>
        <v>300</v>
      </c>
      <c r="AG208" s="318">
        <f t="shared" si="4"/>
        <v>300</v>
      </c>
      <c r="AH208" s="318">
        <f t="shared" si="5"/>
        <v>300</v>
      </c>
    </row>
    <row r="209" spans="1:34" ht="15" customHeight="1">
      <c r="A209" s="299" t="s">
        <v>690</v>
      </c>
      <c r="B209" s="299" t="s">
        <v>871</v>
      </c>
      <c r="C209" s="301">
        <v>46613</v>
      </c>
      <c r="D209" s="301">
        <f t="shared" si="0"/>
        <v>46630</v>
      </c>
      <c r="E209" s="301">
        <v>46095</v>
      </c>
      <c r="F209" s="301">
        <f t="shared" si="1"/>
        <v>46112</v>
      </c>
      <c r="G209" s="299" t="s">
        <v>248</v>
      </c>
      <c r="H209" s="299" t="s">
        <v>653</v>
      </c>
      <c r="I209" s="300">
        <v>7500</v>
      </c>
      <c r="J209" s="300">
        <v>0</v>
      </c>
      <c r="K209" s="300"/>
      <c r="L209" s="300"/>
      <c r="M209" s="300"/>
      <c r="N209" s="300"/>
      <c r="O209" s="300"/>
      <c r="P209" s="300"/>
      <c r="Q209" s="300"/>
      <c r="R209" s="300"/>
      <c r="S209" s="300"/>
      <c r="T209" s="300">
        <v>300</v>
      </c>
      <c r="U209" s="300"/>
      <c r="V209" s="300">
        <f t="shared" si="23"/>
        <v>7800</v>
      </c>
      <c r="W209" s="300">
        <v>750</v>
      </c>
      <c r="X209" s="300">
        <v>2500</v>
      </c>
      <c r="Y209" s="300"/>
      <c r="Z209" s="300">
        <f t="shared" si="24"/>
        <v>5300</v>
      </c>
      <c r="AA209" s="315" t="b">
        <v>1</v>
      </c>
      <c r="AB209" s="316"/>
      <c r="AC209" s="317"/>
      <c r="AF209" s="318">
        <f t="shared" si="3"/>
        <v>300</v>
      </c>
      <c r="AG209" s="318">
        <f t="shared" si="4"/>
        <v>300</v>
      </c>
      <c r="AH209" s="318">
        <f t="shared" si="5"/>
        <v>300</v>
      </c>
    </row>
    <row r="210" spans="1:34" ht="15" customHeight="1">
      <c r="A210" s="299" t="s">
        <v>690</v>
      </c>
      <c r="B210" s="299" t="s">
        <v>872</v>
      </c>
      <c r="C210" s="301">
        <v>46626</v>
      </c>
      <c r="D210" s="301">
        <f t="shared" si="0"/>
        <v>46630</v>
      </c>
      <c r="E210" s="301" t="s">
        <v>121</v>
      </c>
      <c r="F210" s="301" t="str">
        <f t="shared" si="1"/>
        <v>-</v>
      </c>
      <c r="G210" s="299" t="s">
        <v>249</v>
      </c>
      <c r="H210" s="299" t="s">
        <v>653</v>
      </c>
      <c r="I210" s="300">
        <v>8000</v>
      </c>
      <c r="J210" s="300" t="s">
        <v>121</v>
      </c>
      <c r="K210" s="300"/>
      <c r="L210" s="300"/>
      <c r="M210" s="300"/>
      <c r="N210" s="300"/>
      <c r="O210" s="300"/>
      <c r="P210" s="300"/>
      <c r="Q210" s="300"/>
      <c r="R210" s="300"/>
      <c r="S210" s="300"/>
      <c r="T210" s="300">
        <v>300</v>
      </c>
      <c r="U210" s="300"/>
      <c r="V210" s="300">
        <f t="shared" si="23"/>
        <v>8300</v>
      </c>
      <c r="W210" s="300">
        <v>750</v>
      </c>
      <c r="X210" s="300">
        <v>2500</v>
      </c>
      <c r="Y210" s="300"/>
      <c r="Z210" s="300">
        <v>5800</v>
      </c>
      <c r="AA210" s="315" t="b">
        <v>1</v>
      </c>
      <c r="AB210" s="316"/>
      <c r="AC210" s="317"/>
      <c r="AF210" s="318">
        <f t="shared" si="3"/>
        <v>300</v>
      </c>
      <c r="AG210" s="318">
        <f t="shared" si="4"/>
        <v>300</v>
      </c>
      <c r="AH210" s="318">
        <f t="shared" si="5"/>
        <v>300</v>
      </c>
    </row>
    <row r="211" spans="1:34" ht="15" customHeight="1">
      <c r="A211" s="299" t="s">
        <v>690</v>
      </c>
      <c r="B211" s="299" t="s">
        <v>873</v>
      </c>
      <c r="C211" s="301">
        <v>46627</v>
      </c>
      <c r="D211" s="301">
        <f t="shared" si="0"/>
        <v>46630</v>
      </c>
      <c r="E211" s="301">
        <v>46107</v>
      </c>
      <c r="F211" s="301">
        <f t="shared" si="1"/>
        <v>46112</v>
      </c>
      <c r="G211" s="299" t="s">
        <v>249</v>
      </c>
      <c r="H211" s="299" t="s">
        <v>658</v>
      </c>
      <c r="I211" s="300">
        <v>8500</v>
      </c>
      <c r="J211" s="300">
        <v>1400</v>
      </c>
      <c r="K211" s="300"/>
      <c r="L211" s="300"/>
      <c r="M211" s="300"/>
      <c r="N211" s="300"/>
      <c r="O211" s="300"/>
      <c r="P211" s="300"/>
      <c r="Q211" s="300"/>
      <c r="R211" s="300"/>
      <c r="S211" s="300"/>
      <c r="T211" s="300">
        <v>300</v>
      </c>
      <c r="U211" s="300"/>
      <c r="V211" s="300">
        <f t="shared" si="23"/>
        <v>10200</v>
      </c>
      <c r="W211" s="300">
        <v>750</v>
      </c>
      <c r="X211" s="300">
        <v>3200</v>
      </c>
      <c r="Y211" s="300"/>
      <c r="Z211" s="300">
        <f t="shared" ref="Z211:Z221" si="25">V211-X211</f>
        <v>7000</v>
      </c>
      <c r="AA211" s="315" t="b">
        <v>1</v>
      </c>
      <c r="AB211" s="316"/>
      <c r="AC211" s="317"/>
      <c r="AF211" s="318">
        <f t="shared" si="3"/>
        <v>1700</v>
      </c>
      <c r="AG211" s="318">
        <f t="shared" si="4"/>
        <v>1700</v>
      </c>
      <c r="AH211" s="318">
        <f t="shared" si="5"/>
        <v>1700</v>
      </c>
    </row>
    <row r="212" spans="1:34" ht="15" customHeight="1">
      <c r="A212" s="299" t="s">
        <v>690</v>
      </c>
      <c r="B212" s="299" t="s">
        <v>874</v>
      </c>
      <c r="C212" s="301">
        <v>46634</v>
      </c>
      <c r="D212" s="301">
        <f t="shared" si="0"/>
        <v>46660</v>
      </c>
      <c r="E212" s="301">
        <v>46070</v>
      </c>
      <c r="F212" s="301">
        <f t="shared" si="1"/>
        <v>46081</v>
      </c>
      <c r="G212" s="299" t="s">
        <v>248</v>
      </c>
      <c r="H212" s="299" t="s">
        <v>653</v>
      </c>
      <c r="I212" s="300">
        <v>7500</v>
      </c>
      <c r="J212" s="300">
        <v>0</v>
      </c>
      <c r="K212" s="300"/>
      <c r="L212" s="300"/>
      <c r="M212" s="300"/>
      <c r="N212" s="300"/>
      <c r="O212" s="300"/>
      <c r="P212" s="300"/>
      <c r="Q212" s="300"/>
      <c r="R212" s="300"/>
      <c r="S212" s="300"/>
      <c r="T212" s="300">
        <v>300</v>
      </c>
      <c r="U212" s="300"/>
      <c r="V212" s="300">
        <f t="shared" si="23"/>
        <v>7800</v>
      </c>
      <c r="W212" s="300">
        <v>750</v>
      </c>
      <c r="X212" s="300">
        <v>2500</v>
      </c>
      <c r="Y212" s="300"/>
      <c r="Z212" s="300">
        <f t="shared" si="25"/>
        <v>5300</v>
      </c>
      <c r="AA212" s="315" t="b">
        <v>1</v>
      </c>
      <c r="AB212" s="316"/>
      <c r="AC212" s="317"/>
      <c r="AF212" s="318">
        <f t="shared" si="3"/>
        <v>300</v>
      </c>
      <c r="AG212" s="318">
        <f t="shared" si="4"/>
        <v>300</v>
      </c>
      <c r="AH212" s="318">
        <f t="shared" si="5"/>
        <v>300</v>
      </c>
    </row>
    <row r="213" spans="1:34" ht="15" customHeight="1">
      <c r="A213" s="299" t="s">
        <v>690</v>
      </c>
      <c r="B213" s="299" t="s">
        <v>875</v>
      </c>
      <c r="C213" s="301">
        <v>46634</v>
      </c>
      <c r="D213" s="301">
        <f t="shared" si="0"/>
        <v>46660</v>
      </c>
      <c r="E213" s="301">
        <v>46099</v>
      </c>
      <c r="F213" s="301">
        <f t="shared" si="1"/>
        <v>46112</v>
      </c>
      <c r="G213" s="299" t="s">
        <v>249</v>
      </c>
      <c r="H213" s="299" t="s">
        <v>653</v>
      </c>
      <c r="I213" s="300">
        <v>8500</v>
      </c>
      <c r="J213" s="300">
        <v>0</v>
      </c>
      <c r="K213" s="300"/>
      <c r="L213" s="300"/>
      <c r="M213" s="300"/>
      <c r="N213" s="300"/>
      <c r="O213" s="300"/>
      <c r="P213" s="300"/>
      <c r="Q213" s="300"/>
      <c r="R213" s="300"/>
      <c r="S213" s="300"/>
      <c r="T213" s="300">
        <v>300</v>
      </c>
      <c r="U213" s="300"/>
      <c r="V213" s="300">
        <f t="shared" si="23"/>
        <v>8800</v>
      </c>
      <c r="W213" s="300">
        <v>750</v>
      </c>
      <c r="X213" s="300">
        <v>2500</v>
      </c>
      <c r="Y213" s="300"/>
      <c r="Z213" s="300">
        <f t="shared" si="25"/>
        <v>6300</v>
      </c>
      <c r="AA213" s="315" t="b">
        <v>1</v>
      </c>
      <c r="AB213" s="316"/>
      <c r="AC213" s="317"/>
      <c r="AF213" s="318">
        <f t="shared" si="3"/>
        <v>300</v>
      </c>
      <c r="AG213" s="318">
        <f t="shared" si="4"/>
        <v>300</v>
      </c>
      <c r="AH213" s="318">
        <f t="shared" si="5"/>
        <v>300</v>
      </c>
    </row>
    <row r="214" spans="1:34" ht="15" customHeight="1">
      <c r="A214" s="299" t="s">
        <v>690</v>
      </c>
      <c r="B214" s="299" t="s">
        <v>624</v>
      </c>
      <c r="C214" s="301">
        <v>46647</v>
      </c>
      <c r="D214" s="301">
        <f t="shared" si="0"/>
        <v>46660</v>
      </c>
      <c r="E214" s="301">
        <v>46100</v>
      </c>
      <c r="F214" s="301">
        <f t="shared" si="1"/>
        <v>46112</v>
      </c>
      <c r="G214" s="299" t="s">
        <v>249</v>
      </c>
      <c r="H214" s="299" t="s">
        <v>674</v>
      </c>
      <c r="I214" s="300">
        <v>8000</v>
      </c>
      <c r="J214" s="300">
        <v>1400</v>
      </c>
      <c r="K214" s="300">
        <v>4000</v>
      </c>
      <c r="L214" s="300"/>
      <c r="M214" s="300"/>
      <c r="N214" s="300"/>
      <c r="O214" s="300">
        <v>1300</v>
      </c>
      <c r="P214" s="300"/>
      <c r="Q214" s="300"/>
      <c r="R214" s="300"/>
      <c r="S214" s="300">
        <v>2200</v>
      </c>
      <c r="T214" s="300">
        <v>300</v>
      </c>
      <c r="U214" s="300"/>
      <c r="V214" s="300">
        <f t="shared" si="23"/>
        <v>17200</v>
      </c>
      <c r="W214" s="300">
        <v>750</v>
      </c>
      <c r="X214" s="300">
        <v>3500</v>
      </c>
      <c r="Y214" s="300"/>
      <c r="Z214" s="300">
        <f t="shared" si="25"/>
        <v>13700</v>
      </c>
      <c r="AA214" s="315" t="b">
        <v>1</v>
      </c>
      <c r="AB214" s="316"/>
      <c r="AC214" s="317"/>
      <c r="AF214" s="318">
        <f t="shared" si="3"/>
        <v>3900</v>
      </c>
      <c r="AG214" s="318">
        <f t="shared" si="4"/>
        <v>9200</v>
      </c>
      <c r="AH214" s="318">
        <f t="shared" si="5"/>
        <v>7000</v>
      </c>
    </row>
    <row r="215" spans="1:34" ht="15" customHeight="1">
      <c r="A215" s="299" t="s">
        <v>690</v>
      </c>
      <c r="B215" s="299" t="s">
        <v>876</v>
      </c>
      <c r="C215" s="301">
        <v>46648</v>
      </c>
      <c r="D215" s="301">
        <f t="shared" si="0"/>
        <v>46660</v>
      </c>
      <c r="E215" s="301"/>
      <c r="F215" s="301">
        <f t="shared" si="1"/>
        <v>31</v>
      </c>
      <c r="G215" s="299" t="s">
        <v>248</v>
      </c>
      <c r="H215" s="299" t="s">
        <v>653</v>
      </c>
      <c r="I215" s="300">
        <v>7250</v>
      </c>
      <c r="J215" s="300" t="s">
        <v>121</v>
      </c>
      <c r="K215" s="300"/>
      <c r="L215" s="300"/>
      <c r="M215" s="300"/>
      <c r="N215" s="300"/>
      <c r="O215" s="300"/>
      <c r="P215" s="300"/>
      <c r="Q215" s="300"/>
      <c r="R215" s="300"/>
      <c r="S215" s="300"/>
      <c r="T215" s="300">
        <v>300</v>
      </c>
      <c r="U215" s="300"/>
      <c r="V215" s="300">
        <f t="shared" si="23"/>
        <v>7550</v>
      </c>
      <c r="W215" s="300">
        <v>750</v>
      </c>
      <c r="X215" s="300">
        <v>2500</v>
      </c>
      <c r="Y215" s="300"/>
      <c r="Z215" s="300">
        <f t="shared" si="25"/>
        <v>5050</v>
      </c>
      <c r="AA215" s="315" t="b">
        <v>1</v>
      </c>
      <c r="AB215" s="316"/>
      <c r="AC215" s="317"/>
      <c r="AF215" s="318">
        <f t="shared" si="3"/>
        <v>300</v>
      </c>
      <c r="AG215" s="318">
        <f t="shared" si="4"/>
        <v>300</v>
      </c>
      <c r="AH215" s="318">
        <f t="shared" si="5"/>
        <v>300</v>
      </c>
    </row>
    <row r="216" spans="1:34" ht="15" customHeight="1">
      <c r="A216" s="299" t="s">
        <v>690</v>
      </c>
      <c r="B216" s="299" t="s">
        <v>877</v>
      </c>
      <c r="C216" s="301">
        <v>46648</v>
      </c>
      <c r="D216" s="301">
        <f t="shared" si="0"/>
        <v>46660</v>
      </c>
      <c r="E216" s="301">
        <v>45929</v>
      </c>
      <c r="F216" s="301">
        <f t="shared" si="1"/>
        <v>45930</v>
      </c>
      <c r="G216" s="299" t="s">
        <v>249</v>
      </c>
      <c r="H216" s="299" t="s">
        <v>658</v>
      </c>
      <c r="I216" s="300">
        <v>8500</v>
      </c>
      <c r="J216" s="300">
        <v>1400</v>
      </c>
      <c r="K216" s="300"/>
      <c r="L216" s="300"/>
      <c r="M216" s="300"/>
      <c r="N216" s="300"/>
      <c r="O216" s="300"/>
      <c r="P216" s="300"/>
      <c r="Q216" s="300"/>
      <c r="R216" s="300"/>
      <c r="S216" s="300"/>
      <c r="T216" s="300">
        <v>300</v>
      </c>
      <c r="U216" s="300"/>
      <c r="V216" s="300">
        <f t="shared" si="23"/>
        <v>10200</v>
      </c>
      <c r="W216" s="300">
        <v>750</v>
      </c>
      <c r="X216" s="300">
        <v>2700</v>
      </c>
      <c r="Y216" s="300"/>
      <c r="Z216" s="300">
        <f t="shared" si="25"/>
        <v>7500</v>
      </c>
      <c r="AA216" s="315" t="b">
        <v>1</v>
      </c>
      <c r="AB216" s="316"/>
      <c r="AC216" s="317"/>
      <c r="AF216" s="318">
        <f t="shared" si="3"/>
        <v>1700</v>
      </c>
      <c r="AG216" s="318">
        <f t="shared" si="4"/>
        <v>1700</v>
      </c>
      <c r="AH216" s="318">
        <f t="shared" si="5"/>
        <v>1700</v>
      </c>
    </row>
    <row r="217" spans="1:34" ht="15" customHeight="1">
      <c r="A217" s="299" t="s">
        <v>690</v>
      </c>
      <c r="B217" s="299" t="s">
        <v>878</v>
      </c>
      <c r="C217" s="301">
        <v>46655</v>
      </c>
      <c r="D217" s="301">
        <f t="shared" si="0"/>
        <v>46660</v>
      </c>
      <c r="E217" s="301">
        <v>46107</v>
      </c>
      <c r="F217" s="301">
        <f t="shared" si="1"/>
        <v>46112</v>
      </c>
      <c r="G217" s="299" t="s">
        <v>248</v>
      </c>
      <c r="H217" s="299" t="s">
        <v>658</v>
      </c>
      <c r="I217" s="300">
        <v>7500</v>
      </c>
      <c r="J217" s="300">
        <v>1400</v>
      </c>
      <c r="K217" s="300"/>
      <c r="L217" s="300"/>
      <c r="M217" s="300"/>
      <c r="N217" s="300"/>
      <c r="O217" s="300"/>
      <c r="P217" s="300"/>
      <c r="Q217" s="300"/>
      <c r="R217" s="300"/>
      <c r="S217" s="300"/>
      <c r="T217" s="300">
        <v>300</v>
      </c>
      <c r="U217" s="300"/>
      <c r="V217" s="300">
        <f t="shared" si="23"/>
        <v>9200</v>
      </c>
      <c r="W217" s="300">
        <v>750</v>
      </c>
      <c r="X217" s="300">
        <v>3200</v>
      </c>
      <c r="Y217" s="300"/>
      <c r="Z217" s="300">
        <f t="shared" si="25"/>
        <v>6000</v>
      </c>
      <c r="AA217" s="315" t="b">
        <v>1</v>
      </c>
      <c r="AB217" s="316"/>
      <c r="AC217" s="317"/>
      <c r="AF217" s="318">
        <f t="shared" si="3"/>
        <v>1700</v>
      </c>
      <c r="AG217" s="318">
        <f t="shared" si="4"/>
        <v>1700</v>
      </c>
      <c r="AH217" s="318">
        <f t="shared" si="5"/>
        <v>1700</v>
      </c>
    </row>
    <row r="218" spans="1:34" ht="15" customHeight="1">
      <c r="A218" s="299" t="s">
        <v>690</v>
      </c>
      <c r="B218" s="299" t="s">
        <v>879</v>
      </c>
      <c r="C218" s="301">
        <v>46655</v>
      </c>
      <c r="D218" s="301">
        <f t="shared" si="0"/>
        <v>46660</v>
      </c>
      <c r="E218" s="301">
        <v>46010</v>
      </c>
      <c r="F218" s="301">
        <f t="shared" si="1"/>
        <v>46022</v>
      </c>
      <c r="G218" s="299" t="s">
        <v>249</v>
      </c>
      <c r="H218" s="299" t="s">
        <v>653</v>
      </c>
      <c r="I218" s="300">
        <v>8500</v>
      </c>
      <c r="J218" s="300">
        <v>0</v>
      </c>
      <c r="K218" s="300"/>
      <c r="L218" s="300"/>
      <c r="M218" s="300"/>
      <c r="N218" s="300"/>
      <c r="O218" s="300"/>
      <c r="P218" s="300"/>
      <c r="Q218" s="300"/>
      <c r="R218" s="300"/>
      <c r="S218" s="300"/>
      <c r="T218" s="300">
        <v>300</v>
      </c>
      <c r="U218" s="300"/>
      <c r="V218" s="300">
        <f t="shared" si="23"/>
        <v>8800</v>
      </c>
      <c r="W218" s="300">
        <v>750</v>
      </c>
      <c r="X218" s="300">
        <v>2000</v>
      </c>
      <c r="Y218" s="300"/>
      <c r="Z218" s="300">
        <f t="shared" si="25"/>
        <v>6800</v>
      </c>
      <c r="AA218" s="315" t="b">
        <v>1</v>
      </c>
      <c r="AB218" s="316"/>
      <c r="AC218" s="317"/>
      <c r="AF218" s="318">
        <f t="shared" si="3"/>
        <v>300</v>
      </c>
      <c r="AG218" s="318">
        <f t="shared" si="4"/>
        <v>300</v>
      </c>
      <c r="AH218" s="318">
        <f t="shared" si="5"/>
        <v>300</v>
      </c>
    </row>
    <row r="219" spans="1:34" ht="15" customHeight="1">
      <c r="A219" s="299" t="s">
        <v>690</v>
      </c>
      <c r="B219" s="299" t="s">
        <v>625</v>
      </c>
      <c r="C219" s="301">
        <v>46662</v>
      </c>
      <c r="D219" s="301">
        <f t="shared" si="0"/>
        <v>46691</v>
      </c>
      <c r="E219" s="301">
        <v>46028</v>
      </c>
      <c r="F219" s="301">
        <f t="shared" si="1"/>
        <v>46053</v>
      </c>
      <c r="G219" s="299" t="s">
        <v>249</v>
      </c>
      <c r="H219" s="299" t="s">
        <v>674</v>
      </c>
      <c r="I219" s="300">
        <v>8500</v>
      </c>
      <c r="J219" s="300">
        <v>1670</v>
      </c>
      <c r="K219" s="300">
        <v>4600</v>
      </c>
      <c r="L219" s="300">
        <v>2300</v>
      </c>
      <c r="M219" s="300">
        <v>4000</v>
      </c>
      <c r="N219" s="300">
        <v>5000</v>
      </c>
      <c r="O219" s="300">
        <v>1625</v>
      </c>
      <c r="P219" s="300"/>
      <c r="Q219" s="300"/>
      <c r="R219" s="300"/>
      <c r="S219" s="300">
        <v>3500</v>
      </c>
      <c r="T219" s="300">
        <v>300</v>
      </c>
      <c r="U219" s="300"/>
      <c r="V219" s="300">
        <f t="shared" si="23"/>
        <v>31495</v>
      </c>
      <c r="W219" s="300">
        <v>750</v>
      </c>
      <c r="X219" s="300">
        <v>4000</v>
      </c>
      <c r="Y219" s="300"/>
      <c r="Z219" s="300">
        <f t="shared" si="25"/>
        <v>27495</v>
      </c>
      <c r="AA219" s="315" t="b">
        <v>1</v>
      </c>
      <c r="AB219" s="316"/>
      <c r="AC219" s="317"/>
      <c r="AF219" s="318">
        <f t="shared" si="3"/>
        <v>7770</v>
      </c>
      <c r="AG219" s="318">
        <f t="shared" si="4"/>
        <v>22995</v>
      </c>
      <c r="AH219" s="318">
        <f t="shared" si="5"/>
        <v>19495</v>
      </c>
    </row>
    <row r="220" spans="1:34" ht="15" customHeight="1">
      <c r="A220" s="299" t="s">
        <v>690</v>
      </c>
      <c r="B220" s="299" t="s">
        <v>880</v>
      </c>
      <c r="C220" s="301">
        <v>46668</v>
      </c>
      <c r="D220" s="301">
        <f t="shared" si="0"/>
        <v>46691</v>
      </c>
      <c r="E220" s="301">
        <v>46131</v>
      </c>
      <c r="F220" s="301">
        <f t="shared" si="1"/>
        <v>46142</v>
      </c>
      <c r="G220" s="299" t="s">
        <v>249</v>
      </c>
      <c r="H220" s="299" t="s">
        <v>653</v>
      </c>
      <c r="I220" s="300">
        <v>9500</v>
      </c>
      <c r="J220" s="300" t="s">
        <v>121</v>
      </c>
      <c r="K220" s="300"/>
      <c r="L220" s="300"/>
      <c r="M220" s="300"/>
      <c r="N220" s="300"/>
      <c r="O220" s="300"/>
      <c r="P220" s="300"/>
      <c r="Q220" s="300"/>
      <c r="R220" s="300"/>
      <c r="S220" s="300"/>
      <c r="T220" s="300">
        <v>300</v>
      </c>
      <c r="U220" s="300"/>
      <c r="V220" s="300">
        <f t="shared" si="23"/>
        <v>9800</v>
      </c>
      <c r="W220" s="300">
        <v>750</v>
      </c>
      <c r="X220" s="300">
        <v>2500</v>
      </c>
      <c r="Y220" s="300"/>
      <c r="Z220" s="300">
        <f t="shared" si="25"/>
        <v>7300</v>
      </c>
      <c r="AA220" s="315" t="b">
        <v>1</v>
      </c>
      <c r="AB220" s="316"/>
      <c r="AC220" s="317"/>
      <c r="AF220" s="318">
        <f t="shared" si="3"/>
        <v>300</v>
      </c>
      <c r="AG220" s="318">
        <f t="shared" si="4"/>
        <v>300</v>
      </c>
      <c r="AH220" s="318">
        <f t="shared" si="5"/>
        <v>300</v>
      </c>
    </row>
    <row r="221" spans="1:34" ht="15" customHeight="1">
      <c r="A221" s="299" t="s">
        <v>690</v>
      </c>
      <c r="B221" s="299" t="s">
        <v>881</v>
      </c>
      <c r="C221" s="301">
        <v>46669</v>
      </c>
      <c r="D221" s="301">
        <f t="shared" si="0"/>
        <v>46691</v>
      </c>
      <c r="E221" s="301">
        <v>45874</v>
      </c>
      <c r="F221" s="301">
        <f t="shared" si="1"/>
        <v>45900</v>
      </c>
      <c r="G221" s="299" t="s">
        <v>248</v>
      </c>
      <c r="H221" s="299" t="s">
        <v>658</v>
      </c>
      <c r="I221" s="300">
        <v>7500</v>
      </c>
      <c r="J221" s="300">
        <v>1400</v>
      </c>
      <c r="K221" s="300"/>
      <c r="L221" s="300"/>
      <c r="M221" s="300"/>
      <c r="N221" s="300"/>
      <c r="O221" s="300"/>
      <c r="P221" s="300"/>
      <c r="Q221" s="300"/>
      <c r="R221" s="300"/>
      <c r="S221" s="300"/>
      <c r="T221" s="300">
        <v>275</v>
      </c>
      <c r="U221" s="300"/>
      <c r="V221" s="300">
        <f t="shared" si="23"/>
        <v>9175</v>
      </c>
      <c r="W221" s="300">
        <v>750</v>
      </c>
      <c r="X221" s="300">
        <v>2700</v>
      </c>
      <c r="Y221" s="300"/>
      <c r="Z221" s="300">
        <f t="shared" si="25"/>
        <v>6475</v>
      </c>
      <c r="AA221" s="315" t="b">
        <v>1</v>
      </c>
      <c r="AB221" s="316"/>
      <c r="AC221" s="317"/>
      <c r="AF221" s="318">
        <f t="shared" si="3"/>
        <v>1675</v>
      </c>
      <c r="AG221" s="318">
        <f t="shared" si="4"/>
        <v>1675</v>
      </c>
      <c r="AH221" s="318">
        <f t="shared" si="5"/>
        <v>1675</v>
      </c>
    </row>
    <row r="222" spans="1:34" ht="15" customHeight="1">
      <c r="A222" s="299" t="s">
        <v>690</v>
      </c>
      <c r="B222" s="299" t="s">
        <v>882</v>
      </c>
      <c r="C222" s="301">
        <v>46669</v>
      </c>
      <c r="D222" s="301">
        <f t="shared" si="0"/>
        <v>46691</v>
      </c>
      <c r="E222" s="301" t="s">
        <v>121</v>
      </c>
      <c r="F222" s="301" t="str">
        <f t="shared" si="1"/>
        <v>-</v>
      </c>
      <c r="G222" s="299" t="s">
        <v>249</v>
      </c>
      <c r="H222" s="299" t="s">
        <v>653</v>
      </c>
      <c r="I222" s="300">
        <v>8500</v>
      </c>
      <c r="J222" s="300" t="s">
        <v>121</v>
      </c>
      <c r="K222" s="300"/>
      <c r="L222" s="300"/>
      <c r="M222" s="300"/>
      <c r="N222" s="300"/>
      <c r="O222" s="300"/>
      <c r="P222" s="300"/>
      <c r="Q222" s="300"/>
      <c r="R222" s="300"/>
      <c r="S222" s="300"/>
      <c r="T222" s="300">
        <v>300</v>
      </c>
      <c r="U222" s="300"/>
      <c r="V222" s="300">
        <f t="shared" si="23"/>
        <v>8800</v>
      </c>
      <c r="W222" s="300">
        <v>750</v>
      </c>
      <c r="X222" s="300">
        <v>2500</v>
      </c>
      <c r="Y222" s="300"/>
      <c r="Z222" s="300">
        <v>6300</v>
      </c>
      <c r="AA222" s="315" t="b">
        <v>1</v>
      </c>
      <c r="AB222" s="316"/>
      <c r="AC222" s="317"/>
      <c r="AF222" s="318">
        <f t="shared" si="3"/>
        <v>300</v>
      </c>
      <c r="AG222" s="318">
        <f t="shared" si="4"/>
        <v>300</v>
      </c>
      <c r="AH222" s="318">
        <f t="shared" si="5"/>
        <v>300</v>
      </c>
    </row>
    <row r="223" spans="1:34" ht="15" customHeight="1">
      <c r="A223" s="299" t="s">
        <v>690</v>
      </c>
      <c r="B223" s="299" t="s">
        <v>883</v>
      </c>
      <c r="C223" s="301">
        <v>46676</v>
      </c>
      <c r="D223" s="301">
        <f t="shared" si="0"/>
        <v>46691</v>
      </c>
      <c r="E223" s="301">
        <v>45982</v>
      </c>
      <c r="F223" s="301">
        <f t="shared" si="1"/>
        <v>45991</v>
      </c>
      <c r="G223" s="299" t="s">
        <v>249</v>
      </c>
      <c r="H223" s="299" t="s">
        <v>653</v>
      </c>
      <c r="I223" s="300">
        <v>8500</v>
      </c>
      <c r="J223" s="300">
        <v>0</v>
      </c>
      <c r="K223" s="300"/>
      <c r="L223" s="300"/>
      <c r="M223" s="300"/>
      <c r="N223" s="300"/>
      <c r="O223" s="300"/>
      <c r="P223" s="300"/>
      <c r="Q223" s="300"/>
      <c r="R223" s="300"/>
      <c r="S223" s="300"/>
      <c r="T223" s="300">
        <v>300</v>
      </c>
      <c r="U223" s="300"/>
      <c r="V223" s="300">
        <f t="shared" si="23"/>
        <v>8800</v>
      </c>
      <c r="W223" s="300">
        <v>750</v>
      </c>
      <c r="X223" s="300">
        <v>2000</v>
      </c>
      <c r="Y223" s="300"/>
      <c r="Z223" s="300">
        <f t="shared" ref="Z223:Z225" si="26">V223-X223</f>
        <v>6800</v>
      </c>
      <c r="AA223" s="315" t="b">
        <v>1</v>
      </c>
      <c r="AB223" s="316"/>
      <c r="AC223" s="317"/>
      <c r="AF223" s="318">
        <f t="shared" si="3"/>
        <v>300</v>
      </c>
      <c r="AG223" s="318">
        <f t="shared" si="4"/>
        <v>300</v>
      </c>
      <c r="AH223" s="318">
        <f t="shared" si="5"/>
        <v>300</v>
      </c>
    </row>
    <row r="224" spans="1:34" ht="15" customHeight="1">
      <c r="A224" s="299" t="s">
        <v>690</v>
      </c>
      <c r="B224" s="299" t="s">
        <v>884</v>
      </c>
      <c r="C224" s="301">
        <v>46696</v>
      </c>
      <c r="D224" s="301">
        <f t="shared" si="0"/>
        <v>46721</v>
      </c>
      <c r="E224" s="301">
        <v>46039</v>
      </c>
      <c r="F224" s="301">
        <f t="shared" si="1"/>
        <v>46053</v>
      </c>
      <c r="G224" s="299" t="s">
        <v>248</v>
      </c>
      <c r="H224" s="299" t="s">
        <v>653</v>
      </c>
      <c r="I224" s="300">
        <v>6750</v>
      </c>
      <c r="J224" s="300">
        <v>0</v>
      </c>
      <c r="K224" s="300"/>
      <c r="L224" s="300"/>
      <c r="M224" s="300"/>
      <c r="N224" s="300"/>
      <c r="O224" s="300"/>
      <c r="P224" s="300"/>
      <c r="Q224" s="300"/>
      <c r="R224" s="300"/>
      <c r="S224" s="300"/>
      <c r="T224" s="300">
        <v>300</v>
      </c>
      <c r="U224" s="300"/>
      <c r="V224" s="300">
        <f t="shared" si="23"/>
        <v>7050</v>
      </c>
      <c r="W224" s="300">
        <v>750</v>
      </c>
      <c r="X224" s="300">
        <v>2000</v>
      </c>
      <c r="Y224" s="300"/>
      <c r="Z224" s="300">
        <f t="shared" si="26"/>
        <v>5050</v>
      </c>
      <c r="AA224" s="315" t="b">
        <v>1</v>
      </c>
      <c r="AB224" s="316"/>
      <c r="AC224" s="317"/>
      <c r="AF224" s="318">
        <f t="shared" si="3"/>
        <v>300</v>
      </c>
      <c r="AG224" s="318">
        <f t="shared" si="4"/>
        <v>300</v>
      </c>
      <c r="AH224" s="318">
        <f t="shared" si="5"/>
        <v>300</v>
      </c>
    </row>
    <row r="225" spans="1:34" ht="15" customHeight="1">
      <c r="A225" s="299" t="s">
        <v>690</v>
      </c>
      <c r="B225" s="299" t="s">
        <v>885</v>
      </c>
      <c r="C225" s="301">
        <v>46697</v>
      </c>
      <c r="D225" s="301">
        <f t="shared" si="0"/>
        <v>46721</v>
      </c>
      <c r="E225" s="301">
        <v>46010</v>
      </c>
      <c r="F225" s="301">
        <f t="shared" si="1"/>
        <v>46022</v>
      </c>
      <c r="G225" s="299" t="s">
        <v>249</v>
      </c>
      <c r="H225" s="299" t="s">
        <v>658</v>
      </c>
      <c r="I225" s="300">
        <v>8500</v>
      </c>
      <c r="J225" s="300">
        <v>1400</v>
      </c>
      <c r="K225" s="300"/>
      <c r="L225" s="300"/>
      <c r="M225" s="300"/>
      <c r="N225" s="300"/>
      <c r="O225" s="300"/>
      <c r="P225" s="300"/>
      <c r="Q225" s="300"/>
      <c r="R225" s="300"/>
      <c r="S225" s="300"/>
      <c r="T225" s="300">
        <v>300</v>
      </c>
      <c r="U225" s="300"/>
      <c r="V225" s="300">
        <f t="shared" si="23"/>
        <v>10200</v>
      </c>
      <c r="W225" s="300">
        <v>750</v>
      </c>
      <c r="X225" s="300">
        <v>2700</v>
      </c>
      <c r="Y225" s="300"/>
      <c r="Z225" s="300">
        <f t="shared" si="26"/>
        <v>7500</v>
      </c>
      <c r="AA225" s="315" t="b">
        <v>1</v>
      </c>
      <c r="AB225" s="316"/>
      <c r="AC225" s="317"/>
      <c r="AF225" s="318">
        <f t="shared" si="3"/>
        <v>1700</v>
      </c>
      <c r="AG225" s="318">
        <f t="shared" si="4"/>
        <v>1700</v>
      </c>
      <c r="AH225" s="318">
        <f t="shared" si="5"/>
        <v>1700</v>
      </c>
    </row>
    <row r="226" spans="1:34" ht="15" customHeight="1">
      <c r="A226" s="299"/>
      <c r="B226" s="299"/>
      <c r="C226" s="301"/>
      <c r="D226" s="301"/>
      <c r="E226" s="301"/>
      <c r="F226" s="301"/>
      <c r="G226" s="299"/>
      <c r="H226" s="299"/>
      <c r="I226" s="300">
        <f>SUM(I39:I225)</f>
        <v>1319550</v>
      </c>
      <c r="J226" s="300">
        <v>92520</v>
      </c>
      <c r="K226" s="300">
        <f t="shared" ref="K226:Z226" si="27">SUM(K39:K225)</f>
        <v>57200</v>
      </c>
      <c r="L226" s="300">
        <f t="shared" si="27"/>
        <v>24900</v>
      </c>
      <c r="M226" s="300">
        <f t="shared" si="27"/>
        <v>46000</v>
      </c>
      <c r="N226" s="300">
        <f t="shared" si="27"/>
        <v>58900</v>
      </c>
      <c r="O226" s="300">
        <f t="shared" si="27"/>
        <v>18960</v>
      </c>
      <c r="P226" s="300">
        <f t="shared" si="27"/>
        <v>3000</v>
      </c>
      <c r="Q226" s="300">
        <f t="shared" si="27"/>
        <v>1350</v>
      </c>
      <c r="R226" s="300">
        <f t="shared" si="27"/>
        <v>1160</v>
      </c>
      <c r="S226" s="300">
        <f t="shared" si="27"/>
        <v>54500</v>
      </c>
      <c r="T226" s="300">
        <f t="shared" si="27"/>
        <v>39950</v>
      </c>
      <c r="U226" s="300">
        <f t="shared" si="27"/>
        <v>2600</v>
      </c>
      <c r="V226" s="300">
        <f t="shared" si="27"/>
        <v>1720590</v>
      </c>
      <c r="W226" s="300">
        <f t="shared" si="27"/>
        <v>132500</v>
      </c>
      <c r="X226" s="300">
        <f t="shared" si="27"/>
        <v>1086823</v>
      </c>
      <c r="Y226" s="300">
        <f t="shared" si="27"/>
        <v>29400</v>
      </c>
      <c r="Z226" s="300">
        <f t="shared" si="27"/>
        <v>604662</v>
      </c>
      <c r="AA226" s="315" t="b">
        <v>0</v>
      </c>
      <c r="AB226" s="316"/>
      <c r="AC226" s="317"/>
      <c r="AF226" s="318">
        <f t="shared" si="3"/>
        <v>219980</v>
      </c>
      <c r="AG226" s="318">
        <f t="shared" si="4"/>
        <v>401040</v>
      </c>
      <c r="AH226" s="318">
        <f t="shared" si="5"/>
        <v>343940</v>
      </c>
    </row>
    <row r="227" spans="1:34" ht="15" customHeight="1">
      <c r="A227" s="299"/>
      <c r="B227" s="299"/>
      <c r="C227" s="301"/>
      <c r="D227" s="301"/>
      <c r="E227" s="301"/>
      <c r="F227" s="301"/>
      <c r="G227" s="299"/>
      <c r="H227" s="299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15"/>
      <c r="AB227" s="316"/>
      <c r="AC227" s="317"/>
      <c r="AF227" s="318">
        <f t="shared" si="3"/>
        <v>0</v>
      </c>
      <c r="AG227" s="318">
        <f t="shared" si="4"/>
        <v>0</v>
      </c>
      <c r="AH227" s="318">
        <f t="shared" si="5"/>
        <v>0</v>
      </c>
    </row>
    <row r="228" spans="1:34" ht="15" customHeight="1">
      <c r="A228" s="299"/>
      <c r="B228" s="299"/>
      <c r="C228" s="301"/>
      <c r="D228" s="301"/>
      <c r="E228" s="301"/>
      <c r="F228" s="301"/>
      <c r="G228" s="299"/>
      <c r="H228" s="299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15"/>
      <c r="AB228" s="316"/>
      <c r="AC228" s="317"/>
      <c r="AF228" s="318">
        <f t="shared" si="3"/>
        <v>0</v>
      </c>
      <c r="AG228" s="318">
        <f t="shared" si="4"/>
        <v>0</v>
      </c>
      <c r="AH228" s="318">
        <f t="shared" si="5"/>
        <v>0</v>
      </c>
    </row>
    <row r="229" spans="1:34" ht="15" customHeight="1">
      <c r="A229" s="299"/>
      <c r="B229" s="299"/>
      <c r="C229" s="301"/>
      <c r="D229" s="301"/>
      <c r="E229" s="301"/>
      <c r="F229" s="301"/>
      <c r="G229" s="299"/>
      <c r="H229" s="299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15"/>
      <c r="AB229" s="316"/>
      <c r="AC229" s="317"/>
      <c r="AF229" s="318">
        <f t="shared" si="3"/>
        <v>0</v>
      </c>
      <c r="AG229" s="318">
        <f t="shared" si="4"/>
        <v>0</v>
      </c>
      <c r="AH229" s="318">
        <f t="shared" si="5"/>
        <v>0</v>
      </c>
    </row>
    <row r="230" spans="1:34" ht="15" customHeight="1">
      <c r="A230" s="299"/>
      <c r="B230" s="299"/>
      <c r="C230" s="301"/>
      <c r="D230" s="301"/>
      <c r="E230" s="301"/>
      <c r="F230" s="301"/>
      <c r="G230" s="299"/>
      <c r="H230" s="299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15"/>
      <c r="AB230" s="316"/>
      <c r="AC230" s="317"/>
      <c r="AF230" s="318">
        <f t="shared" si="3"/>
        <v>0</v>
      </c>
      <c r="AG230" s="318">
        <f t="shared" si="4"/>
        <v>0</v>
      </c>
      <c r="AH230" s="318">
        <f t="shared" si="5"/>
        <v>0</v>
      </c>
    </row>
    <row r="231" spans="1:34" ht="15" customHeight="1">
      <c r="A231" s="299"/>
      <c r="B231" s="299"/>
      <c r="C231" s="301"/>
      <c r="D231" s="301"/>
      <c r="E231" s="301"/>
      <c r="F231" s="301"/>
      <c r="G231" s="299"/>
      <c r="H231" s="299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15"/>
      <c r="AB231" s="316"/>
      <c r="AC231" s="317"/>
      <c r="AF231" s="318">
        <f t="shared" si="3"/>
        <v>0</v>
      </c>
      <c r="AG231" s="318">
        <f t="shared" si="4"/>
        <v>0</v>
      </c>
      <c r="AH231" s="318">
        <f t="shared" si="5"/>
        <v>0</v>
      </c>
    </row>
    <row r="232" spans="1:34" ht="15" customHeight="1">
      <c r="A232" s="299"/>
      <c r="B232" s="299"/>
      <c r="C232" s="301"/>
      <c r="D232" s="301"/>
      <c r="E232" s="301"/>
      <c r="F232" s="301"/>
      <c r="G232" s="299"/>
      <c r="H232" s="299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15"/>
      <c r="AB232" s="316"/>
      <c r="AC232" s="317"/>
      <c r="AF232" s="318">
        <f t="shared" si="3"/>
        <v>0</v>
      </c>
      <c r="AG232" s="318">
        <f t="shared" si="4"/>
        <v>0</v>
      </c>
      <c r="AH232" s="318">
        <f t="shared" si="5"/>
        <v>0</v>
      </c>
    </row>
    <row r="233" spans="1:34" ht="14.25" customHeight="1">
      <c r="B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290"/>
      <c r="AC233" s="290"/>
    </row>
    <row r="234" spans="1:34" ht="14.25" customHeight="1">
      <c r="B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290"/>
      <c r="AC234" s="290"/>
    </row>
    <row r="235" spans="1:34" ht="14.25" customHeight="1">
      <c r="B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290"/>
      <c r="AC235" s="290"/>
    </row>
    <row r="236" spans="1:34" ht="14.25" customHeight="1">
      <c r="B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290"/>
      <c r="AC236" s="290"/>
    </row>
    <row r="237" spans="1:34" ht="14.25" customHeight="1">
      <c r="B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290"/>
      <c r="AC237" s="290"/>
    </row>
    <row r="238" spans="1:34" ht="14.25" customHeight="1">
      <c r="B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290"/>
      <c r="AC238" s="290"/>
    </row>
    <row r="239" spans="1:34" ht="14.25" customHeight="1">
      <c r="B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290"/>
      <c r="AC239" s="290"/>
    </row>
    <row r="240" spans="1:34" ht="14.25" customHeight="1">
      <c r="B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290"/>
      <c r="AC240" s="290"/>
    </row>
    <row r="241" spans="2:29" ht="14.25" customHeight="1">
      <c r="B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290"/>
      <c r="AC241" s="290"/>
    </row>
    <row r="242" spans="2:29" ht="14.25" customHeight="1">
      <c r="B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290"/>
      <c r="AC242" s="290"/>
    </row>
    <row r="243" spans="2:29" ht="14.25" customHeight="1">
      <c r="B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290"/>
      <c r="AC243" s="290"/>
    </row>
    <row r="244" spans="2:29" ht="14.25" customHeight="1">
      <c r="B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290"/>
      <c r="AC244" s="290"/>
    </row>
    <row r="245" spans="2:29" ht="14.25" customHeight="1">
      <c r="B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290"/>
      <c r="AC245" s="290"/>
    </row>
    <row r="246" spans="2:29" ht="14.25" customHeight="1">
      <c r="B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290"/>
      <c r="AC246" s="290"/>
    </row>
    <row r="247" spans="2:29" ht="14.25" customHeight="1">
      <c r="B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290"/>
      <c r="AC247" s="290"/>
    </row>
    <row r="248" spans="2:29" ht="14.25" customHeight="1">
      <c r="B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290"/>
      <c r="AC248" s="290"/>
    </row>
    <row r="249" spans="2:29" ht="14.25" customHeight="1">
      <c r="B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290"/>
      <c r="AC249" s="290"/>
    </row>
    <row r="250" spans="2:29" ht="14.25" customHeight="1">
      <c r="B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290"/>
      <c r="AC250" s="290"/>
    </row>
    <row r="251" spans="2:29" ht="14.25" customHeight="1">
      <c r="B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290"/>
      <c r="AC251" s="290"/>
    </row>
    <row r="252" spans="2:29" ht="14.25" customHeight="1">
      <c r="B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290"/>
      <c r="AC252" s="290"/>
    </row>
    <row r="253" spans="2:29" ht="14.25" customHeight="1">
      <c r="B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290"/>
      <c r="AC253" s="290"/>
    </row>
    <row r="254" spans="2:29" ht="14.25" customHeight="1">
      <c r="B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290"/>
      <c r="AC254" s="290"/>
    </row>
    <row r="255" spans="2:29" ht="14.25" customHeight="1">
      <c r="B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290"/>
      <c r="AC255" s="290"/>
    </row>
    <row r="256" spans="2:29" ht="14.25" customHeight="1">
      <c r="B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290"/>
      <c r="AC256" s="290"/>
    </row>
    <row r="257" spans="2:29" ht="14.25" customHeight="1">
      <c r="B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290"/>
      <c r="AC257" s="290"/>
    </row>
    <row r="258" spans="2:29" ht="14.25" customHeight="1">
      <c r="B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290"/>
      <c r="AC258" s="290"/>
    </row>
    <row r="259" spans="2:29" ht="14.25" customHeight="1">
      <c r="B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290"/>
      <c r="AC259" s="290"/>
    </row>
    <row r="260" spans="2:29" ht="14.25" customHeight="1">
      <c r="B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290"/>
      <c r="AC260" s="290"/>
    </row>
    <row r="261" spans="2:29" ht="14.25" customHeight="1">
      <c r="B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290"/>
      <c r="AC261" s="290"/>
    </row>
    <row r="262" spans="2:29" ht="14.25" customHeight="1">
      <c r="B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290"/>
      <c r="AC262" s="290"/>
    </row>
    <row r="263" spans="2:29" ht="14.25" customHeight="1">
      <c r="B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290"/>
      <c r="AC263" s="290"/>
    </row>
    <row r="264" spans="2:29" ht="14.25" customHeight="1">
      <c r="B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290"/>
      <c r="AC264" s="290"/>
    </row>
    <row r="265" spans="2:29" ht="14.25" customHeight="1">
      <c r="B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290"/>
      <c r="AC265" s="290"/>
    </row>
    <row r="266" spans="2:29" ht="14.25" customHeight="1">
      <c r="B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290"/>
      <c r="AC266" s="290"/>
    </row>
    <row r="267" spans="2:29" ht="14.25" customHeight="1">
      <c r="B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290"/>
      <c r="AC267" s="290"/>
    </row>
    <row r="268" spans="2:29" ht="14.25" customHeight="1">
      <c r="B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290"/>
      <c r="AC268" s="290"/>
    </row>
    <row r="269" spans="2:29" ht="14.25" customHeight="1">
      <c r="B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290"/>
      <c r="AC269" s="290"/>
    </row>
    <row r="270" spans="2:29" ht="14.25" customHeight="1">
      <c r="B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290"/>
      <c r="AC270" s="290"/>
    </row>
    <row r="271" spans="2:29" ht="14.25" customHeight="1">
      <c r="B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290"/>
      <c r="AC271" s="290"/>
    </row>
    <row r="272" spans="2:29" ht="14.25" customHeight="1">
      <c r="B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290"/>
      <c r="AC272" s="290"/>
    </row>
    <row r="273" spans="2:29" ht="14.25" customHeight="1">
      <c r="B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290"/>
      <c r="AC273" s="290"/>
    </row>
    <row r="274" spans="2:29" ht="14.25" customHeight="1">
      <c r="B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290"/>
      <c r="AC274" s="290"/>
    </row>
    <row r="275" spans="2:29" ht="14.25" customHeight="1">
      <c r="B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290"/>
      <c r="AC275" s="290"/>
    </row>
    <row r="276" spans="2:29" ht="14.25" customHeight="1">
      <c r="B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290"/>
      <c r="AC276" s="290"/>
    </row>
    <row r="277" spans="2:29" ht="14.25" customHeight="1">
      <c r="B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290"/>
      <c r="AC277" s="290"/>
    </row>
    <row r="278" spans="2:29" ht="14.25" customHeight="1">
      <c r="B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290"/>
      <c r="AC278" s="290"/>
    </row>
    <row r="279" spans="2:29" ht="14.25" customHeight="1">
      <c r="B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290"/>
      <c r="AC279" s="290"/>
    </row>
    <row r="280" spans="2:29" ht="14.25" customHeight="1">
      <c r="B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290"/>
      <c r="AC280" s="290"/>
    </row>
    <row r="281" spans="2:29" ht="14.25" customHeight="1">
      <c r="B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290"/>
      <c r="AC281" s="290"/>
    </row>
    <row r="282" spans="2:29" ht="14.25" customHeight="1">
      <c r="B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290"/>
      <c r="AC282" s="290"/>
    </row>
    <row r="283" spans="2:29" ht="14.25" customHeight="1">
      <c r="B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290"/>
      <c r="AC283" s="290"/>
    </row>
    <row r="284" spans="2:29" ht="14.25" customHeight="1">
      <c r="B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290"/>
      <c r="AC284" s="290"/>
    </row>
    <row r="285" spans="2:29" ht="14.25" customHeight="1">
      <c r="B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290"/>
      <c r="AC285" s="290"/>
    </row>
    <row r="286" spans="2:29" ht="14.25" customHeight="1">
      <c r="B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290"/>
      <c r="AC286" s="290"/>
    </row>
    <row r="287" spans="2:29" ht="14.25" customHeight="1">
      <c r="B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290"/>
      <c r="AC287" s="290"/>
    </row>
    <row r="288" spans="2:29" ht="14.25" customHeight="1">
      <c r="B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290"/>
      <c r="AC288" s="290"/>
    </row>
    <row r="289" spans="2:29" ht="14.25" customHeight="1">
      <c r="B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290"/>
      <c r="AC289" s="290"/>
    </row>
    <row r="290" spans="2:29" ht="14.25" customHeight="1">
      <c r="B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290"/>
      <c r="AC290" s="290"/>
    </row>
    <row r="291" spans="2:29" ht="14.25" customHeight="1">
      <c r="B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290"/>
      <c r="AC291" s="290"/>
    </row>
    <row r="292" spans="2:29" ht="14.25" customHeight="1">
      <c r="B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290"/>
      <c r="AC292" s="290"/>
    </row>
    <row r="293" spans="2:29" ht="14.25" customHeight="1">
      <c r="B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290"/>
      <c r="AC293" s="290"/>
    </row>
    <row r="294" spans="2:29" ht="14.25" customHeight="1">
      <c r="B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290"/>
      <c r="AC294" s="290"/>
    </row>
    <row r="295" spans="2:29" ht="14.25" customHeight="1">
      <c r="B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290"/>
      <c r="AC295" s="290"/>
    </row>
    <row r="296" spans="2:29" ht="14.25" customHeight="1">
      <c r="B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290"/>
      <c r="AC296" s="290"/>
    </row>
    <row r="297" spans="2:29" ht="14.25" customHeight="1">
      <c r="B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290"/>
      <c r="AC297" s="290"/>
    </row>
    <row r="298" spans="2:29" ht="14.25" customHeight="1">
      <c r="B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290"/>
      <c r="AC298" s="290"/>
    </row>
    <row r="299" spans="2:29" ht="14.25" customHeight="1">
      <c r="B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290"/>
      <c r="AC299" s="290"/>
    </row>
    <row r="300" spans="2:29" ht="14.25" customHeight="1">
      <c r="B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290"/>
      <c r="AC300" s="290"/>
    </row>
    <row r="301" spans="2:29" ht="14.25" customHeight="1">
      <c r="B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290"/>
      <c r="AC301" s="290"/>
    </row>
    <row r="302" spans="2:29" ht="14.25" customHeight="1">
      <c r="B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290"/>
      <c r="AC302" s="290"/>
    </row>
    <row r="303" spans="2:29" ht="14.25" customHeight="1">
      <c r="B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290"/>
      <c r="AC303" s="290"/>
    </row>
    <row r="304" spans="2:29" ht="14.25" customHeight="1">
      <c r="B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290"/>
      <c r="AC304" s="290"/>
    </row>
    <row r="305" spans="2:29" ht="14.25" customHeight="1">
      <c r="B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290"/>
      <c r="AC305" s="290"/>
    </row>
    <row r="306" spans="2:29" ht="14.25" customHeight="1">
      <c r="B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290"/>
      <c r="AC306" s="290"/>
    </row>
    <row r="307" spans="2:29" ht="14.25" customHeight="1">
      <c r="B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290"/>
      <c r="AC307" s="290"/>
    </row>
    <row r="308" spans="2:29" ht="14.25" customHeight="1">
      <c r="B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290"/>
      <c r="AC308" s="290"/>
    </row>
    <row r="309" spans="2:29" ht="14.25" customHeight="1">
      <c r="B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290"/>
      <c r="AC309" s="290"/>
    </row>
    <row r="310" spans="2:29" ht="14.25" customHeight="1">
      <c r="B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290"/>
      <c r="AC310" s="290"/>
    </row>
    <row r="311" spans="2:29" ht="14.25" customHeight="1">
      <c r="B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290"/>
      <c r="AC311" s="290"/>
    </row>
    <row r="312" spans="2:29" ht="14.25" customHeight="1">
      <c r="B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290"/>
      <c r="AC312" s="290"/>
    </row>
    <row r="313" spans="2:29" ht="14.25" customHeight="1">
      <c r="B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290"/>
      <c r="AC313" s="290"/>
    </row>
    <row r="314" spans="2:29" ht="14.25" customHeight="1">
      <c r="B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290"/>
      <c r="AC314" s="290"/>
    </row>
    <row r="315" spans="2:29" ht="14.25" customHeight="1">
      <c r="B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290"/>
      <c r="AC315" s="290"/>
    </row>
    <row r="316" spans="2:29" ht="14.25" customHeight="1">
      <c r="B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290"/>
      <c r="AC316" s="290"/>
    </row>
    <row r="317" spans="2:29" ht="14.25" customHeight="1">
      <c r="B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290"/>
      <c r="AC317" s="290"/>
    </row>
    <row r="318" spans="2:29" ht="14.25" customHeight="1">
      <c r="B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290"/>
      <c r="AC318" s="290"/>
    </row>
    <row r="319" spans="2:29" ht="14.25" customHeight="1">
      <c r="B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290"/>
      <c r="AC319" s="290"/>
    </row>
    <row r="320" spans="2:29" ht="14.25" customHeight="1">
      <c r="B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290"/>
      <c r="AC320" s="290"/>
    </row>
    <row r="321" spans="2:29" ht="14.25" customHeight="1">
      <c r="B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290"/>
      <c r="AC321" s="290"/>
    </row>
    <row r="322" spans="2:29" ht="14.25" customHeight="1">
      <c r="B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290"/>
      <c r="AC322" s="290"/>
    </row>
    <row r="323" spans="2:29" ht="14.25" customHeight="1">
      <c r="B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290"/>
      <c r="AC323" s="290"/>
    </row>
    <row r="324" spans="2:29" ht="14.25" customHeight="1">
      <c r="B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290"/>
      <c r="AC324" s="290"/>
    </row>
    <row r="325" spans="2:29" ht="14.25" customHeight="1">
      <c r="B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290"/>
      <c r="AC325" s="290"/>
    </row>
    <row r="326" spans="2:29" ht="14.25" customHeight="1">
      <c r="B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290"/>
      <c r="AC326" s="290"/>
    </row>
    <row r="327" spans="2:29" ht="14.25" customHeight="1">
      <c r="B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290"/>
      <c r="AC327" s="290"/>
    </row>
    <row r="328" spans="2:29" ht="14.25" customHeight="1">
      <c r="B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290"/>
      <c r="AC328" s="290"/>
    </row>
    <row r="329" spans="2:29" ht="14.25" customHeight="1">
      <c r="B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290"/>
      <c r="AC329" s="290"/>
    </row>
    <row r="330" spans="2:29" ht="14.25" customHeight="1">
      <c r="B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290"/>
      <c r="AC330" s="290"/>
    </row>
    <row r="331" spans="2:29" ht="14.25" customHeight="1">
      <c r="B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290"/>
      <c r="AC331" s="290"/>
    </row>
    <row r="332" spans="2:29" ht="14.25" customHeight="1">
      <c r="B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290"/>
      <c r="AC332" s="290"/>
    </row>
    <row r="333" spans="2:29" ht="14.25" customHeight="1">
      <c r="B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290"/>
      <c r="AC333" s="290"/>
    </row>
    <row r="334" spans="2:29" ht="14.25" customHeight="1">
      <c r="B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290"/>
      <c r="AC334" s="290"/>
    </row>
    <row r="335" spans="2:29" ht="14.25" customHeight="1">
      <c r="B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290"/>
      <c r="AC335" s="290"/>
    </row>
    <row r="336" spans="2:29" ht="14.25" customHeight="1">
      <c r="B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290"/>
      <c r="AC336" s="290"/>
    </row>
    <row r="337" spans="2:29" ht="14.25" customHeight="1">
      <c r="B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290"/>
      <c r="AC337" s="290"/>
    </row>
    <row r="338" spans="2:29" ht="14.25" customHeight="1">
      <c r="B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290"/>
      <c r="AC338" s="290"/>
    </row>
    <row r="339" spans="2:29" ht="14.25" customHeight="1">
      <c r="B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290"/>
      <c r="AC339" s="290"/>
    </row>
    <row r="340" spans="2:29" ht="14.25" customHeight="1">
      <c r="B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290"/>
      <c r="AC340" s="290"/>
    </row>
    <row r="341" spans="2:29" ht="14.25" customHeight="1">
      <c r="B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290"/>
      <c r="AC341" s="290"/>
    </row>
    <row r="342" spans="2:29" ht="14.25" customHeight="1">
      <c r="B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290"/>
      <c r="AC342" s="290"/>
    </row>
    <row r="343" spans="2:29" ht="14.25" customHeight="1">
      <c r="B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290"/>
      <c r="AC343" s="290"/>
    </row>
    <row r="344" spans="2:29" ht="14.25" customHeight="1">
      <c r="B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290"/>
      <c r="AC344" s="290"/>
    </row>
    <row r="345" spans="2:29" ht="14.25" customHeight="1">
      <c r="B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290"/>
      <c r="AC345" s="290"/>
    </row>
    <row r="346" spans="2:29" ht="14.25" customHeight="1">
      <c r="B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290"/>
      <c r="AC346" s="290"/>
    </row>
    <row r="347" spans="2:29" ht="14.25" customHeight="1">
      <c r="B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290"/>
      <c r="AC347" s="290"/>
    </row>
    <row r="348" spans="2:29" ht="14.25" customHeight="1">
      <c r="B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290"/>
      <c r="AC348" s="290"/>
    </row>
    <row r="349" spans="2:29" ht="14.25" customHeight="1">
      <c r="B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290"/>
      <c r="AC349" s="290"/>
    </row>
    <row r="350" spans="2:29" ht="14.25" customHeight="1">
      <c r="B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290"/>
      <c r="AC350" s="290"/>
    </row>
    <row r="351" spans="2:29" ht="14.25" customHeight="1">
      <c r="B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290"/>
      <c r="AC351" s="290"/>
    </row>
    <row r="352" spans="2:29" ht="14.25" customHeight="1">
      <c r="B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290"/>
      <c r="AC352" s="290"/>
    </row>
    <row r="353" spans="2:29" ht="14.25" customHeight="1">
      <c r="B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290"/>
      <c r="AC353" s="290"/>
    </row>
    <row r="354" spans="2:29" ht="14.25" customHeight="1">
      <c r="B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290"/>
      <c r="AC354" s="290"/>
    </row>
    <row r="355" spans="2:29" ht="14.25" customHeight="1">
      <c r="B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290"/>
      <c r="AC355" s="290"/>
    </row>
    <row r="356" spans="2:29" ht="14.25" customHeight="1">
      <c r="B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290"/>
      <c r="AC356" s="290"/>
    </row>
    <row r="357" spans="2:29" ht="14.25" customHeight="1">
      <c r="B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290"/>
      <c r="AC357" s="290"/>
    </row>
    <row r="358" spans="2:29" ht="14.25" customHeight="1">
      <c r="B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290"/>
      <c r="AC358" s="290"/>
    </row>
    <row r="359" spans="2:29" ht="14.25" customHeight="1">
      <c r="B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290"/>
      <c r="AC359" s="290"/>
    </row>
    <row r="360" spans="2:29" ht="14.25" customHeight="1">
      <c r="B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290"/>
      <c r="AC360" s="290"/>
    </row>
    <row r="361" spans="2:29" ht="14.25" customHeight="1">
      <c r="B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290"/>
      <c r="AC361" s="290"/>
    </row>
    <row r="362" spans="2:29" ht="14.25" customHeight="1">
      <c r="B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290"/>
      <c r="AC362" s="290"/>
    </row>
    <row r="363" spans="2:29" ht="14.25" customHeight="1">
      <c r="B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290"/>
      <c r="AC363" s="290"/>
    </row>
    <row r="364" spans="2:29" ht="14.25" customHeight="1">
      <c r="B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290"/>
      <c r="AC364" s="290"/>
    </row>
    <row r="365" spans="2:29" ht="14.25" customHeight="1">
      <c r="B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290"/>
      <c r="AC365" s="290"/>
    </row>
    <row r="366" spans="2:29" ht="14.25" customHeight="1">
      <c r="B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290"/>
      <c r="AC366" s="290"/>
    </row>
    <row r="367" spans="2:29" ht="14.25" customHeight="1">
      <c r="B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290"/>
      <c r="AC367" s="290"/>
    </row>
    <row r="368" spans="2:29" ht="14.25" customHeight="1">
      <c r="B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290"/>
      <c r="AC368" s="290"/>
    </row>
    <row r="369" spans="2:29" ht="14.25" customHeight="1">
      <c r="B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290"/>
      <c r="AC369" s="290"/>
    </row>
    <row r="370" spans="2:29" ht="14.25" customHeight="1">
      <c r="B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290"/>
      <c r="AC370" s="290"/>
    </row>
    <row r="371" spans="2:29" ht="14.25" customHeight="1">
      <c r="B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290"/>
      <c r="AC371" s="290"/>
    </row>
    <row r="372" spans="2:29" ht="14.25" customHeight="1">
      <c r="B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290"/>
      <c r="AC372" s="290"/>
    </row>
    <row r="373" spans="2:29" ht="14.25" customHeight="1">
      <c r="B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290"/>
      <c r="AC373" s="290"/>
    </row>
    <row r="374" spans="2:29" ht="14.25" customHeight="1">
      <c r="B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290"/>
      <c r="AC374" s="290"/>
    </row>
    <row r="375" spans="2:29" ht="14.25" customHeight="1">
      <c r="B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290"/>
      <c r="AC375" s="290"/>
    </row>
    <row r="376" spans="2:29" ht="14.25" customHeight="1">
      <c r="B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290"/>
      <c r="AC376" s="290"/>
    </row>
    <row r="377" spans="2:29" ht="14.25" customHeight="1">
      <c r="B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290"/>
      <c r="AC377" s="290"/>
    </row>
    <row r="378" spans="2:29" ht="14.25" customHeight="1">
      <c r="B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290"/>
      <c r="AC378" s="290"/>
    </row>
    <row r="379" spans="2:29" ht="14.25" customHeight="1">
      <c r="B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290"/>
      <c r="AC379" s="290"/>
    </row>
    <row r="380" spans="2:29" ht="14.25" customHeight="1">
      <c r="B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290"/>
      <c r="AC380" s="290"/>
    </row>
    <row r="381" spans="2:29" ht="14.25" customHeight="1">
      <c r="B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290"/>
      <c r="AC381" s="290"/>
    </row>
    <row r="382" spans="2:29" ht="14.25" customHeight="1">
      <c r="B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290"/>
      <c r="AC382" s="290"/>
    </row>
    <row r="383" spans="2:29" ht="14.25" customHeight="1">
      <c r="B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290"/>
      <c r="AC383" s="290"/>
    </row>
    <row r="384" spans="2:29" ht="14.25" customHeight="1">
      <c r="B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290"/>
      <c r="AC384" s="290"/>
    </row>
    <row r="385" spans="2:29" ht="14.25" customHeight="1">
      <c r="B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290"/>
      <c r="AC385" s="290"/>
    </row>
    <row r="386" spans="2:29" ht="14.25" customHeight="1">
      <c r="B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290"/>
      <c r="AC386" s="290"/>
    </row>
    <row r="387" spans="2:29" ht="14.25" customHeight="1">
      <c r="B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290"/>
      <c r="AC387" s="290"/>
    </row>
    <row r="388" spans="2:29" ht="14.25" customHeight="1">
      <c r="B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290"/>
      <c r="AC388" s="290"/>
    </row>
    <row r="389" spans="2:29" ht="14.25" customHeight="1">
      <c r="B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290"/>
      <c r="AC389" s="290"/>
    </row>
    <row r="390" spans="2:29" ht="14.25" customHeight="1">
      <c r="B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290"/>
      <c r="AC390" s="290"/>
    </row>
    <row r="391" spans="2:29" ht="14.25" customHeight="1">
      <c r="B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290"/>
      <c r="AC391" s="290"/>
    </row>
    <row r="392" spans="2:29" ht="14.25" customHeight="1">
      <c r="B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290"/>
      <c r="AC392" s="290"/>
    </row>
    <row r="393" spans="2:29" ht="14.25" customHeight="1">
      <c r="B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290"/>
      <c r="AC393" s="290"/>
    </row>
    <row r="394" spans="2:29" ht="14.25" customHeight="1">
      <c r="B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290"/>
      <c r="AC394" s="290"/>
    </row>
    <row r="395" spans="2:29" ht="14.25" customHeight="1">
      <c r="B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290"/>
      <c r="AC395" s="290"/>
    </row>
    <row r="396" spans="2:29" ht="14.25" customHeight="1">
      <c r="B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290"/>
      <c r="AC396" s="290"/>
    </row>
    <row r="397" spans="2:29" ht="14.25" customHeight="1">
      <c r="B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290"/>
      <c r="AC397" s="290"/>
    </row>
    <row r="398" spans="2:29" ht="14.25" customHeight="1">
      <c r="B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290"/>
      <c r="AC398" s="290"/>
    </row>
    <row r="399" spans="2:29" ht="14.25" customHeight="1">
      <c r="B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290"/>
      <c r="AC399" s="290"/>
    </row>
    <row r="400" spans="2:29" ht="14.25" customHeight="1">
      <c r="B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290"/>
      <c r="AC400" s="290"/>
    </row>
    <row r="401" spans="2:29" ht="14.25" customHeight="1">
      <c r="B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290"/>
      <c r="AC401" s="290"/>
    </row>
    <row r="402" spans="2:29" ht="14.25" customHeight="1">
      <c r="B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290"/>
      <c r="AC402" s="290"/>
    </row>
    <row r="403" spans="2:29" ht="14.25" customHeight="1">
      <c r="B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290"/>
      <c r="AC403" s="290"/>
    </row>
    <row r="404" spans="2:29" ht="14.25" customHeight="1">
      <c r="B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290"/>
      <c r="AC404" s="290"/>
    </row>
    <row r="405" spans="2:29" ht="14.25" customHeight="1">
      <c r="B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290"/>
      <c r="AC405" s="290"/>
    </row>
    <row r="406" spans="2:29" ht="14.25" customHeight="1">
      <c r="B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290"/>
      <c r="AC406" s="290"/>
    </row>
    <row r="407" spans="2:29" ht="14.25" customHeight="1">
      <c r="B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290"/>
      <c r="AC407" s="290"/>
    </row>
    <row r="408" spans="2:29" ht="14.25" customHeight="1">
      <c r="B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290"/>
      <c r="AC408" s="290"/>
    </row>
    <row r="409" spans="2:29" ht="14.25" customHeight="1">
      <c r="B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290"/>
      <c r="AC409" s="290"/>
    </row>
    <row r="410" spans="2:29" ht="14.25" customHeight="1">
      <c r="B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290"/>
      <c r="AC410" s="290"/>
    </row>
    <row r="411" spans="2:29" ht="14.25" customHeight="1">
      <c r="B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290"/>
      <c r="AC411" s="290"/>
    </row>
    <row r="412" spans="2:29" ht="14.25" customHeight="1">
      <c r="B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290"/>
      <c r="AC412" s="290"/>
    </row>
    <row r="413" spans="2:29" ht="14.25" customHeight="1">
      <c r="B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290"/>
      <c r="AC413" s="290"/>
    </row>
    <row r="414" spans="2:29" ht="14.25" customHeight="1">
      <c r="B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290"/>
      <c r="AC414" s="290"/>
    </row>
    <row r="415" spans="2:29" ht="14.25" customHeight="1">
      <c r="B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290"/>
      <c r="AC415" s="290"/>
    </row>
    <row r="416" spans="2:29" ht="14.25" customHeight="1">
      <c r="B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290"/>
      <c r="AC416" s="290"/>
    </row>
    <row r="417" spans="2:29" ht="14.25" customHeight="1">
      <c r="B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290"/>
      <c r="AC417" s="290"/>
    </row>
    <row r="418" spans="2:29" ht="14.25" customHeight="1">
      <c r="B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290"/>
      <c r="AC418" s="290"/>
    </row>
    <row r="419" spans="2:29" ht="14.25" customHeight="1">
      <c r="B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290"/>
      <c r="AC419" s="290"/>
    </row>
    <row r="420" spans="2:29" ht="14.25" customHeight="1">
      <c r="B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290"/>
      <c r="AC420" s="290"/>
    </row>
    <row r="421" spans="2:29" ht="14.25" customHeight="1">
      <c r="B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290"/>
      <c r="AC421" s="290"/>
    </row>
    <row r="422" spans="2:29" ht="14.25" customHeight="1">
      <c r="B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290"/>
      <c r="AC422" s="290"/>
    </row>
    <row r="423" spans="2:29" ht="14.25" customHeight="1">
      <c r="B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290"/>
      <c r="AC423" s="290"/>
    </row>
    <row r="424" spans="2:29" ht="14.25" customHeight="1">
      <c r="B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290"/>
      <c r="AC424" s="290"/>
    </row>
    <row r="425" spans="2:29" ht="14.25" customHeight="1">
      <c r="B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290"/>
      <c r="AC425" s="290"/>
    </row>
    <row r="426" spans="2:29" ht="14.25" customHeight="1">
      <c r="B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290"/>
      <c r="AC426" s="290"/>
    </row>
    <row r="427" spans="2:29" ht="14.25" customHeight="1">
      <c r="B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290"/>
      <c r="AC427" s="290"/>
    </row>
    <row r="428" spans="2:29" ht="14.25" customHeight="1">
      <c r="B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290"/>
      <c r="AC428" s="290"/>
    </row>
    <row r="429" spans="2:29" ht="14.25" customHeight="1">
      <c r="B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290"/>
      <c r="AC429" s="290"/>
    </row>
    <row r="430" spans="2:29" ht="14.25" customHeight="1">
      <c r="B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290"/>
      <c r="AC430" s="290"/>
    </row>
    <row r="431" spans="2:29" ht="14.25" customHeight="1">
      <c r="B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290"/>
      <c r="AC431" s="290"/>
    </row>
    <row r="432" spans="2:29" ht="14.25" customHeight="1">
      <c r="B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290"/>
      <c r="AC432" s="290"/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C226" xr:uid="{00000000-0009-0000-0000-000012000000}">
    <sortState xmlns:xlrd2="http://schemas.microsoft.com/office/spreadsheetml/2017/richdata2" ref="A2:AC226">
      <sortCondition ref="C2:C226"/>
    </sortState>
  </autoFilter>
  <pageMargins left="0.7" right="0.7" top="0.75" bottom="0.75" header="0" footer="0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000"/>
  <sheetViews>
    <sheetView workbookViewId="0">
      <selection activeCell="G3" sqref="G3"/>
    </sheetView>
  </sheetViews>
  <sheetFormatPr defaultColWidth="12.54296875" defaultRowHeight="15" customHeight="1"/>
  <cols>
    <col min="1" max="1" width="2" customWidth="1"/>
    <col min="2" max="2" width="43" customWidth="1"/>
    <col min="3" max="3" width="2" customWidth="1"/>
    <col min="4" max="4" width="10.7265625" customWidth="1"/>
    <col min="5" max="6" width="11.7265625" customWidth="1"/>
    <col min="7" max="7" width="19.453125" customWidth="1"/>
    <col min="8" max="9" width="14" customWidth="1"/>
    <col min="10" max="10" width="19" customWidth="1"/>
    <col min="11" max="11" width="5" customWidth="1"/>
    <col min="12" max="12" width="7.1796875" customWidth="1"/>
    <col min="13" max="13" width="8.54296875" customWidth="1"/>
    <col min="14" max="14" width="9.81640625" customWidth="1"/>
    <col min="15" max="15" width="10" customWidth="1"/>
    <col min="16" max="16" width="8.54296875" customWidth="1"/>
    <col min="17" max="17" width="6" customWidth="1"/>
    <col min="18" max="18" width="8.7265625" customWidth="1"/>
    <col min="19" max="19" width="8.54296875" customWidth="1"/>
    <col min="20" max="20" width="13.54296875" customWidth="1"/>
    <col min="21" max="21" width="11.26953125" customWidth="1"/>
    <col min="22" max="22" width="8.54296875" customWidth="1"/>
    <col min="23" max="24" width="7.453125" customWidth="1"/>
    <col min="25" max="25" width="1.7265625" customWidth="1"/>
    <col min="26" max="26" width="4.26953125" customWidth="1"/>
    <col min="27" max="28" width="2" customWidth="1"/>
    <col min="29" max="29" width="3.1796875" customWidth="1"/>
    <col min="30" max="30" width="5.1796875" customWidth="1"/>
    <col min="31" max="31" width="7.1796875" customWidth="1"/>
    <col min="32" max="32" width="10.26953125" customWidth="1"/>
  </cols>
  <sheetData>
    <row r="1" spans="2:32" ht="14.5">
      <c r="B1" s="287" t="s">
        <v>886</v>
      </c>
      <c r="C1" s="287"/>
      <c r="D1" s="287" t="s">
        <v>887</v>
      </c>
      <c r="E1" s="327" t="s">
        <v>888</v>
      </c>
      <c r="F1" s="327" t="s">
        <v>889</v>
      </c>
      <c r="G1" s="287" t="s">
        <v>890</v>
      </c>
      <c r="H1" s="327" t="s">
        <v>891</v>
      </c>
      <c r="I1" s="327" t="s">
        <v>892</v>
      </c>
      <c r="J1" s="327" t="s">
        <v>893</v>
      </c>
      <c r="K1" s="297" t="s">
        <v>248</v>
      </c>
      <c r="L1" s="297" t="s">
        <v>249</v>
      </c>
      <c r="M1" s="226" t="s">
        <v>250</v>
      </c>
      <c r="N1" s="328" t="s">
        <v>894</v>
      </c>
      <c r="O1" s="298" t="s">
        <v>895</v>
      </c>
      <c r="P1" s="298"/>
      <c r="Q1" s="3" t="s">
        <v>195</v>
      </c>
      <c r="R1" s="3" t="s">
        <v>253</v>
      </c>
      <c r="T1" s="329" t="s">
        <v>896</v>
      </c>
      <c r="W1" s="3">
        <v>2025</v>
      </c>
      <c r="X1" s="3">
        <v>2024</v>
      </c>
      <c r="Z1" s="3" t="s">
        <v>889</v>
      </c>
      <c r="AD1" s="3" t="s">
        <v>248</v>
      </c>
      <c r="AE1" s="3" t="s">
        <v>249</v>
      </c>
      <c r="AF1" s="3" t="s">
        <v>250</v>
      </c>
    </row>
    <row r="2" spans="2:32" ht="14.5">
      <c r="B2" s="290" t="s">
        <v>897</v>
      </c>
      <c r="C2" s="290"/>
      <c r="D2" s="330">
        <v>45717</v>
      </c>
      <c r="E2" s="330">
        <f t="shared" ref="E2:E48" si="0">EOMONTH(D2,0)</f>
        <v>45747</v>
      </c>
      <c r="F2" s="331">
        <f t="shared" ref="F2:F48" si="1">WEEKDAY(E2)</f>
        <v>2</v>
      </c>
      <c r="G2" s="330">
        <v>45345</v>
      </c>
      <c r="H2" s="330">
        <f t="shared" ref="H2:H48" si="2">EOMONTH(G2,0)</f>
        <v>45351</v>
      </c>
      <c r="I2" s="331">
        <f t="shared" ref="I2:I48" si="3">YEAR(H2)</f>
        <v>2024</v>
      </c>
      <c r="J2" s="290">
        <f t="shared" ref="J2:J48" si="4">(D2-G2)</f>
        <v>372</v>
      </c>
      <c r="K2" s="332" t="s">
        <v>898</v>
      </c>
      <c r="L2" s="290"/>
      <c r="M2" s="332"/>
      <c r="N2" s="332" t="str">
        <f t="shared" ref="N2:N48" si="5">IF(K2="x","Barn",IF(L2="x","Chapel","Elopement"))</f>
        <v>Barn</v>
      </c>
      <c r="O2" s="333">
        <v>7500</v>
      </c>
      <c r="P2" s="333"/>
      <c r="Q2" s="302">
        <f t="shared" ref="Q2:Q48" si="6">SUM(O2:P2)</f>
        <v>7500</v>
      </c>
      <c r="T2" s="334"/>
      <c r="U2" s="226"/>
      <c r="V2" s="226"/>
      <c r="W2" s="298"/>
      <c r="X2" s="226"/>
      <c r="AB2" s="3">
        <v>6</v>
      </c>
      <c r="AC2" s="3" t="s">
        <v>551</v>
      </c>
      <c r="AD2" s="3">
        <f t="shared" ref="AD2:AF2" si="7">COUNTIFS($Z:$Z,$AB2,$N:$N,AD$1)</f>
        <v>44</v>
      </c>
      <c r="AE2" s="3">
        <f t="shared" si="7"/>
        <v>102</v>
      </c>
      <c r="AF2" s="3">
        <f t="shared" si="7"/>
        <v>0</v>
      </c>
    </row>
    <row r="3" spans="2:32" ht="14.5">
      <c r="B3" s="290" t="s">
        <v>899</v>
      </c>
      <c r="C3" s="290"/>
      <c r="D3" s="330">
        <v>45723</v>
      </c>
      <c r="E3" s="330">
        <f t="shared" si="0"/>
        <v>45747</v>
      </c>
      <c r="F3" s="331">
        <f t="shared" si="1"/>
        <v>2</v>
      </c>
      <c r="G3" s="330">
        <v>45496</v>
      </c>
      <c r="H3" s="330">
        <f t="shared" si="2"/>
        <v>45504</v>
      </c>
      <c r="I3" s="331">
        <f t="shared" si="3"/>
        <v>2024</v>
      </c>
      <c r="J3" s="290">
        <f t="shared" si="4"/>
        <v>227</v>
      </c>
      <c r="K3" s="332" t="s">
        <v>898</v>
      </c>
      <c r="L3" s="290"/>
      <c r="M3" s="332"/>
      <c r="N3" s="332" t="str">
        <f t="shared" si="5"/>
        <v>Barn</v>
      </c>
      <c r="O3" s="333">
        <v>5500</v>
      </c>
      <c r="P3" s="333"/>
      <c r="Q3" s="302">
        <f t="shared" si="6"/>
        <v>5500</v>
      </c>
      <c r="T3" s="334"/>
      <c r="U3" s="226" t="s">
        <v>900</v>
      </c>
      <c r="V3" s="226"/>
      <c r="W3" s="335">
        <v>52787</v>
      </c>
      <c r="X3" s="335">
        <v>38901</v>
      </c>
      <c r="Y3" s="335" t="s">
        <v>901</v>
      </c>
      <c r="Z3" s="3">
        <f t="shared" ref="Z3:Z257" si="8">WEEKDAY(D3)</f>
        <v>6</v>
      </c>
      <c r="AA3" s="3" t="str">
        <f t="array" ref="AA3">INDEX($AC:$AC,MATCH(Z3,$AB:$AB,0))</f>
        <v>F</v>
      </c>
      <c r="AB3" s="3">
        <v>7</v>
      </c>
      <c r="AC3" s="3" t="s">
        <v>552</v>
      </c>
      <c r="AD3" s="3">
        <f t="shared" ref="AD3:AF3" si="9">COUNTIFS($Z:$Z,$AB3,$N:$N,AD$1)</f>
        <v>94</v>
      </c>
      <c r="AE3" s="3">
        <f t="shared" si="9"/>
        <v>116</v>
      </c>
      <c r="AF3" s="3">
        <f t="shared" si="9"/>
        <v>0</v>
      </c>
    </row>
    <row r="4" spans="2:32" ht="14.5">
      <c r="B4" s="290" t="s">
        <v>902</v>
      </c>
      <c r="C4" s="290"/>
      <c r="D4" s="330">
        <v>45724</v>
      </c>
      <c r="E4" s="330">
        <f t="shared" si="0"/>
        <v>45747</v>
      </c>
      <c r="F4" s="331">
        <f t="shared" si="1"/>
        <v>2</v>
      </c>
      <c r="G4" s="330">
        <v>45369</v>
      </c>
      <c r="H4" s="330">
        <f t="shared" si="2"/>
        <v>45382</v>
      </c>
      <c r="I4" s="331">
        <f t="shared" si="3"/>
        <v>2024</v>
      </c>
      <c r="J4" s="290">
        <f t="shared" si="4"/>
        <v>355</v>
      </c>
      <c r="K4" s="332" t="s">
        <v>898</v>
      </c>
      <c r="L4" s="290"/>
      <c r="M4" s="332"/>
      <c r="N4" s="332" t="str">
        <f t="shared" si="5"/>
        <v>Barn</v>
      </c>
      <c r="O4" s="333">
        <v>7500</v>
      </c>
      <c r="P4" s="333"/>
      <c r="Q4" s="302">
        <f t="shared" si="6"/>
        <v>7500</v>
      </c>
      <c r="T4" s="334"/>
      <c r="U4" s="226" t="s">
        <v>903</v>
      </c>
      <c r="V4" s="226"/>
      <c r="W4" s="336"/>
      <c r="Z4" s="3">
        <f t="shared" si="8"/>
        <v>7</v>
      </c>
      <c r="AB4" s="3">
        <v>1</v>
      </c>
      <c r="AC4" s="3" t="s">
        <v>546</v>
      </c>
      <c r="AD4" s="3">
        <f t="shared" ref="AD4:AF4" si="10">COUNTIFS($Z:$Z,$AB4,$N:$N,AD$1)</f>
        <v>12</v>
      </c>
      <c r="AE4" s="3">
        <f t="shared" si="10"/>
        <v>73</v>
      </c>
      <c r="AF4" s="3">
        <f t="shared" si="10"/>
        <v>0</v>
      </c>
    </row>
    <row r="5" spans="2:32" ht="14.5">
      <c r="B5" s="290" t="s">
        <v>558</v>
      </c>
      <c r="C5" s="290"/>
      <c r="D5" s="330">
        <v>45731</v>
      </c>
      <c r="E5" s="330">
        <f t="shared" si="0"/>
        <v>45747</v>
      </c>
      <c r="F5" s="331">
        <f t="shared" si="1"/>
        <v>2</v>
      </c>
      <c r="G5" s="330">
        <v>45278</v>
      </c>
      <c r="H5" s="330">
        <f t="shared" si="2"/>
        <v>45291</v>
      </c>
      <c r="I5" s="331">
        <f t="shared" si="3"/>
        <v>2023</v>
      </c>
      <c r="J5" s="290">
        <f t="shared" si="4"/>
        <v>453</v>
      </c>
      <c r="K5" s="332" t="s">
        <v>898</v>
      </c>
      <c r="L5" s="290"/>
      <c r="M5" s="332"/>
      <c r="N5" s="332" t="str">
        <f t="shared" si="5"/>
        <v>Barn</v>
      </c>
      <c r="O5" s="333">
        <v>7500</v>
      </c>
      <c r="P5" s="292"/>
      <c r="Q5" s="302">
        <f t="shared" si="6"/>
        <v>7500</v>
      </c>
      <c r="T5" s="337">
        <v>3600</v>
      </c>
      <c r="U5" s="226"/>
      <c r="V5" s="226"/>
      <c r="W5" s="298"/>
      <c r="Z5" s="3">
        <f t="shared" si="8"/>
        <v>7</v>
      </c>
      <c r="AB5" s="3">
        <v>2</v>
      </c>
      <c r="AC5" s="3" t="s">
        <v>547</v>
      </c>
      <c r="AD5" s="3">
        <f t="shared" ref="AD5:AF5" si="11">COUNTIFS($Z:$Z,$AB5,$N:$N,AD$1)</f>
        <v>0</v>
      </c>
      <c r="AE5" s="3">
        <f t="shared" si="11"/>
        <v>2</v>
      </c>
      <c r="AF5" s="3">
        <f t="shared" si="11"/>
        <v>0</v>
      </c>
    </row>
    <row r="6" spans="2:32" ht="14.5">
      <c r="B6" s="287" t="s">
        <v>904</v>
      </c>
      <c r="C6" s="290"/>
      <c r="D6" s="289">
        <v>45737</v>
      </c>
      <c r="E6" s="330">
        <f t="shared" si="0"/>
        <v>45747</v>
      </c>
      <c r="F6" s="331">
        <f t="shared" si="1"/>
        <v>2</v>
      </c>
      <c r="G6" s="289">
        <v>45325</v>
      </c>
      <c r="H6" s="330">
        <f t="shared" si="2"/>
        <v>45351</v>
      </c>
      <c r="I6" s="331">
        <f t="shared" si="3"/>
        <v>2024</v>
      </c>
      <c r="J6" s="290">
        <f t="shared" si="4"/>
        <v>412</v>
      </c>
      <c r="K6" s="297" t="s">
        <v>898</v>
      </c>
      <c r="L6" s="297"/>
      <c r="N6" s="332" t="str">
        <f t="shared" si="5"/>
        <v>Barn</v>
      </c>
      <c r="O6" s="298">
        <v>8000</v>
      </c>
      <c r="P6" s="298"/>
      <c r="Q6" s="302">
        <f t="shared" si="6"/>
        <v>8000</v>
      </c>
      <c r="T6" s="329"/>
      <c r="U6" s="226"/>
      <c r="V6" s="226"/>
      <c r="W6" s="298"/>
      <c r="Z6" s="3">
        <f t="shared" si="8"/>
        <v>6</v>
      </c>
      <c r="AB6" s="3">
        <v>3</v>
      </c>
      <c r="AC6" s="3" t="s">
        <v>548</v>
      </c>
      <c r="AD6" s="3">
        <f t="shared" ref="AD6:AF6" si="12">COUNTIFS($Z:$Z,$AB6,$N:$N,AD$1)</f>
        <v>1</v>
      </c>
      <c r="AE6" s="3">
        <f t="shared" si="12"/>
        <v>1</v>
      </c>
      <c r="AF6" s="3">
        <f t="shared" si="12"/>
        <v>82</v>
      </c>
    </row>
    <row r="7" spans="2:32" ht="14.5">
      <c r="B7" s="287" t="s">
        <v>905</v>
      </c>
      <c r="C7" s="290"/>
      <c r="D7" s="289">
        <v>45738</v>
      </c>
      <c r="E7" s="330">
        <f t="shared" si="0"/>
        <v>45747</v>
      </c>
      <c r="F7" s="331">
        <f t="shared" si="1"/>
        <v>2</v>
      </c>
      <c r="G7" s="289">
        <v>45451</v>
      </c>
      <c r="H7" s="330">
        <f t="shared" si="2"/>
        <v>45473</v>
      </c>
      <c r="I7" s="331">
        <f t="shared" si="3"/>
        <v>2024</v>
      </c>
      <c r="J7" s="290">
        <f t="shared" si="4"/>
        <v>287</v>
      </c>
      <c r="K7" s="297" t="s">
        <v>898</v>
      </c>
      <c r="L7" s="297"/>
      <c r="N7" s="332" t="str">
        <f t="shared" si="5"/>
        <v>Barn</v>
      </c>
      <c r="O7" s="298">
        <v>7500</v>
      </c>
      <c r="P7" s="298"/>
      <c r="Q7" s="302">
        <f t="shared" si="6"/>
        <v>7500</v>
      </c>
      <c r="T7" s="329"/>
      <c r="Z7" s="3">
        <f t="shared" si="8"/>
        <v>7</v>
      </c>
      <c r="AB7" s="3">
        <v>4</v>
      </c>
      <c r="AC7" s="3" t="s">
        <v>906</v>
      </c>
      <c r="AD7" s="3">
        <f t="shared" ref="AD7:AF7" si="13">COUNTIFS($Z:$Z,$AB7,$N:$N,AD$1)</f>
        <v>0</v>
      </c>
      <c r="AE7" s="3">
        <f t="shared" si="13"/>
        <v>0</v>
      </c>
      <c r="AF7" s="3">
        <f t="shared" si="13"/>
        <v>0</v>
      </c>
    </row>
    <row r="8" spans="2:32" ht="14.5">
      <c r="B8" s="287" t="s">
        <v>907</v>
      </c>
      <c r="C8" s="290"/>
      <c r="D8" s="289">
        <v>45996</v>
      </c>
      <c r="E8" s="330">
        <f t="shared" si="0"/>
        <v>46022</v>
      </c>
      <c r="F8" s="331">
        <f t="shared" si="1"/>
        <v>4</v>
      </c>
      <c r="G8" s="289">
        <v>45455</v>
      </c>
      <c r="H8" s="330">
        <f t="shared" si="2"/>
        <v>45473</v>
      </c>
      <c r="I8" s="331">
        <f t="shared" si="3"/>
        <v>2024</v>
      </c>
      <c r="J8" s="290">
        <f t="shared" si="4"/>
        <v>541</v>
      </c>
      <c r="K8" s="297" t="s">
        <v>898</v>
      </c>
      <c r="L8" s="297"/>
      <c r="N8" s="332" t="str">
        <f t="shared" si="5"/>
        <v>Barn</v>
      </c>
      <c r="O8" s="298">
        <v>7500</v>
      </c>
      <c r="P8" s="298"/>
      <c r="Q8" s="302">
        <f t="shared" si="6"/>
        <v>7500</v>
      </c>
      <c r="T8" s="329"/>
      <c r="Z8" s="3">
        <f t="shared" si="8"/>
        <v>6</v>
      </c>
      <c r="AB8" s="3">
        <v>5</v>
      </c>
      <c r="AC8" s="3" t="s">
        <v>550</v>
      </c>
      <c r="AD8" s="3">
        <f t="shared" ref="AD8:AF8" si="14">COUNTIFS($Z:$Z,$AB8,$N:$N,AD$1)</f>
        <v>0</v>
      </c>
      <c r="AE8" s="3">
        <f t="shared" si="14"/>
        <v>0</v>
      </c>
      <c r="AF8" s="3">
        <f t="shared" si="14"/>
        <v>0</v>
      </c>
    </row>
    <row r="9" spans="2:32" ht="14.5">
      <c r="B9" s="287" t="s">
        <v>908</v>
      </c>
      <c r="C9" s="290"/>
      <c r="D9" s="289">
        <v>45745</v>
      </c>
      <c r="E9" s="330">
        <f t="shared" si="0"/>
        <v>45747</v>
      </c>
      <c r="F9" s="331">
        <f t="shared" si="1"/>
        <v>2</v>
      </c>
      <c r="G9" s="289">
        <v>45320</v>
      </c>
      <c r="H9" s="330">
        <f t="shared" si="2"/>
        <v>45322</v>
      </c>
      <c r="I9" s="331">
        <f t="shared" si="3"/>
        <v>2024</v>
      </c>
      <c r="J9" s="290">
        <f t="shared" si="4"/>
        <v>425</v>
      </c>
      <c r="K9" s="297" t="s">
        <v>898</v>
      </c>
      <c r="L9" s="297"/>
      <c r="N9" s="332" t="str">
        <f t="shared" si="5"/>
        <v>Barn</v>
      </c>
      <c r="O9" s="298">
        <v>7500</v>
      </c>
      <c r="P9" s="298"/>
      <c r="Q9" s="302">
        <f t="shared" si="6"/>
        <v>7500</v>
      </c>
      <c r="T9" s="329"/>
      <c r="Z9" s="3">
        <f t="shared" si="8"/>
        <v>7</v>
      </c>
    </row>
    <row r="10" spans="2:32" ht="14.5">
      <c r="B10" s="287" t="s">
        <v>909</v>
      </c>
      <c r="C10" s="290"/>
      <c r="D10" s="289">
        <v>45746</v>
      </c>
      <c r="E10" s="330">
        <f t="shared" si="0"/>
        <v>45747</v>
      </c>
      <c r="F10" s="331">
        <f t="shared" si="1"/>
        <v>2</v>
      </c>
      <c r="G10" s="289">
        <v>45510</v>
      </c>
      <c r="H10" s="330">
        <f t="shared" si="2"/>
        <v>45535</v>
      </c>
      <c r="I10" s="331">
        <f t="shared" si="3"/>
        <v>2024</v>
      </c>
      <c r="J10" s="290">
        <f t="shared" si="4"/>
        <v>236</v>
      </c>
      <c r="K10" s="297" t="s">
        <v>898</v>
      </c>
      <c r="L10" s="297"/>
      <c r="N10" s="332" t="str">
        <f t="shared" si="5"/>
        <v>Barn</v>
      </c>
      <c r="O10" s="298">
        <v>7500</v>
      </c>
      <c r="P10" s="298"/>
      <c r="Q10" s="302">
        <f t="shared" si="6"/>
        <v>7500</v>
      </c>
      <c r="T10" s="329"/>
      <c r="Z10" s="3">
        <f t="shared" si="8"/>
        <v>1</v>
      </c>
    </row>
    <row r="11" spans="2:32" ht="14.5">
      <c r="B11" s="287" t="s">
        <v>910</v>
      </c>
      <c r="C11" s="290"/>
      <c r="D11" s="289">
        <v>45752</v>
      </c>
      <c r="E11" s="330">
        <f t="shared" si="0"/>
        <v>45777</v>
      </c>
      <c r="F11" s="331">
        <f t="shared" si="1"/>
        <v>4</v>
      </c>
      <c r="G11" s="289">
        <v>45466</v>
      </c>
      <c r="H11" s="330">
        <f t="shared" si="2"/>
        <v>45473</v>
      </c>
      <c r="I11" s="331">
        <f t="shared" si="3"/>
        <v>2024</v>
      </c>
      <c r="J11" s="290">
        <f t="shared" si="4"/>
        <v>286</v>
      </c>
      <c r="K11" s="297" t="s">
        <v>898</v>
      </c>
      <c r="L11" s="297"/>
      <c r="N11" s="332" t="str">
        <f t="shared" si="5"/>
        <v>Barn</v>
      </c>
      <c r="O11" s="298">
        <v>6500</v>
      </c>
      <c r="P11" s="298"/>
      <c r="Q11" s="302">
        <f t="shared" si="6"/>
        <v>6500</v>
      </c>
      <c r="T11" s="329"/>
      <c r="Z11" s="3">
        <f t="shared" si="8"/>
        <v>7</v>
      </c>
    </row>
    <row r="12" spans="2:32" ht="14.5">
      <c r="B12" s="287" t="s">
        <v>911</v>
      </c>
      <c r="C12" s="290"/>
      <c r="D12" s="289">
        <v>45759</v>
      </c>
      <c r="E12" s="330">
        <f t="shared" si="0"/>
        <v>45777</v>
      </c>
      <c r="F12" s="331">
        <f t="shared" si="1"/>
        <v>4</v>
      </c>
      <c r="G12" s="289">
        <v>45504</v>
      </c>
      <c r="H12" s="330">
        <f t="shared" si="2"/>
        <v>45504</v>
      </c>
      <c r="I12" s="331">
        <f t="shared" si="3"/>
        <v>2024</v>
      </c>
      <c r="J12" s="290">
        <f t="shared" si="4"/>
        <v>255</v>
      </c>
      <c r="K12" s="297" t="s">
        <v>898</v>
      </c>
      <c r="L12" s="297"/>
      <c r="N12" s="332" t="str">
        <f t="shared" si="5"/>
        <v>Barn</v>
      </c>
      <c r="O12" s="298">
        <v>6500</v>
      </c>
      <c r="P12" s="298"/>
      <c r="Q12" s="302">
        <f t="shared" si="6"/>
        <v>6500</v>
      </c>
      <c r="T12" s="329"/>
      <c r="Z12" s="3">
        <f t="shared" si="8"/>
        <v>7</v>
      </c>
    </row>
    <row r="13" spans="2:32" ht="14.5">
      <c r="B13" s="287" t="s">
        <v>912</v>
      </c>
      <c r="C13" s="290"/>
      <c r="D13" s="289">
        <v>45766</v>
      </c>
      <c r="E13" s="330">
        <f t="shared" si="0"/>
        <v>45777</v>
      </c>
      <c r="F13" s="331">
        <f t="shared" si="1"/>
        <v>4</v>
      </c>
      <c r="G13" s="289">
        <v>45320</v>
      </c>
      <c r="H13" s="330">
        <f t="shared" si="2"/>
        <v>45322</v>
      </c>
      <c r="I13" s="331">
        <f t="shared" si="3"/>
        <v>2024</v>
      </c>
      <c r="J13" s="290">
        <f t="shared" si="4"/>
        <v>446</v>
      </c>
      <c r="K13" s="297" t="s">
        <v>898</v>
      </c>
      <c r="L13" s="297"/>
      <c r="N13" s="332" t="str">
        <f t="shared" si="5"/>
        <v>Barn</v>
      </c>
      <c r="O13" s="298">
        <v>6500</v>
      </c>
      <c r="P13" s="298"/>
      <c r="Q13" s="302">
        <f t="shared" si="6"/>
        <v>6500</v>
      </c>
      <c r="T13" s="329"/>
      <c r="Z13" s="3">
        <f t="shared" si="8"/>
        <v>7</v>
      </c>
    </row>
    <row r="14" spans="2:32" ht="14.5">
      <c r="B14" s="287" t="s">
        <v>913</v>
      </c>
      <c r="C14" s="290"/>
      <c r="D14" s="289">
        <v>45773</v>
      </c>
      <c r="E14" s="330">
        <f t="shared" si="0"/>
        <v>45777</v>
      </c>
      <c r="F14" s="331">
        <f t="shared" si="1"/>
        <v>4</v>
      </c>
      <c r="G14" s="289">
        <v>45289</v>
      </c>
      <c r="H14" s="330">
        <f t="shared" si="2"/>
        <v>45291</v>
      </c>
      <c r="I14" s="331">
        <f t="shared" si="3"/>
        <v>2023</v>
      </c>
      <c r="J14" s="290">
        <f t="shared" si="4"/>
        <v>484</v>
      </c>
      <c r="K14" s="297" t="s">
        <v>898</v>
      </c>
      <c r="L14" s="297"/>
      <c r="N14" s="332" t="str">
        <f t="shared" si="5"/>
        <v>Barn</v>
      </c>
      <c r="O14" s="298">
        <v>6500</v>
      </c>
      <c r="P14" s="298"/>
      <c r="Q14" s="302">
        <f t="shared" si="6"/>
        <v>6500</v>
      </c>
      <c r="T14" s="329"/>
      <c r="Z14" s="3">
        <f t="shared" si="8"/>
        <v>7</v>
      </c>
    </row>
    <row r="15" spans="2:32" ht="14.5">
      <c r="B15" s="287" t="s">
        <v>914</v>
      </c>
      <c r="C15" s="290"/>
      <c r="D15" s="289">
        <v>45779</v>
      </c>
      <c r="E15" s="330">
        <f t="shared" si="0"/>
        <v>45808</v>
      </c>
      <c r="F15" s="331">
        <f t="shared" si="1"/>
        <v>7</v>
      </c>
      <c r="G15" s="289">
        <v>45309</v>
      </c>
      <c r="H15" s="330">
        <f t="shared" si="2"/>
        <v>45322</v>
      </c>
      <c r="I15" s="331">
        <f t="shared" si="3"/>
        <v>2024</v>
      </c>
      <c r="J15" s="290">
        <f t="shared" si="4"/>
        <v>470</v>
      </c>
      <c r="K15" s="297" t="s">
        <v>898</v>
      </c>
      <c r="L15" s="297"/>
      <c r="N15" s="332" t="str">
        <f t="shared" si="5"/>
        <v>Barn</v>
      </c>
      <c r="O15" s="298">
        <v>7000</v>
      </c>
      <c r="P15" s="298"/>
      <c r="Q15" s="302">
        <f t="shared" si="6"/>
        <v>7000</v>
      </c>
      <c r="T15" s="329"/>
      <c r="Z15" s="3">
        <f t="shared" si="8"/>
        <v>6</v>
      </c>
    </row>
    <row r="16" spans="2:32" ht="14.5">
      <c r="B16" s="287" t="s">
        <v>915</v>
      </c>
      <c r="C16" s="290"/>
      <c r="D16" s="289">
        <v>45780</v>
      </c>
      <c r="E16" s="330">
        <f t="shared" si="0"/>
        <v>45808</v>
      </c>
      <c r="F16" s="331">
        <f t="shared" si="1"/>
        <v>7</v>
      </c>
      <c r="G16" s="289">
        <v>45304</v>
      </c>
      <c r="H16" s="330">
        <f t="shared" si="2"/>
        <v>45322</v>
      </c>
      <c r="I16" s="331">
        <f t="shared" si="3"/>
        <v>2024</v>
      </c>
      <c r="J16" s="290">
        <f t="shared" si="4"/>
        <v>476</v>
      </c>
      <c r="K16" s="297" t="s">
        <v>898</v>
      </c>
      <c r="L16" s="297"/>
      <c r="N16" s="332" t="str">
        <f t="shared" si="5"/>
        <v>Barn</v>
      </c>
      <c r="O16" s="298">
        <v>6500</v>
      </c>
      <c r="P16" s="298"/>
      <c r="Q16" s="302">
        <f t="shared" si="6"/>
        <v>6500</v>
      </c>
      <c r="T16" s="329"/>
      <c r="Z16" s="3">
        <f t="shared" si="8"/>
        <v>7</v>
      </c>
    </row>
    <row r="17" spans="2:26" ht="14.5">
      <c r="B17" s="338" t="s">
        <v>916</v>
      </c>
      <c r="C17" s="290"/>
      <c r="D17" s="289">
        <v>45786</v>
      </c>
      <c r="E17" s="330">
        <f t="shared" si="0"/>
        <v>45808</v>
      </c>
      <c r="F17" s="331">
        <f t="shared" si="1"/>
        <v>7</v>
      </c>
      <c r="G17" s="289">
        <v>45481</v>
      </c>
      <c r="H17" s="330">
        <f t="shared" si="2"/>
        <v>45504</v>
      </c>
      <c r="I17" s="331">
        <f t="shared" si="3"/>
        <v>2024</v>
      </c>
      <c r="J17" s="290">
        <f t="shared" si="4"/>
        <v>305</v>
      </c>
      <c r="K17" s="297" t="s">
        <v>898</v>
      </c>
      <c r="L17" s="297"/>
      <c r="N17" s="332" t="str">
        <f t="shared" si="5"/>
        <v>Barn</v>
      </c>
      <c r="O17" s="298">
        <v>5250</v>
      </c>
      <c r="P17" s="298"/>
      <c r="Q17" s="302">
        <f t="shared" si="6"/>
        <v>5250</v>
      </c>
      <c r="T17" s="329"/>
      <c r="Z17" s="3">
        <f t="shared" si="8"/>
        <v>6</v>
      </c>
    </row>
    <row r="18" spans="2:26" ht="14.5">
      <c r="B18" s="287" t="s">
        <v>917</v>
      </c>
      <c r="C18" s="290"/>
      <c r="D18" s="289">
        <v>45787</v>
      </c>
      <c r="E18" s="330">
        <f t="shared" si="0"/>
        <v>45808</v>
      </c>
      <c r="F18" s="331">
        <f t="shared" si="1"/>
        <v>7</v>
      </c>
      <c r="G18" s="289">
        <v>45377</v>
      </c>
      <c r="H18" s="330">
        <f t="shared" si="2"/>
        <v>45382</v>
      </c>
      <c r="I18" s="331">
        <f t="shared" si="3"/>
        <v>2024</v>
      </c>
      <c r="J18" s="290">
        <f t="shared" si="4"/>
        <v>410</v>
      </c>
      <c r="K18" s="297" t="s">
        <v>898</v>
      </c>
      <c r="L18" s="297"/>
      <c r="N18" s="332" t="str">
        <f t="shared" si="5"/>
        <v>Barn</v>
      </c>
      <c r="O18" s="298">
        <v>6500</v>
      </c>
      <c r="P18" s="298"/>
      <c r="Q18" s="302">
        <f t="shared" si="6"/>
        <v>6500</v>
      </c>
      <c r="T18" s="329"/>
      <c r="Z18" s="3">
        <f t="shared" si="8"/>
        <v>7</v>
      </c>
    </row>
    <row r="19" spans="2:26" ht="14.5">
      <c r="B19" s="287" t="s">
        <v>918</v>
      </c>
      <c r="C19" s="290"/>
      <c r="D19" s="289">
        <v>45793</v>
      </c>
      <c r="E19" s="330">
        <f t="shared" si="0"/>
        <v>45808</v>
      </c>
      <c r="F19" s="331">
        <f t="shared" si="1"/>
        <v>7</v>
      </c>
      <c r="G19" s="289">
        <v>45523</v>
      </c>
      <c r="H19" s="330">
        <f t="shared" si="2"/>
        <v>45535</v>
      </c>
      <c r="I19" s="331">
        <f t="shared" si="3"/>
        <v>2024</v>
      </c>
      <c r="J19" s="290">
        <f t="shared" si="4"/>
        <v>270</v>
      </c>
      <c r="K19" s="297" t="s">
        <v>898</v>
      </c>
      <c r="L19" s="297"/>
      <c r="N19" s="332" t="str">
        <f t="shared" si="5"/>
        <v>Barn</v>
      </c>
      <c r="O19" s="298">
        <v>5500</v>
      </c>
      <c r="P19" s="298"/>
      <c r="Q19" s="302">
        <f t="shared" si="6"/>
        <v>5500</v>
      </c>
      <c r="T19" s="329"/>
      <c r="Z19" s="3">
        <f t="shared" si="8"/>
        <v>6</v>
      </c>
    </row>
    <row r="20" spans="2:26" ht="14.5">
      <c r="B20" s="287" t="s">
        <v>919</v>
      </c>
      <c r="C20" s="290"/>
      <c r="D20" s="289">
        <v>45794</v>
      </c>
      <c r="E20" s="330">
        <f t="shared" si="0"/>
        <v>45808</v>
      </c>
      <c r="F20" s="331">
        <f t="shared" si="1"/>
        <v>7</v>
      </c>
      <c r="G20" s="289">
        <v>45320</v>
      </c>
      <c r="H20" s="330">
        <f t="shared" si="2"/>
        <v>45322</v>
      </c>
      <c r="I20" s="331">
        <f t="shared" si="3"/>
        <v>2024</v>
      </c>
      <c r="J20" s="290">
        <f t="shared" si="4"/>
        <v>474</v>
      </c>
      <c r="K20" s="297" t="s">
        <v>898</v>
      </c>
      <c r="L20" s="297"/>
      <c r="N20" s="332" t="str">
        <f t="shared" si="5"/>
        <v>Barn</v>
      </c>
      <c r="O20" s="298">
        <v>6500</v>
      </c>
      <c r="P20" s="298"/>
      <c r="Q20" s="302">
        <f t="shared" si="6"/>
        <v>6500</v>
      </c>
      <c r="T20" s="329"/>
      <c r="Z20" s="3">
        <f t="shared" si="8"/>
        <v>7</v>
      </c>
    </row>
    <row r="21" spans="2:26" ht="15.75" customHeight="1">
      <c r="B21" s="338" t="s">
        <v>564</v>
      </c>
      <c r="C21" s="290"/>
      <c r="D21" s="330">
        <v>45800</v>
      </c>
      <c r="E21" s="330">
        <f t="shared" si="0"/>
        <v>45808</v>
      </c>
      <c r="F21" s="331">
        <f t="shared" si="1"/>
        <v>7</v>
      </c>
      <c r="G21" s="330">
        <v>45480</v>
      </c>
      <c r="H21" s="330">
        <f t="shared" si="2"/>
        <v>45504</v>
      </c>
      <c r="I21" s="331">
        <f t="shared" si="3"/>
        <v>2024</v>
      </c>
      <c r="J21" s="290">
        <f t="shared" si="4"/>
        <v>320</v>
      </c>
      <c r="K21" s="290" t="s">
        <v>898</v>
      </c>
      <c r="L21" s="332"/>
      <c r="M21" s="332"/>
      <c r="N21" s="332" t="str">
        <f t="shared" si="5"/>
        <v>Barn</v>
      </c>
      <c r="O21" s="333">
        <v>5500</v>
      </c>
      <c r="P21" s="294"/>
      <c r="Q21" s="302">
        <f t="shared" si="6"/>
        <v>5500</v>
      </c>
      <c r="T21" s="339">
        <v>3325</v>
      </c>
      <c r="Z21" s="3">
        <f t="shared" si="8"/>
        <v>6</v>
      </c>
    </row>
    <row r="22" spans="2:26" ht="15.75" customHeight="1">
      <c r="B22" s="290" t="s">
        <v>920</v>
      </c>
      <c r="C22" s="290"/>
      <c r="D22" s="330">
        <v>45801</v>
      </c>
      <c r="E22" s="330">
        <f t="shared" si="0"/>
        <v>45808</v>
      </c>
      <c r="F22" s="331">
        <f t="shared" si="1"/>
        <v>7</v>
      </c>
      <c r="G22" s="330">
        <v>45364</v>
      </c>
      <c r="H22" s="330">
        <f t="shared" si="2"/>
        <v>45382</v>
      </c>
      <c r="I22" s="331">
        <f t="shared" si="3"/>
        <v>2024</v>
      </c>
      <c r="J22" s="290">
        <f t="shared" si="4"/>
        <v>437</v>
      </c>
      <c r="K22" s="290" t="s">
        <v>898</v>
      </c>
      <c r="L22" s="332"/>
      <c r="M22" s="332"/>
      <c r="N22" s="332" t="str">
        <f t="shared" si="5"/>
        <v>Barn</v>
      </c>
      <c r="O22" s="333">
        <v>6500</v>
      </c>
      <c r="P22" s="333"/>
      <c r="Q22" s="302">
        <f t="shared" si="6"/>
        <v>6500</v>
      </c>
      <c r="T22" s="334"/>
      <c r="Z22" s="3">
        <f t="shared" si="8"/>
        <v>7</v>
      </c>
    </row>
    <row r="23" spans="2:26" ht="15.75" customHeight="1">
      <c r="B23" s="338" t="s">
        <v>921</v>
      </c>
      <c r="C23" s="290"/>
      <c r="D23" s="330">
        <v>45802</v>
      </c>
      <c r="E23" s="330">
        <f t="shared" si="0"/>
        <v>45808</v>
      </c>
      <c r="F23" s="331">
        <f t="shared" si="1"/>
        <v>7</v>
      </c>
      <c r="G23" s="330">
        <v>45521</v>
      </c>
      <c r="H23" s="330">
        <f t="shared" si="2"/>
        <v>45535</v>
      </c>
      <c r="I23" s="331">
        <f t="shared" si="3"/>
        <v>2024</v>
      </c>
      <c r="J23" s="290">
        <f t="shared" si="4"/>
        <v>281</v>
      </c>
      <c r="K23" s="290" t="s">
        <v>898</v>
      </c>
      <c r="L23" s="332"/>
      <c r="M23" s="332"/>
      <c r="N23" s="332" t="str">
        <f t="shared" si="5"/>
        <v>Barn</v>
      </c>
      <c r="O23" s="333">
        <v>6500</v>
      </c>
      <c r="P23" s="333"/>
      <c r="Q23" s="302">
        <f t="shared" si="6"/>
        <v>6500</v>
      </c>
      <c r="T23" s="334"/>
      <c r="Z23" s="3">
        <f t="shared" si="8"/>
        <v>1</v>
      </c>
    </row>
    <row r="24" spans="2:26" ht="15.75" customHeight="1">
      <c r="B24" s="290" t="s">
        <v>922</v>
      </c>
      <c r="C24" s="290"/>
      <c r="D24" s="330">
        <v>45807</v>
      </c>
      <c r="E24" s="330">
        <f t="shared" si="0"/>
        <v>45808</v>
      </c>
      <c r="F24" s="331">
        <f t="shared" si="1"/>
        <v>7</v>
      </c>
      <c r="G24" s="330">
        <v>45523</v>
      </c>
      <c r="H24" s="330">
        <f t="shared" si="2"/>
        <v>45535</v>
      </c>
      <c r="I24" s="331">
        <f t="shared" si="3"/>
        <v>2024</v>
      </c>
      <c r="J24" s="290">
        <f t="shared" si="4"/>
        <v>284</v>
      </c>
      <c r="K24" s="290" t="s">
        <v>898</v>
      </c>
      <c r="L24" s="332"/>
      <c r="M24" s="332"/>
      <c r="N24" s="332" t="str">
        <f t="shared" si="5"/>
        <v>Barn</v>
      </c>
      <c r="O24" s="333">
        <v>5500</v>
      </c>
      <c r="P24" s="333"/>
      <c r="Q24" s="302">
        <f t="shared" si="6"/>
        <v>5500</v>
      </c>
      <c r="T24" s="334"/>
      <c r="Z24" s="3">
        <f t="shared" si="8"/>
        <v>6</v>
      </c>
    </row>
    <row r="25" spans="2:26" ht="15.75" customHeight="1">
      <c r="B25" s="290" t="s">
        <v>923</v>
      </c>
      <c r="C25" s="290"/>
      <c r="D25" s="330">
        <v>45808</v>
      </c>
      <c r="E25" s="330">
        <f t="shared" si="0"/>
        <v>45808</v>
      </c>
      <c r="F25" s="331">
        <f t="shared" si="1"/>
        <v>7</v>
      </c>
      <c r="G25" s="330">
        <v>45367</v>
      </c>
      <c r="H25" s="330">
        <f t="shared" si="2"/>
        <v>45382</v>
      </c>
      <c r="I25" s="331">
        <f t="shared" si="3"/>
        <v>2024</v>
      </c>
      <c r="J25" s="290">
        <f t="shared" si="4"/>
        <v>441</v>
      </c>
      <c r="K25" s="290" t="s">
        <v>898</v>
      </c>
      <c r="L25" s="332"/>
      <c r="M25" s="332"/>
      <c r="N25" s="332" t="str">
        <f t="shared" si="5"/>
        <v>Barn</v>
      </c>
      <c r="O25" s="333">
        <v>6500</v>
      </c>
      <c r="P25" s="333"/>
      <c r="Q25" s="302">
        <f t="shared" si="6"/>
        <v>6500</v>
      </c>
      <c r="T25" s="334"/>
      <c r="Z25" s="3">
        <f t="shared" si="8"/>
        <v>7</v>
      </c>
    </row>
    <row r="26" spans="2:26" ht="15.75" customHeight="1">
      <c r="B26" s="290" t="s">
        <v>924</v>
      </c>
      <c r="C26" s="290"/>
      <c r="D26" s="330">
        <v>45814</v>
      </c>
      <c r="E26" s="330">
        <f t="shared" si="0"/>
        <v>45838</v>
      </c>
      <c r="F26" s="331">
        <f t="shared" si="1"/>
        <v>2</v>
      </c>
      <c r="G26" s="330">
        <v>45325</v>
      </c>
      <c r="H26" s="330">
        <f t="shared" si="2"/>
        <v>45351</v>
      </c>
      <c r="I26" s="331">
        <f t="shared" si="3"/>
        <v>2024</v>
      </c>
      <c r="J26" s="290">
        <f t="shared" si="4"/>
        <v>489</v>
      </c>
      <c r="K26" s="290" t="s">
        <v>898</v>
      </c>
      <c r="L26" s="332"/>
      <c r="M26" s="332"/>
      <c r="N26" s="332" t="str">
        <f t="shared" si="5"/>
        <v>Barn</v>
      </c>
      <c r="O26" s="333">
        <v>5500</v>
      </c>
      <c r="P26" s="333"/>
      <c r="Q26" s="302">
        <f t="shared" si="6"/>
        <v>5500</v>
      </c>
      <c r="T26" s="334"/>
      <c r="Z26" s="3">
        <f t="shared" si="8"/>
        <v>6</v>
      </c>
    </row>
    <row r="27" spans="2:26" ht="15.75" customHeight="1">
      <c r="B27" s="290" t="s">
        <v>925</v>
      </c>
      <c r="C27" s="290"/>
      <c r="D27" s="330">
        <v>45815</v>
      </c>
      <c r="E27" s="330">
        <f t="shared" si="0"/>
        <v>45838</v>
      </c>
      <c r="F27" s="331">
        <f t="shared" si="1"/>
        <v>2</v>
      </c>
      <c r="G27" s="330">
        <v>45443</v>
      </c>
      <c r="H27" s="330">
        <f t="shared" si="2"/>
        <v>45443</v>
      </c>
      <c r="I27" s="331">
        <f t="shared" si="3"/>
        <v>2024</v>
      </c>
      <c r="J27" s="290">
        <f t="shared" si="4"/>
        <v>372</v>
      </c>
      <c r="K27" s="290" t="s">
        <v>898</v>
      </c>
      <c r="L27" s="332"/>
      <c r="M27" s="332"/>
      <c r="N27" s="332" t="str">
        <f t="shared" si="5"/>
        <v>Barn</v>
      </c>
      <c r="O27" s="333">
        <v>6500</v>
      </c>
      <c r="P27" s="333"/>
      <c r="Q27" s="302">
        <f t="shared" si="6"/>
        <v>6500</v>
      </c>
      <c r="T27" s="334"/>
      <c r="Z27" s="3">
        <f t="shared" si="8"/>
        <v>7</v>
      </c>
    </row>
    <row r="28" spans="2:26" ht="15.75" customHeight="1">
      <c r="B28" s="290" t="s">
        <v>926</v>
      </c>
      <c r="C28" s="290"/>
      <c r="D28" s="330">
        <v>45821</v>
      </c>
      <c r="E28" s="330">
        <f t="shared" si="0"/>
        <v>45838</v>
      </c>
      <c r="F28" s="331">
        <f t="shared" si="1"/>
        <v>2</v>
      </c>
      <c r="G28" s="330">
        <v>45466</v>
      </c>
      <c r="H28" s="330">
        <f t="shared" si="2"/>
        <v>45473</v>
      </c>
      <c r="I28" s="331">
        <f t="shared" si="3"/>
        <v>2024</v>
      </c>
      <c r="J28" s="290">
        <f t="shared" si="4"/>
        <v>355</v>
      </c>
      <c r="K28" s="290" t="s">
        <v>898</v>
      </c>
      <c r="L28" s="332"/>
      <c r="M28" s="332"/>
      <c r="N28" s="332" t="str">
        <f t="shared" si="5"/>
        <v>Barn</v>
      </c>
      <c r="O28" s="333">
        <v>5500</v>
      </c>
      <c r="P28" s="333"/>
      <c r="Q28" s="302">
        <f t="shared" si="6"/>
        <v>5500</v>
      </c>
      <c r="T28" s="334"/>
      <c r="Z28" s="3">
        <f t="shared" si="8"/>
        <v>6</v>
      </c>
    </row>
    <row r="29" spans="2:26" ht="15.75" customHeight="1">
      <c r="B29" s="338" t="s">
        <v>574</v>
      </c>
      <c r="C29" s="290"/>
      <c r="D29" s="330">
        <v>45822</v>
      </c>
      <c r="E29" s="330">
        <f t="shared" si="0"/>
        <v>45838</v>
      </c>
      <c r="F29" s="331">
        <f t="shared" si="1"/>
        <v>2</v>
      </c>
      <c r="G29" s="330">
        <v>45507</v>
      </c>
      <c r="H29" s="330">
        <f t="shared" si="2"/>
        <v>45535</v>
      </c>
      <c r="I29" s="331">
        <f t="shared" si="3"/>
        <v>2024</v>
      </c>
      <c r="J29" s="290">
        <f t="shared" si="4"/>
        <v>315</v>
      </c>
      <c r="K29" s="290" t="s">
        <v>898</v>
      </c>
      <c r="L29" s="332"/>
      <c r="M29" s="332"/>
      <c r="N29" s="332" t="str">
        <f t="shared" si="5"/>
        <v>Barn</v>
      </c>
      <c r="O29" s="333">
        <v>6500</v>
      </c>
      <c r="P29" s="294"/>
      <c r="Q29" s="302">
        <f t="shared" si="6"/>
        <v>6500</v>
      </c>
      <c r="T29" s="339">
        <v>7290</v>
      </c>
      <c r="Z29" s="3">
        <f t="shared" si="8"/>
        <v>7</v>
      </c>
    </row>
    <row r="30" spans="2:26" ht="15.75" customHeight="1">
      <c r="B30" s="338" t="s">
        <v>927</v>
      </c>
      <c r="C30" s="290"/>
      <c r="D30" s="330">
        <v>45836</v>
      </c>
      <c r="E30" s="330">
        <f t="shared" si="0"/>
        <v>45838</v>
      </c>
      <c r="F30" s="331">
        <f t="shared" si="1"/>
        <v>2</v>
      </c>
      <c r="G30" s="330">
        <v>45595</v>
      </c>
      <c r="H30" s="330">
        <f t="shared" si="2"/>
        <v>45596</v>
      </c>
      <c r="I30" s="331">
        <f t="shared" si="3"/>
        <v>2024</v>
      </c>
      <c r="J30" s="290">
        <f t="shared" si="4"/>
        <v>241</v>
      </c>
      <c r="K30" s="290" t="s">
        <v>898</v>
      </c>
      <c r="L30" s="332"/>
      <c r="M30" s="332"/>
      <c r="N30" s="332" t="str">
        <f t="shared" si="5"/>
        <v>Barn</v>
      </c>
      <c r="O30" s="333">
        <v>6250</v>
      </c>
      <c r="P30" s="333"/>
      <c r="Q30" s="302">
        <f t="shared" si="6"/>
        <v>6250</v>
      </c>
      <c r="T30" s="334"/>
      <c r="Z30" s="3">
        <f t="shared" si="8"/>
        <v>7</v>
      </c>
    </row>
    <row r="31" spans="2:26" ht="15.75" customHeight="1">
      <c r="B31" s="338" t="s">
        <v>928</v>
      </c>
      <c r="C31" s="290"/>
      <c r="D31" s="330">
        <v>45850</v>
      </c>
      <c r="E31" s="330">
        <f t="shared" si="0"/>
        <v>45869</v>
      </c>
      <c r="F31" s="331">
        <f t="shared" si="1"/>
        <v>5</v>
      </c>
      <c r="G31" s="330">
        <v>45581</v>
      </c>
      <c r="H31" s="330">
        <f t="shared" si="2"/>
        <v>45596</v>
      </c>
      <c r="I31" s="331">
        <f t="shared" si="3"/>
        <v>2024</v>
      </c>
      <c r="J31" s="290">
        <f t="shared" si="4"/>
        <v>269</v>
      </c>
      <c r="K31" s="290" t="s">
        <v>898</v>
      </c>
      <c r="L31" s="332"/>
      <c r="M31" s="332"/>
      <c r="N31" s="332" t="str">
        <f t="shared" si="5"/>
        <v>Barn</v>
      </c>
      <c r="O31" s="333">
        <v>6500</v>
      </c>
      <c r="P31" s="333"/>
      <c r="Q31" s="302">
        <f t="shared" si="6"/>
        <v>6500</v>
      </c>
      <c r="T31" s="334"/>
      <c r="Z31" s="3">
        <f t="shared" si="8"/>
        <v>7</v>
      </c>
    </row>
    <row r="32" spans="2:26" ht="15.75" customHeight="1">
      <c r="B32" s="338" t="s">
        <v>929</v>
      </c>
      <c r="C32" s="290"/>
      <c r="D32" s="330">
        <v>45871</v>
      </c>
      <c r="E32" s="330">
        <f t="shared" si="0"/>
        <v>45900</v>
      </c>
      <c r="F32" s="331">
        <f t="shared" si="1"/>
        <v>1</v>
      </c>
      <c r="G32" s="330">
        <v>45565</v>
      </c>
      <c r="H32" s="330">
        <f t="shared" si="2"/>
        <v>45565</v>
      </c>
      <c r="I32" s="331">
        <f t="shared" si="3"/>
        <v>2024</v>
      </c>
      <c r="J32" s="290">
        <f t="shared" si="4"/>
        <v>306</v>
      </c>
      <c r="K32" s="290" t="s">
        <v>898</v>
      </c>
      <c r="L32" s="332"/>
      <c r="M32" s="332"/>
      <c r="N32" s="332" t="str">
        <f t="shared" si="5"/>
        <v>Barn</v>
      </c>
      <c r="O32" s="333">
        <v>6500</v>
      </c>
      <c r="P32" s="333"/>
      <c r="Q32" s="302">
        <f t="shared" si="6"/>
        <v>6500</v>
      </c>
      <c r="T32" s="334"/>
      <c r="Z32" s="3">
        <f t="shared" si="8"/>
        <v>7</v>
      </c>
    </row>
    <row r="33" spans="2:26" ht="15.75" customHeight="1">
      <c r="B33" s="240" t="s">
        <v>930</v>
      </c>
      <c r="C33" s="290"/>
      <c r="D33" s="330">
        <v>45899</v>
      </c>
      <c r="E33" s="330">
        <f t="shared" si="0"/>
        <v>45900</v>
      </c>
      <c r="F33" s="331">
        <f t="shared" si="1"/>
        <v>1</v>
      </c>
      <c r="G33" s="330">
        <v>45524</v>
      </c>
      <c r="H33" s="330">
        <f t="shared" si="2"/>
        <v>45535</v>
      </c>
      <c r="I33" s="331">
        <f t="shared" si="3"/>
        <v>2024</v>
      </c>
      <c r="J33" s="290">
        <f t="shared" si="4"/>
        <v>375</v>
      </c>
      <c r="K33" s="290" t="s">
        <v>898</v>
      </c>
      <c r="L33" s="332"/>
      <c r="M33" s="332"/>
      <c r="N33" s="332" t="str">
        <f t="shared" si="5"/>
        <v>Barn</v>
      </c>
      <c r="O33" s="333">
        <v>6500</v>
      </c>
      <c r="P33" s="333"/>
      <c r="Q33" s="302">
        <f t="shared" si="6"/>
        <v>6500</v>
      </c>
      <c r="T33" s="334"/>
      <c r="Z33" s="3">
        <f t="shared" si="8"/>
        <v>7</v>
      </c>
    </row>
    <row r="34" spans="2:26" ht="15.75" customHeight="1">
      <c r="B34" s="338" t="s">
        <v>931</v>
      </c>
      <c r="C34" s="290"/>
      <c r="D34" s="330">
        <v>45906</v>
      </c>
      <c r="E34" s="330">
        <f t="shared" si="0"/>
        <v>45930</v>
      </c>
      <c r="F34" s="331">
        <f t="shared" si="1"/>
        <v>3</v>
      </c>
      <c r="G34" s="330">
        <v>45475</v>
      </c>
      <c r="H34" s="330">
        <f t="shared" si="2"/>
        <v>45504</v>
      </c>
      <c r="I34" s="331">
        <f t="shared" si="3"/>
        <v>2024</v>
      </c>
      <c r="J34" s="290">
        <f t="shared" si="4"/>
        <v>431</v>
      </c>
      <c r="K34" s="290" t="s">
        <v>898</v>
      </c>
      <c r="L34" s="332"/>
      <c r="M34" s="332"/>
      <c r="N34" s="332" t="str">
        <f t="shared" si="5"/>
        <v>Barn</v>
      </c>
      <c r="O34" s="333">
        <v>6500</v>
      </c>
      <c r="P34" s="333"/>
      <c r="Q34" s="302">
        <f t="shared" si="6"/>
        <v>6500</v>
      </c>
      <c r="T34" s="334"/>
      <c r="Z34" s="3">
        <f t="shared" si="8"/>
        <v>7</v>
      </c>
    </row>
    <row r="35" spans="2:26" ht="15.75" customHeight="1">
      <c r="B35" s="290" t="s">
        <v>932</v>
      </c>
      <c r="C35" s="290"/>
      <c r="D35" s="330">
        <v>45912</v>
      </c>
      <c r="E35" s="330">
        <f t="shared" si="0"/>
        <v>45930</v>
      </c>
      <c r="F35" s="331">
        <f t="shared" si="1"/>
        <v>3</v>
      </c>
      <c r="G35" s="330">
        <v>45639</v>
      </c>
      <c r="H35" s="330">
        <f t="shared" si="2"/>
        <v>45657</v>
      </c>
      <c r="I35" s="331">
        <f t="shared" si="3"/>
        <v>2024</v>
      </c>
      <c r="J35" s="290">
        <f t="shared" si="4"/>
        <v>273</v>
      </c>
      <c r="K35" s="290" t="s">
        <v>898</v>
      </c>
      <c r="L35" s="332"/>
      <c r="M35" s="332"/>
      <c r="N35" s="332" t="str">
        <f t="shared" si="5"/>
        <v>Barn</v>
      </c>
      <c r="O35" s="333">
        <v>5500</v>
      </c>
      <c r="P35" s="333"/>
      <c r="Q35" s="302">
        <f t="shared" si="6"/>
        <v>5500</v>
      </c>
      <c r="T35" s="334"/>
      <c r="Z35" s="3">
        <f t="shared" si="8"/>
        <v>6</v>
      </c>
    </row>
    <row r="36" spans="2:26" ht="15.75" customHeight="1">
      <c r="B36" s="290" t="s">
        <v>933</v>
      </c>
      <c r="C36" s="290"/>
      <c r="D36" s="330">
        <v>45913</v>
      </c>
      <c r="E36" s="330">
        <f t="shared" si="0"/>
        <v>45930</v>
      </c>
      <c r="F36" s="331">
        <f t="shared" si="1"/>
        <v>3</v>
      </c>
      <c r="G36" s="330">
        <v>45398</v>
      </c>
      <c r="H36" s="330">
        <f t="shared" si="2"/>
        <v>45412</v>
      </c>
      <c r="I36" s="331">
        <f t="shared" si="3"/>
        <v>2024</v>
      </c>
      <c r="J36" s="290">
        <f t="shared" si="4"/>
        <v>515</v>
      </c>
      <c r="K36" s="290" t="s">
        <v>898</v>
      </c>
      <c r="L36" s="332"/>
      <c r="M36" s="332"/>
      <c r="N36" s="332" t="str">
        <f t="shared" si="5"/>
        <v>Barn</v>
      </c>
      <c r="O36" s="333">
        <v>6500</v>
      </c>
      <c r="P36" s="333"/>
      <c r="Q36" s="302">
        <f t="shared" si="6"/>
        <v>6500</v>
      </c>
      <c r="T36" s="334"/>
      <c r="Z36" s="3">
        <f t="shared" si="8"/>
        <v>7</v>
      </c>
    </row>
    <row r="37" spans="2:26" ht="15.75" customHeight="1">
      <c r="B37" s="290" t="s">
        <v>934</v>
      </c>
      <c r="C37" s="290"/>
      <c r="D37" s="330">
        <v>45920</v>
      </c>
      <c r="E37" s="330">
        <f t="shared" si="0"/>
        <v>45930</v>
      </c>
      <c r="F37" s="331">
        <f t="shared" si="1"/>
        <v>3</v>
      </c>
      <c r="G37" s="330">
        <v>45356</v>
      </c>
      <c r="H37" s="330">
        <f t="shared" si="2"/>
        <v>45382</v>
      </c>
      <c r="I37" s="331">
        <f t="shared" si="3"/>
        <v>2024</v>
      </c>
      <c r="J37" s="290">
        <f t="shared" si="4"/>
        <v>564</v>
      </c>
      <c r="K37" s="290" t="s">
        <v>898</v>
      </c>
      <c r="L37" s="332"/>
      <c r="M37" s="332"/>
      <c r="N37" s="332" t="str">
        <f t="shared" si="5"/>
        <v>Barn</v>
      </c>
      <c r="O37" s="333">
        <v>6500</v>
      </c>
      <c r="P37" s="333"/>
      <c r="Q37" s="302">
        <f t="shared" si="6"/>
        <v>6500</v>
      </c>
      <c r="T37" s="334"/>
      <c r="Z37" s="3">
        <f t="shared" si="8"/>
        <v>7</v>
      </c>
    </row>
    <row r="38" spans="2:26" ht="15.75" customHeight="1">
      <c r="B38" s="290" t="s">
        <v>935</v>
      </c>
      <c r="C38" s="290"/>
      <c r="D38" s="330">
        <v>45927</v>
      </c>
      <c r="E38" s="330">
        <f t="shared" si="0"/>
        <v>45930</v>
      </c>
      <c r="F38" s="331">
        <f t="shared" si="1"/>
        <v>3</v>
      </c>
      <c r="G38" s="330">
        <v>45322</v>
      </c>
      <c r="H38" s="330">
        <f t="shared" si="2"/>
        <v>45322</v>
      </c>
      <c r="I38" s="331">
        <f t="shared" si="3"/>
        <v>2024</v>
      </c>
      <c r="J38" s="290">
        <f t="shared" si="4"/>
        <v>605</v>
      </c>
      <c r="K38" s="290" t="s">
        <v>898</v>
      </c>
      <c r="L38" s="332"/>
      <c r="M38" s="332"/>
      <c r="N38" s="332" t="str">
        <f t="shared" si="5"/>
        <v>Barn</v>
      </c>
      <c r="O38" s="333">
        <v>6500</v>
      </c>
      <c r="P38" s="333"/>
      <c r="Q38" s="302">
        <f t="shared" si="6"/>
        <v>6500</v>
      </c>
      <c r="T38" s="334"/>
      <c r="Z38" s="3">
        <f t="shared" si="8"/>
        <v>7</v>
      </c>
    </row>
    <row r="39" spans="2:26" ht="15.75" customHeight="1">
      <c r="B39" s="240" t="s">
        <v>936</v>
      </c>
      <c r="C39" s="290"/>
      <c r="D39" s="289">
        <v>45933</v>
      </c>
      <c r="E39" s="330">
        <f t="shared" si="0"/>
        <v>45961</v>
      </c>
      <c r="F39" s="331">
        <f t="shared" si="1"/>
        <v>6</v>
      </c>
      <c r="G39" s="289">
        <v>45524</v>
      </c>
      <c r="H39" s="330">
        <f t="shared" si="2"/>
        <v>45535</v>
      </c>
      <c r="I39" s="331">
        <f t="shared" si="3"/>
        <v>2024</v>
      </c>
      <c r="J39" s="290">
        <f t="shared" si="4"/>
        <v>409</v>
      </c>
      <c r="K39" s="297" t="s">
        <v>898</v>
      </c>
      <c r="L39" s="297"/>
      <c r="N39" s="332" t="str">
        <f t="shared" si="5"/>
        <v>Barn</v>
      </c>
      <c r="O39" s="298">
        <v>5500</v>
      </c>
      <c r="P39" s="298"/>
      <c r="Q39" s="302">
        <f t="shared" si="6"/>
        <v>5500</v>
      </c>
      <c r="T39" s="329"/>
      <c r="Z39" s="3">
        <f t="shared" si="8"/>
        <v>6</v>
      </c>
    </row>
    <row r="40" spans="2:26" ht="15.75" customHeight="1">
      <c r="B40" s="287" t="s">
        <v>937</v>
      </c>
      <c r="C40" s="290"/>
      <c r="D40" s="289">
        <v>45934</v>
      </c>
      <c r="E40" s="330">
        <f t="shared" si="0"/>
        <v>45961</v>
      </c>
      <c r="F40" s="331">
        <f t="shared" si="1"/>
        <v>6</v>
      </c>
      <c r="G40" s="289">
        <v>45463</v>
      </c>
      <c r="H40" s="330">
        <f t="shared" si="2"/>
        <v>45473</v>
      </c>
      <c r="I40" s="331">
        <f t="shared" si="3"/>
        <v>2024</v>
      </c>
      <c r="J40" s="290">
        <f t="shared" si="4"/>
        <v>471</v>
      </c>
      <c r="K40" s="297" t="s">
        <v>898</v>
      </c>
      <c r="L40" s="297"/>
      <c r="N40" s="332" t="str">
        <f t="shared" si="5"/>
        <v>Barn</v>
      </c>
      <c r="O40" s="298">
        <v>6500</v>
      </c>
      <c r="P40" s="298"/>
      <c r="Q40" s="302">
        <f t="shared" si="6"/>
        <v>6500</v>
      </c>
      <c r="T40" s="329"/>
      <c r="Z40" s="3">
        <f t="shared" si="8"/>
        <v>7</v>
      </c>
    </row>
    <row r="41" spans="2:26" ht="15.75" customHeight="1">
      <c r="B41" s="287" t="s">
        <v>938</v>
      </c>
      <c r="C41" s="290"/>
      <c r="D41" s="289">
        <v>45941</v>
      </c>
      <c r="E41" s="330">
        <f t="shared" si="0"/>
        <v>45961</v>
      </c>
      <c r="F41" s="331">
        <f t="shared" si="1"/>
        <v>6</v>
      </c>
      <c r="G41" s="289">
        <v>45380</v>
      </c>
      <c r="H41" s="330">
        <f t="shared" si="2"/>
        <v>45382</v>
      </c>
      <c r="I41" s="331">
        <f t="shared" si="3"/>
        <v>2024</v>
      </c>
      <c r="J41" s="290">
        <f t="shared" si="4"/>
        <v>561</v>
      </c>
      <c r="K41" s="297" t="s">
        <v>898</v>
      </c>
      <c r="L41" s="297"/>
      <c r="N41" s="332" t="str">
        <f t="shared" si="5"/>
        <v>Barn</v>
      </c>
      <c r="O41" s="298">
        <v>6500</v>
      </c>
      <c r="P41" s="298"/>
      <c r="Q41" s="302">
        <f t="shared" si="6"/>
        <v>6500</v>
      </c>
      <c r="T41" s="329"/>
      <c r="Z41" s="3">
        <f t="shared" si="8"/>
        <v>7</v>
      </c>
    </row>
    <row r="42" spans="2:26" ht="15.75" customHeight="1">
      <c r="B42" s="290" t="s">
        <v>939</v>
      </c>
      <c r="C42" s="290"/>
      <c r="D42" s="330">
        <v>45947</v>
      </c>
      <c r="E42" s="330">
        <f t="shared" si="0"/>
        <v>45961</v>
      </c>
      <c r="F42" s="331">
        <f t="shared" si="1"/>
        <v>6</v>
      </c>
      <c r="G42" s="330">
        <v>45450</v>
      </c>
      <c r="H42" s="330">
        <f t="shared" si="2"/>
        <v>45473</v>
      </c>
      <c r="I42" s="331">
        <f t="shared" si="3"/>
        <v>2024</v>
      </c>
      <c r="J42" s="290">
        <f t="shared" si="4"/>
        <v>497</v>
      </c>
      <c r="K42" s="290" t="s">
        <v>898</v>
      </c>
      <c r="L42" s="332"/>
      <c r="M42" s="332"/>
      <c r="N42" s="332" t="str">
        <f t="shared" si="5"/>
        <v>Barn</v>
      </c>
      <c r="O42" s="333">
        <v>7000</v>
      </c>
      <c r="P42" s="333"/>
      <c r="Q42" s="302">
        <f t="shared" si="6"/>
        <v>7000</v>
      </c>
      <c r="T42" s="334"/>
      <c r="Z42" s="3">
        <f t="shared" si="8"/>
        <v>6</v>
      </c>
    </row>
    <row r="43" spans="2:26" ht="15.75" customHeight="1">
      <c r="B43" s="287" t="s">
        <v>596</v>
      </c>
      <c r="C43" s="290"/>
      <c r="D43" s="289">
        <v>45948</v>
      </c>
      <c r="E43" s="330">
        <f t="shared" si="0"/>
        <v>45961</v>
      </c>
      <c r="F43" s="331">
        <f t="shared" si="1"/>
        <v>6</v>
      </c>
      <c r="G43" s="289">
        <v>45496</v>
      </c>
      <c r="H43" s="330">
        <f t="shared" si="2"/>
        <v>45504</v>
      </c>
      <c r="I43" s="331">
        <f t="shared" si="3"/>
        <v>2024</v>
      </c>
      <c r="J43" s="290">
        <f t="shared" si="4"/>
        <v>452</v>
      </c>
      <c r="K43" s="297" t="s">
        <v>898</v>
      </c>
      <c r="L43" s="297"/>
      <c r="N43" s="332" t="str">
        <f t="shared" si="5"/>
        <v>Barn</v>
      </c>
      <c r="O43" s="298">
        <v>6500</v>
      </c>
      <c r="P43" s="294"/>
      <c r="Q43" s="302">
        <f t="shared" si="6"/>
        <v>6500</v>
      </c>
      <c r="T43" s="339">
        <v>5165</v>
      </c>
      <c r="Z43" s="3">
        <f t="shared" si="8"/>
        <v>7</v>
      </c>
    </row>
    <row r="44" spans="2:26" ht="15.75" customHeight="1">
      <c r="B44" s="338" t="s">
        <v>940</v>
      </c>
      <c r="C44" s="290"/>
      <c r="D44" s="289">
        <v>45954</v>
      </c>
      <c r="E44" s="330">
        <f t="shared" si="0"/>
        <v>45961</v>
      </c>
      <c r="F44" s="331">
        <f t="shared" si="1"/>
        <v>6</v>
      </c>
      <c r="G44" s="289">
        <v>45587</v>
      </c>
      <c r="H44" s="330">
        <f t="shared" si="2"/>
        <v>45596</v>
      </c>
      <c r="I44" s="331">
        <f t="shared" si="3"/>
        <v>2024</v>
      </c>
      <c r="J44" s="290">
        <f t="shared" si="4"/>
        <v>367</v>
      </c>
      <c r="K44" s="297" t="s">
        <v>898</v>
      </c>
      <c r="L44" s="297"/>
      <c r="N44" s="332" t="str">
        <f t="shared" si="5"/>
        <v>Barn</v>
      </c>
      <c r="O44" s="298">
        <v>5500</v>
      </c>
      <c r="P44" s="298"/>
      <c r="Q44" s="302">
        <f t="shared" si="6"/>
        <v>5500</v>
      </c>
      <c r="T44" s="329"/>
      <c r="Z44" s="3">
        <f t="shared" si="8"/>
        <v>6</v>
      </c>
    </row>
    <row r="45" spans="2:26" ht="15.75" customHeight="1">
      <c r="B45" s="287" t="s">
        <v>941</v>
      </c>
      <c r="C45" s="290"/>
      <c r="D45" s="289">
        <v>45955</v>
      </c>
      <c r="E45" s="330">
        <f t="shared" si="0"/>
        <v>45961</v>
      </c>
      <c r="F45" s="331">
        <f t="shared" si="1"/>
        <v>6</v>
      </c>
      <c r="G45" s="289">
        <v>45496</v>
      </c>
      <c r="H45" s="330">
        <f t="shared" si="2"/>
        <v>45504</v>
      </c>
      <c r="I45" s="331">
        <f t="shared" si="3"/>
        <v>2024</v>
      </c>
      <c r="J45" s="290">
        <f t="shared" si="4"/>
        <v>459</v>
      </c>
      <c r="K45" s="297" t="s">
        <v>898</v>
      </c>
      <c r="L45" s="297"/>
      <c r="N45" s="332" t="str">
        <f t="shared" si="5"/>
        <v>Barn</v>
      </c>
      <c r="O45" s="298">
        <v>6500</v>
      </c>
      <c r="P45" s="298"/>
      <c r="Q45" s="302">
        <f t="shared" si="6"/>
        <v>6500</v>
      </c>
      <c r="T45" s="329"/>
      <c r="Z45" s="3">
        <f t="shared" si="8"/>
        <v>7</v>
      </c>
    </row>
    <row r="46" spans="2:26" ht="15.75" customHeight="1">
      <c r="B46" s="287" t="s">
        <v>942</v>
      </c>
      <c r="C46" s="290"/>
      <c r="D46" s="289">
        <v>45956</v>
      </c>
      <c r="E46" s="330">
        <f t="shared" si="0"/>
        <v>45961</v>
      </c>
      <c r="F46" s="331">
        <f t="shared" si="1"/>
        <v>6</v>
      </c>
      <c r="G46" s="289">
        <v>45531</v>
      </c>
      <c r="H46" s="330">
        <f t="shared" si="2"/>
        <v>45535</v>
      </c>
      <c r="I46" s="331">
        <f t="shared" si="3"/>
        <v>2024</v>
      </c>
      <c r="J46" s="290">
        <f t="shared" si="4"/>
        <v>425</v>
      </c>
      <c r="K46" s="297" t="s">
        <v>898</v>
      </c>
      <c r="L46" s="297"/>
      <c r="N46" s="332" t="str">
        <f t="shared" si="5"/>
        <v>Barn</v>
      </c>
      <c r="O46" s="298">
        <v>6500</v>
      </c>
      <c r="P46" s="298"/>
      <c r="Q46" s="302">
        <f t="shared" si="6"/>
        <v>6500</v>
      </c>
      <c r="T46" s="329"/>
      <c r="Z46" s="3">
        <f t="shared" si="8"/>
        <v>1</v>
      </c>
    </row>
    <row r="47" spans="2:26" ht="15.75" customHeight="1">
      <c r="B47" s="287" t="s">
        <v>604</v>
      </c>
      <c r="C47" s="290"/>
      <c r="D47" s="289">
        <v>45962</v>
      </c>
      <c r="E47" s="330">
        <f t="shared" si="0"/>
        <v>45991</v>
      </c>
      <c r="F47" s="331">
        <f t="shared" si="1"/>
        <v>1</v>
      </c>
      <c r="G47" s="289">
        <v>45503</v>
      </c>
      <c r="H47" s="330">
        <f t="shared" si="2"/>
        <v>45504</v>
      </c>
      <c r="I47" s="331">
        <f t="shared" si="3"/>
        <v>2024</v>
      </c>
      <c r="J47" s="290">
        <f t="shared" si="4"/>
        <v>459</v>
      </c>
      <c r="K47" s="297" t="s">
        <v>898</v>
      </c>
      <c r="L47" s="297"/>
      <c r="N47" s="332" t="str">
        <f t="shared" si="5"/>
        <v>Barn</v>
      </c>
      <c r="O47" s="298">
        <v>6500</v>
      </c>
      <c r="P47" s="298"/>
      <c r="Q47" s="302">
        <f t="shared" si="6"/>
        <v>6500</v>
      </c>
      <c r="T47" s="329"/>
      <c r="Z47" s="3">
        <f t="shared" si="8"/>
        <v>7</v>
      </c>
    </row>
    <row r="48" spans="2:26" ht="15.75" customHeight="1">
      <c r="B48" s="338" t="s">
        <v>943</v>
      </c>
      <c r="C48" s="290"/>
      <c r="D48" s="289">
        <v>45997</v>
      </c>
      <c r="E48" s="330">
        <f t="shared" si="0"/>
        <v>46022</v>
      </c>
      <c r="F48" s="331">
        <f t="shared" si="1"/>
        <v>4</v>
      </c>
      <c r="G48" s="289">
        <v>45581</v>
      </c>
      <c r="H48" s="330">
        <f t="shared" si="2"/>
        <v>45596</v>
      </c>
      <c r="I48" s="331">
        <f t="shared" si="3"/>
        <v>2024</v>
      </c>
      <c r="J48" s="290">
        <f t="shared" si="4"/>
        <v>416</v>
      </c>
      <c r="K48" s="297" t="s">
        <v>898</v>
      </c>
      <c r="L48" s="297"/>
      <c r="N48" s="332" t="str">
        <f t="shared" si="5"/>
        <v>Barn</v>
      </c>
      <c r="O48" s="298">
        <v>6500</v>
      </c>
      <c r="P48" s="298"/>
      <c r="Q48" s="302">
        <f t="shared" si="6"/>
        <v>6500</v>
      </c>
      <c r="T48" s="329"/>
      <c r="Z48" s="3">
        <f t="shared" si="8"/>
        <v>7</v>
      </c>
    </row>
    <row r="49" spans="2:26" ht="15.75" customHeight="1">
      <c r="B49" s="287"/>
      <c r="C49" s="290"/>
      <c r="D49" s="289"/>
      <c r="E49" s="330"/>
      <c r="F49" s="330"/>
      <c r="G49" s="289"/>
      <c r="H49" s="330"/>
      <c r="I49" s="331"/>
      <c r="J49" s="330"/>
      <c r="K49" s="297"/>
      <c r="L49" s="297"/>
      <c r="N49" s="332"/>
      <c r="O49" s="298"/>
      <c r="P49" s="298"/>
      <c r="T49" s="329"/>
      <c r="Z49" s="3">
        <f t="shared" si="8"/>
        <v>7</v>
      </c>
    </row>
    <row r="50" spans="2:26" ht="15.75" customHeight="1">
      <c r="B50" s="287" t="s">
        <v>944</v>
      </c>
      <c r="C50" s="290"/>
      <c r="D50" s="289">
        <v>45727</v>
      </c>
      <c r="E50" s="330">
        <f t="shared" ref="E50:E174" si="15">EOMONTH(D50,0)</f>
        <v>45747</v>
      </c>
      <c r="F50" s="331">
        <f t="shared" ref="F50:F174" si="16">WEEKDAY(E50)</f>
        <v>2</v>
      </c>
      <c r="G50" s="289">
        <v>45698</v>
      </c>
      <c r="H50" s="330">
        <f t="shared" ref="H50:H174" si="17">EOMONTH(G50,0)</f>
        <v>45716</v>
      </c>
      <c r="I50" s="331">
        <f t="shared" ref="I50:I174" si="18">YEAR(H50)</f>
        <v>2025</v>
      </c>
      <c r="J50" s="290">
        <f t="shared" ref="J50:J174" si="19">(D50-G50)</f>
        <v>29</v>
      </c>
      <c r="K50" s="297"/>
      <c r="L50" s="297"/>
      <c r="M50" s="226" t="s">
        <v>898</v>
      </c>
      <c r="N50" s="332" t="str">
        <f t="shared" ref="N50:N174" si="20">IF(K50="x","Barn",IF(L50="x","Chapel","Elopement"))</f>
        <v>Elopement</v>
      </c>
      <c r="O50" s="298">
        <v>1500</v>
      </c>
      <c r="P50" s="298"/>
      <c r="Q50" s="302">
        <f t="shared" ref="Q50:Q174" si="21">SUM(O50:P50)</f>
        <v>1500</v>
      </c>
      <c r="T50" s="329"/>
      <c r="Z50" s="3">
        <f t="shared" si="8"/>
        <v>3</v>
      </c>
    </row>
    <row r="51" spans="2:26" ht="15.75" customHeight="1">
      <c r="B51" s="290" t="s">
        <v>945</v>
      </c>
      <c r="C51" s="290"/>
      <c r="D51" s="330">
        <v>45751</v>
      </c>
      <c r="E51" s="330">
        <f t="shared" si="15"/>
        <v>45777</v>
      </c>
      <c r="F51" s="331">
        <f t="shared" si="16"/>
        <v>4</v>
      </c>
      <c r="G51" s="330">
        <v>45356</v>
      </c>
      <c r="H51" s="330">
        <f t="shared" si="17"/>
        <v>45382</v>
      </c>
      <c r="I51" s="331">
        <f t="shared" si="18"/>
        <v>2024</v>
      </c>
      <c r="J51" s="290">
        <f t="shared" si="19"/>
        <v>395</v>
      </c>
      <c r="K51" s="332"/>
      <c r="L51" s="290" t="s">
        <v>898</v>
      </c>
      <c r="M51" s="332"/>
      <c r="N51" s="332" t="str">
        <f t="shared" si="20"/>
        <v>Chapel</v>
      </c>
      <c r="O51" s="333">
        <v>6500</v>
      </c>
      <c r="P51" s="333"/>
      <c r="Q51" s="302">
        <f t="shared" si="21"/>
        <v>6500</v>
      </c>
      <c r="T51" s="334"/>
      <c r="Z51" s="3">
        <f t="shared" si="8"/>
        <v>6</v>
      </c>
    </row>
    <row r="52" spans="2:26" ht="15.75" customHeight="1">
      <c r="B52" s="290" t="s">
        <v>946</v>
      </c>
      <c r="C52" s="290"/>
      <c r="D52" s="330">
        <v>45752</v>
      </c>
      <c r="E52" s="330">
        <f t="shared" si="15"/>
        <v>45777</v>
      </c>
      <c r="F52" s="331">
        <f t="shared" si="16"/>
        <v>4</v>
      </c>
      <c r="G52" s="330">
        <v>45356</v>
      </c>
      <c r="H52" s="330">
        <f t="shared" si="17"/>
        <v>45382</v>
      </c>
      <c r="I52" s="331">
        <f t="shared" si="18"/>
        <v>2024</v>
      </c>
      <c r="J52" s="290">
        <f t="shared" si="19"/>
        <v>396</v>
      </c>
      <c r="K52" s="332"/>
      <c r="L52" s="290" t="s">
        <v>898</v>
      </c>
      <c r="M52" s="332"/>
      <c r="N52" s="332" t="str">
        <f t="shared" si="20"/>
        <v>Chapel</v>
      </c>
      <c r="O52" s="333">
        <v>7500</v>
      </c>
      <c r="P52" s="333"/>
      <c r="Q52" s="302">
        <f t="shared" si="21"/>
        <v>7500</v>
      </c>
      <c r="T52" s="334"/>
      <c r="Z52" s="3">
        <f t="shared" si="8"/>
        <v>7</v>
      </c>
    </row>
    <row r="53" spans="2:26" ht="15.75" customHeight="1">
      <c r="B53" s="290" t="s">
        <v>947</v>
      </c>
      <c r="C53" s="290"/>
      <c r="D53" s="330">
        <v>45753</v>
      </c>
      <c r="E53" s="330">
        <f t="shared" si="15"/>
        <v>45777</v>
      </c>
      <c r="F53" s="331">
        <f t="shared" si="16"/>
        <v>4</v>
      </c>
      <c r="G53" s="330">
        <v>45470</v>
      </c>
      <c r="H53" s="330">
        <f t="shared" si="17"/>
        <v>45473</v>
      </c>
      <c r="I53" s="331">
        <f t="shared" si="18"/>
        <v>2024</v>
      </c>
      <c r="J53" s="290">
        <f t="shared" si="19"/>
        <v>283</v>
      </c>
      <c r="K53" s="332"/>
      <c r="L53" s="290" t="s">
        <v>898</v>
      </c>
      <c r="M53" s="332"/>
      <c r="N53" s="332" t="str">
        <f t="shared" si="20"/>
        <v>Chapel</v>
      </c>
      <c r="O53" s="333">
        <v>7500</v>
      </c>
      <c r="P53" s="333"/>
      <c r="Q53" s="302">
        <f t="shared" si="21"/>
        <v>7500</v>
      </c>
      <c r="T53" s="334"/>
      <c r="Z53" s="3">
        <f t="shared" si="8"/>
        <v>1</v>
      </c>
    </row>
    <row r="54" spans="2:26" ht="15.75" customHeight="1">
      <c r="B54" s="290" t="s">
        <v>948</v>
      </c>
      <c r="C54" s="290"/>
      <c r="D54" s="330">
        <v>45758</v>
      </c>
      <c r="E54" s="330">
        <f t="shared" si="15"/>
        <v>45777</v>
      </c>
      <c r="F54" s="331">
        <f t="shared" si="16"/>
        <v>4</v>
      </c>
      <c r="G54" s="330">
        <v>45440</v>
      </c>
      <c r="H54" s="330">
        <f t="shared" si="17"/>
        <v>45443</v>
      </c>
      <c r="I54" s="331">
        <f t="shared" si="18"/>
        <v>2024</v>
      </c>
      <c r="J54" s="290">
        <f t="shared" si="19"/>
        <v>318</v>
      </c>
      <c r="K54" s="332"/>
      <c r="L54" s="290" t="s">
        <v>898</v>
      </c>
      <c r="M54" s="332"/>
      <c r="N54" s="332" t="str">
        <f t="shared" si="20"/>
        <v>Chapel</v>
      </c>
      <c r="O54" s="333">
        <v>6500</v>
      </c>
      <c r="P54" s="333"/>
      <c r="Q54" s="302">
        <f t="shared" si="21"/>
        <v>6500</v>
      </c>
      <c r="T54" s="334"/>
      <c r="Z54" s="3">
        <f t="shared" si="8"/>
        <v>6</v>
      </c>
    </row>
    <row r="55" spans="2:26" ht="15.75" customHeight="1">
      <c r="B55" s="290" t="s">
        <v>949</v>
      </c>
      <c r="C55" s="290"/>
      <c r="D55" s="330">
        <v>45759</v>
      </c>
      <c r="E55" s="330">
        <f t="shared" si="15"/>
        <v>45777</v>
      </c>
      <c r="F55" s="331">
        <f t="shared" si="16"/>
        <v>4</v>
      </c>
      <c r="G55" s="330">
        <v>45362</v>
      </c>
      <c r="H55" s="330">
        <f t="shared" si="17"/>
        <v>45382</v>
      </c>
      <c r="I55" s="331">
        <f t="shared" si="18"/>
        <v>2024</v>
      </c>
      <c r="J55" s="290">
        <f t="shared" si="19"/>
        <v>397</v>
      </c>
      <c r="K55" s="332"/>
      <c r="L55" s="290" t="s">
        <v>898</v>
      </c>
      <c r="M55" s="332"/>
      <c r="N55" s="332" t="str">
        <f t="shared" si="20"/>
        <v>Chapel</v>
      </c>
      <c r="O55" s="333">
        <v>7500</v>
      </c>
      <c r="P55" s="333"/>
      <c r="Q55" s="302">
        <f t="shared" si="21"/>
        <v>7500</v>
      </c>
      <c r="T55" s="334"/>
      <c r="Z55" s="3">
        <f t="shared" si="8"/>
        <v>7</v>
      </c>
    </row>
    <row r="56" spans="2:26" ht="15.75" customHeight="1">
      <c r="B56" s="340" t="s">
        <v>950</v>
      </c>
      <c r="C56" s="290"/>
      <c r="D56" s="330">
        <v>45760</v>
      </c>
      <c r="E56" s="330">
        <f t="shared" si="15"/>
        <v>45777</v>
      </c>
      <c r="F56" s="331">
        <f t="shared" si="16"/>
        <v>4</v>
      </c>
      <c r="G56" s="330">
        <v>45418</v>
      </c>
      <c r="H56" s="330">
        <f t="shared" si="17"/>
        <v>45443</v>
      </c>
      <c r="I56" s="331">
        <f t="shared" si="18"/>
        <v>2024</v>
      </c>
      <c r="J56" s="290">
        <f t="shared" si="19"/>
        <v>342</v>
      </c>
      <c r="K56" s="332"/>
      <c r="L56" s="290" t="s">
        <v>898</v>
      </c>
      <c r="M56" s="332"/>
      <c r="N56" s="332" t="str">
        <f t="shared" si="20"/>
        <v>Chapel</v>
      </c>
      <c r="O56" s="333">
        <v>7500</v>
      </c>
      <c r="P56" s="333"/>
      <c r="Q56" s="302">
        <f t="shared" si="21"/>
        <v>7500</v>
      </c>
      <c r="T56" s="334"/>
      <c r="Z56" s="3">
        <f t="shared" si="8"/>
        <v>1</v>
      </c>
    </row>
    <row r="57" spans="2:26" ht="15.75" customHeight="1">
      <c r="B57" s="340" t="s">
        <v>951</v>
      </c>
      <c r="C57" s="290"/>
      <c r="D57" s="330">
        <v>45762</v>
      </c>
      <c r="E57" s="330">
        <f t="shared" si="15"/>
        <v>45777</v>
      </c>
      <c r="F57" s="331">
        <f t="shared" si="16"/>
        <v>4</v>
      </c>
      <c r="G57" s="330">
        <v>45677</v>
      </c>
      <c r="H57" s="330">
        <f t="shared" si="17"/>
        <v>45688</v>
      </c>
      <c r="I57" s="331">
        <f t="shared" si="18"/>
        <v>2025</v>
      </c>
      <c r="J57" s="290">
        <f t="shared" si="19"/>
        <v>85</v>
      </c>
      <c r="K57" s="332"/>
      <c r="L57" s="290"/>
      <c r="M57" s="332" t="s">
        <v>898</v>
      </c>
      <c r="N57" s="332" t="str">
        <f t="shared" si="20"/>
        <v>Elopement</v>
      </c>
      <c r="O57" s="333">
        <v>1500</v>
      </c>
      <c r="P57" s="333"/>
      <c r="Q57" s="302">
        <f t="shared" si="21"/>
        <v>1500</v>
      </c>
      <c r="T57" s="334"/>
      <c r="Z57" s="3">
        <f t="shared" si="8"/>
        <v>3</v>
      </c>
    </row>
    <row r="58" spans="2:26" ht="15.75" customHeight="1">
      <c r="B58" s="340" t="s">
        <v>952</v>
      </c>
      <c r="C58" s="290"/>
      <c r="D58" s="330">
        <v>45765</v>
      </c>
      <c r="E58" s="330">
        <f t="shared" si="15"/>
        <v>45777</v>
      </c>
      <c r="F58" s="331">
        <f t="shared" si="16"/>
        <v>4</v>
      </c>
      <c r="G58" s="330">
        <v>45437</v>
      </c>
      <c r="H58" s="330">
        <f t="shared" si="17"/>
        <v>45443</v>
      </c>
      <c r="I58" s="331">
        <f t="shared" si="18"/>
        <v>2024</v>
      </c>
      <c r="J58" s="290">
        <f t="shared" si="19"/>
        <v>328</v>
      </c>
      <c r="K58" s="332"/>
      <c r="L58" s="290" t="s">
        <v>898</v>
      </c>
      <c r="M58" s="332"/>
      <c r="N58" s="332" t="str">
        <f t="shared" si="20"/>
        <v>Chapel</v>
      </c>
      <c r="O58" s="333">
        <v>6500</v>
      </c>
      <c r="P58" s="333"/>
      <c r="Q58" s="302">
        <f t="shared" si="21"/>
        <v>6500</v>
      </c>
      <c r="T58" s="334"/>
      <c r="Z58" s="3">
        <f t="shared" si="8"/>
        <v>6</v>
      </c>
    </row>
    <row r="59" spans="2:26" ht="15.75" customHeight="1">
      <c r="B59" s="340" t="s">
        <v>953</v>
      </c>
      <c r="C59" s="290"/>
      <c r="D59" s="330">
        <v>45766</v>
      </c>
      <c r="E59" s="330">
        <f t="shared" si="15"/>
        <v>45777</v>
      </c>
      <c r="F59" s="331">
        <f t="shared" si="16"/>
        <v>4</v>
      </c>
      <c r="G59" s="330">
        <v>45447</v>
      </c>
      <c r="H59" s="330">
        <f t="shared" si="17"/>
        <v>45473</v>
      </c>
      <c r="I59" s="331">
        <f t="shared" si="18"/>
        <v>2024</v>
      </c>
      <c r="J59" s="290">
        <f t="shared" si="19"/>
        <v>319</v>
      </c>
      <c r="K59" s="332"/>
      <c r="L59" s="290" t="s">
        <v>898</v>
      </c>
      <c r="M59" s="332"/>
      <c r="N59" s="332" t="str">
        <f t="shared" si="20"/>
        <v>Chapel</v>
      </c>
      <c r="O59" s="333">
        <v>7250</v>
      </c>
      <c r="P59" s="333"/>
      <c r="Q59" s="302">
        <f t="shared" si="21"/>
        <v>7250</v>
      </c>
      <c r="T59" s="334"/>
      <c r="Z59" s="3">
        <f t="shared" si="8"/>
        <v>7</v>
      </c>
    </row>
    <row r="60" spans="2:26" ht="15.75" customHeight="1">
      <c r="B60" s="287" t="s">
        <v>954</v>
      </c>
      <c r="C60" s="290"/>
      <c r="D60" s="289">
        <v>45769</v>
      </c>
      <c r="E60" s="330">
        <f t="shared" si="15"/>
        <v>45777</v>
      </c>
      <c r="F60" s="331">
        <f t="shared" si="16"/>
        <v>4</v>
      </c>
      <c r="G60" s="289">
        <v>45413</v>
      </c>
      <c r="H60" s="330">
        <f t="shared" si="17"/>
        <v>45443</v>
      </c>
      <c r="I60" s="331">
        <f t="shared" si="18"/>
        <v>2024</v>
      </c>
      <c r="J60" s="290">
        <f t="shared" si="19"/>
        <v>356</v>
      </c>
      <c r="K60" s="297"/>
      <c r="L60" s="297"/>
      <c r="M60" s="226" t="s">
        <v>898</v>
      </c>
      <c r="N60" s="332" t="str">
        <f t="shared" si="20"/>
        <v>Elopement</v>
      </c>
      <c r="O60" s="298">
        <v>1500</v>
      </c>
      <c r="P60" s="298"/>
      <c r="Q60" s="302">
        <f t="shared" si="21"/>
        <v>1500</v>
      </c>
      <c r="T60" s="329"/>
      <c r="Z60" s="3">
        <f t="shared" si="8"/>
        <v>3</v>
      </c>
    </row>
    <row r="61" spans="2:26" ht="15.75" customHeight="1">
      <c r="B61" s="340" t="s">
        <v>955</v>
      </c>
      <c r="C61" s="290"/>
      <c r="D61" s="330">
        <v>45772</v>
      </c>
      <c r="E61" s="330">
        <f t="shared" si="15"/>
        <v>45777</v>
      </c>
      <c r="F61" s="331">
        <f t="shared" si="16"/>
        <v>4</v>
      </c>
      <c r="G61" s="330">
        <v>45404</v>
      </c>
      <c r="H61" s="330">
        <f t="shared" si="17"/>
        <v>45412</v>
      </c>
      <c r="I61" s="331">
        <f t="shared" si="18"/>
        <v>2024</v>
      </c>
      <c r="J61" s="290">
        <f t="shared" si="19"/>
        <v>368</v>
      </c>
      <c r="K61" s="332"/>
      <c r="L61" s="290" t="s">
        <v>898</v>
      </c>
      <c r="M61" s="332"/>
      <c r="N61" s="332" t="str">
        <f t="shared" si="20"/>
        <v>Chapel</v>
      </c>
      <c r="O61" s="333">
        <v>6500</v>
      </c>
      <c r="P61" s="333"/>
      <c r="Q61" s="302">
        <f t="shared" si="21"/>
        <v>6500</v>
      </c>
      <c r="T61" s="334"/>
      <c r="Z61" s="3">
        <f t="shared" si="8"/>
        <v>6</v>
      </c>
    </row>
    <row r="62" spans="2:26" ht="15.75" customHeight="1">
      <c r="B62" s="340" t="s">
        <v>560</v>
      </c>
      <c r="C62" s="290"/>
      <c r="D62" s="330">
        <v>45773</v>
      </c>
      <c r="E62" s="330">
        <f t="shared" si="15"/>
        <v>45777</v>
      </c>
      <c r="F62" s="331">
        <f t="shared" si="16"/>
        <v>4</v>
      </c>
      <c r="G62" s="330">
        <v>45227</v>
      </c>
      <c r="H62" s="330">
        <f t="shared" si="17"/>
        <v>45230</v>
      </c>
      <c r="I62" s="331">
        <f t="shared" si="18"/>
        <v>2023</v>
      </c>
      <c r="J62" s="290">
        <f t="shared" si="19"/>
        <v>546</v>
      </c>
      <c r="K62" s="332"/>
      <c r="L62" s="290" t="s">
        <v>898</v>
      </c>
      <c r="M62" s="332"/>
      <c r="N62" s="332" t="str">
        <f t="shared" si="20"/>
        <v>Chapel</v>
      </c>
      <c r="O62" s="333">
        <v>7500</v>
      </c>
      <c r="P62" s="292"/>
      <c r="Q62" s="302">
        <f t="shared" si="21"/>
        <v>7500</v>
      </c>
      <c r="T62" s="337">
        <v>8000</v>
      </c>
      <c r="Z62" s="3">
        <f t="shared" si="8"/>
        <v>7</v>
      </c>
    </row>
    <row r="63" spans="2:26" ht="15.75" customHeight="1">
      <c r="B63" s="340" t="s">
        <v>562</v>
      </c>
      <c r="C63" s="290"/>
      <c r="D63" s="289">
        <v>45774</v>
      </c>
      <c r="E63" s="330">
        <f t="shared" si="15"/>
        <v>45777</v>
      </c>
      <c r="F63" s="331">
        <f t="shared" si="16"/>
        <v>4</v>
      </c>
      <c r="G63" s="289">
        <v>45309</v>
      </c>
      <c r="H63" s="330">
        <f t="shared" si="17"/>
        <v>45322</v>
      </c>
      <c r="I63" s="331">
        <f t="shared" si="18"/>
        <v>2024</v>
      </c>
      <c r="J63" s="290">
        <f t="shared" si="19"/>
        <v>465</v>
      </c>
      <c r="K63" s="297"/>
      <c r="L63" s="297" t="s">
        <v>898</v>
      </c>
      <c r="N63" s="332" t="str">
        <f t="shared" si="20"/>
        <v>Chapel</v>
      </c>
      <c r="O63" s="298">
        <v>7500</v>
      </c>
      <c r="P63" s="294"/>
      <c r="Q63" s="302">
        <f t="shared" si="21"/>
        <v>7500</v>
      </c>
      <c r="T63" s="339">
        <v>5550</v>
      </c>
      <c r="Z63" s="3">
        <f t="shared" si="8"/>
        <v>1</v>
      </c>
    </row>
    <row r="64" spans="2:26" ht="15.75" customHeight="1">
      <c r="B64" s="340" t="s">
        <v>956</v>
      </c>
      <c r="C64" s="290"/>
      <c r="D64" s="289">
        <v>45779</v>
      </c>
      <c r="E64" s="330">
        <f t="shared" si="15"/>
        <v>45808</v>
      </c>
      <c r="F64" s="331">
        <f t="shared" si="16"/>
        <v>7</v>
      </c>
      <c r="G64" s="289">
        <v>45376</v>
      </c>
      <c r="H64" s="330">
        <f t="shared" si="17"/>
        <v>45382</v>
      </c>
      <c r="I64" s="331">
        <f t="shared" si="18"/>
        <v>2024</v>
      </c>
      <c r="J64" s="290">
        <f t="shared" si="19"/>
        <v>403</v>
      </c>
      <c r="K64" s="297"/>
      <c r="L64" s="297" t="s">
        <v>898</v>
      </c>
      <c r="N64" s="332" t="str">
        <f t="shared" si="20"/>
        <v>Chapel</v>
      </c>
      <c r="O64" s="298">
        <v>6250</v>
      </c>
      <c r="P64" s="298"/>
      <c r="Q64" s="302">
        <f t="shared" si="21"/>
        <v>6250</v>
      </c>
      <c r="T64" s="329"/>
      <c r="Z64" s="3">
        <f t="shared" si="8"/>
        <v>6</v>
      </c>
    </row>
    <row r="65" spans="2:26" ht="15.75" customHeight="1">
      <c r="B65" s="340" t="s">
        <v>957</v>
      </c>
      <c r="C65" s="290"/>
      <c r="D65" s="289">
        <v>45780</v>
      </c>
      <c r="E65" s="330">
        <f t="shared" si="15"/>
        <v>45808</v>
      </c>
      <c r="F65" s="331">
        <f t="shared" si="16"/>
        <v>7</v>
      </c>
      <c r="G65" s="289">
        <v>45233</v>
      </c>
      <c r="H65" s="330">
        <f t="shared" si="17"/>
        <v>45260</v>
      </c>
      <c r="I65" s="331">
        <f t="shared" si="18"/>
        <v>2023</v>
      </c>
      <c r="J65" s="290">
        <f t="shared" si="19"/>
        <v>547</v>
      </c>
      <c r="K65" s="297"/>
      <c r="L65" s="297" t="s">
        <v>898</v>
      </c>
      <c r="N65" s="332" t="str">
        <f t="shared" si="20"/>
        <v>Chapel</v>
      </c>
      <c r="O65" s="298">
        <v>7500</v>
      </c>
      <c r="P65" s="298"/>
      <c r="Q65" s="302">
        <f t="shared" si="21"/>
        <v>7500</v>
      </c>
      <c r="T65" s="329"/>
      <c r="Z65" s="3">
        <f t="shared" si="8"/>
        <v>7</v>
      </c>
    </row>
    <row r="66" spans="2:26" ht="15.75" customHeight="1">
      <c r="B66" s="340" t="s">
        <v>958</v>
      </c>
      <c r="C66" s="290"/>
      <c r="D66" s="289">
        <v>45781</v>
      </c>
      <c r="E66" s="330">
        <f t="shared" si="15"/>
        <v>45808</v>
      </c>
      <c r="F66" s="331">
        <f t="shared" si="16"/>
        <v>7</v>
      </c>
      <c r="G66" s="289">
        <v>45433</v>
      </c>
      <c r="H66" s="330">
        <f t="shared" si="17"/>
        <v>45443</v>
      </c>
      <c r="I66" s="331">
        <f t="shared" si="18"/>
        <v>2024</v>
      </c>
      <c r="J66" s="290">
        <f t="shared" si="19"/>
        <v>348</v>
      </c>
      <c r="K66" s="297"/>
      <c r="L66" s="297" t="s">
        <v>898</v>
      </c>
      <c r="N66" s="332" t="str">
        <f t="shared" si="20"/>
        <v>Chapel</v>
      </c>
      <c r="O66" s="298">
        <v>7500</v>
      </c>
      <c r="P66" s="298"/>
      <c r="Q66" s="302">
        <f t="shared" si="21"/>
        <v>7500</v>
      </c>
      <c r="T66" s="329"/>
      <c r="Z66" s="3">
        <f t="shared" si="8"/>
        <v>1</v>
      </c>
    </row>
    <row r="67" spans="2:26" ht="15.75" customHeight="1">
      <c r="B67" s="340" t="s">
        <v>959</v>
      </c>
      <c r="C67" s="290"/>
      <c r="D67" s="289">
        <v>45783</v>
      </c>
      <c r="E67" s="330">
        <f t="shared" si="15"/>
        <v>45808</v>
      </c>
      <c r="F67" s="331">
        <f t="shared" si="16"/>
        <v>7</v>
      </c>
      <c r="G67" s="289">
        <v>45645</v>
      </c>
      <c r="H67" s="330">
        <f t="shared" si="17"/>
        <v>45657</v>
      </c>
      <c r="I67" s="331">
        <f t="shared" si="18"/>
        <v>2024</v>
      </c>
      <c r="J67" s="290">
        <f t="shared" si="19"/>
        <v>138</v>
      </c>
      <c r="K67" s="297"/>
      <c r="L67" s="297"/>
      <c r="M67" s="226" t="s">
        <v>898</v>
      </c>
      <c r="N67" s="332" t="str">
        <f t="shared" si="20"/>
        <v>Elopement</v>
      </c>
      <c r="O67" s="298">
        <v>1500</v>
      </c>
      <c r="P67" s="298"/>
      <c r="Q67" s="302">
        <f t="shared" si="21"/>
        <v>1500</v>
      </c>
      <c r="T67" s="329"/>
      <c r="Z67" s="3">
        <f t="shared" si="8"/>
        <v>3</v>
      </c>
    </row>
    <row r="68" spans="2:26" ht="15.75" customHeight="1">
      <c r="B68" s="340" t="s">
        <v>960</v>
      </c>
      <c r="C68" s="290"/>
      <c r="D68" s="289">
        <v>45783</v>
      </c>
      <c r="E68" s="330">
        <f t="shared" si="15"/>
        <v>45808</v>
      </c>
      <c r="F68" s="331">
        <f t="shared" si="16"/>
        <v>7</v>
      </c>
      <c r="G68" s="289">
        <v>45555</v>
      </c>
      <c r="H68" s="330">
        <f t="shared" si="17"/>
        <v>45565</v>
      </c>
      <c r="I68" s="331">
        <f t="shared" si="18"/>
        <v>2024</v>
      </c>
      <c r="J68" s="290">
        <f t="shared" si="19"/>
        <v>228</v>
      </c>
      <c r="K68" s="297"/>
      <c r="L68" s="297"/>
      <c r="M68" s="226" t="s">
        <v>898</v>
      </c>
      <c r="N68" s="332" t="str">
        <f t="shared" si="20"/>
        <v>Elopement</v>
      </c>
      <c r="O68" s="298">
        <v>1500</v>
      </c>
      <c r="P68" s="298"/>
      <c r="Q68" s="302">
        <f t="shared" si="21"/>
        <v>1500</v>
      </c>
      <c r="T68" s="329"/>
      <c r="Z68" s="3">
        <f t="shared" si="8"/>
        <v>3</v>
      </c>
    </row>
    <row r="69" spans="2:26" ht="15.75" customHeight="1">
      <c r="B69" s="340" t="s">
        <v>961</v>
      </c>
      <c r="C69" s="290"/>
      <c r="D69" s="289">
        <v>45786</v>
      </c>
      <c r="E69" s="330">
        <f t="shared" si="15"/>
        <v>45808</v>
      </c>
      <c r="F69" s="331">
        <f t="shared" si="16"/>
        <v>7</v>
      </c>
      <c r="G69" s="289">
        <v>45433</v>
      </c>
      <c r="H69" s="330">
        <f t="shared" si="17"/>
        <v>45443</v>
      </c>
      <c r="I69" s="331">
        <f t="shared" si="18"/>
        <v>2024</v>
      </c>
      <c r="J69" s="290">
        <f t="shared" si="19"/>
        <v>353</v>
      </c>
      <c r="K69" s="297"/>
      <c r="L69" s="297" t="s">
        <v>898</v>
      </c>
      <c r="N69" s="332" t="str">
        <f t="shared" si="20"/>
        <v>Chapel</v>
      </c>
      <c r="O69" s="298">
        <v>6500</v>
      </c>
      <c r="P69" s="298"/>
      <c r="Q69" s="302">
        <f t="shared" si="21"/>
        <v>6500</v>
      </c>
      <c r="T69" s="329"/>
      <c r="Z69" s="3">
        <f t="shared" si="8"/>
        <v>6</v>
      </c>
    </row>
    <row r="70" spans="2:26" ht="15.75" customHeight="1">
      <c r="B70" s="340" t="s">
        <v>962</v>
      </c>
      <c r="C70" s="290"/>
      <c r="D70" s="289">
        <v>45787</v>
      </c>
      <c r="E70" s="330">
        <f t="shared" si="15"/>
        <v>45808</v>
      </c>
      <c r="F70" s="331">
        <f t="shared" si="16"/>
        <v>7</v>
      </c>
      <c r="G70" s="289">
        <v>45082</v>
      </c>
      <c r="H70" s="330">
        <f t="shared" si="17"/>
        <v>45107</v>
      </c>
      <c r="I70" s="331">
        <f t="shared" si="18"/>
        <v>2023</v>
      </c>
      <c r="J70" s="290">
        <f t="shared" si="19"/>
        <v>705</v>
      </c>
      <c r="K70" s="297"/>
      <c r="L70" s="297" t="s">
        <v>898</v>
      </c>
      <c r="N70" s="332" t="str">
        <f t="shared" si="20"/>
        <v>Chapel</v>
      </c>
      <c r="O70" s="298">
        <v>7750</v>
      </c>
      <c r="P70" s="298"/>
      <c r="Q70" s="302">
        <f t="shared" si="21"/>
        <v>7750</v>
      </c>
      <c r="T70" s="329"/>
      <c r="Z70" s="3">
        <f t="shared" si="8"/>
        <v>7</v>
      </c>
    </row>
    <row r="71" spans="2:26" ht="15.75" customHeight="1">
      <c r="B71" s="287" t="s">
        <v>963</v>
      </c>
      <c r="C71" s="290"/>
      <c r="D71" s="289">
        <v>45790</v>
      </c>
      <c r="E71" s="330">
        <f t="shared" si="15"/>
        <v>45808</v>
      </c>
      <c r="F71" s="331">
        <f t="shared" si="16"/>
        <v>7</v>
      </c>
      <c r="G71" s="289">
        <v>45693</v>
      </c>
      <c r="H71" s="330">
        <f t="shared" si="17"/>
        <v>45716</v>
      </c>
      <c r="I71" s="331">
        <f t="shared" si="18"/>
        <v>2025</v>
      </c>
      <c r="J71" s="290">
        <f t="shared" si="19"/>
        <v>97</v>
      </c>
      <c r="K71" s="297"/>
      <c r="L71" s="297"/>
      <c r="M71" s="226" t="s">
        <v>898</v>
      </c>
      <c r="N71" s="332" t="str">
        <f t="shared" si="20"/>
        <v>Elopement</v>
      </c>
      <c r="O71" s="298">
        <v>1500</v>
      </c>
      <c r="P71" s="298"/>
      <c r="Q71" s="302">
        <f t="shared" si="21"/>
        <v>1500</v>
      </c>
      <c r="T71" s="329"/>
      <c r="Z71" s="3">
        <f t="shared" si="8"/>
        <v>3</v>
      </c>
    </row>
    <row r="72" spans="2:26" ht="15.75" customHeight="1">
      <c r="B72" s="287" t="s">
        <v>964</v>
      </c>
      <c r="C72" s="290"/>
      <c r="D72" s="289">
        <v>45790</v>
      </c>
      <c r="E72" s="330">
        <f t="shared" si="15"/>
        <v>45808</v>
      </c>
      <c r="F72" s="331">
        <f t="shared" si="16"/>
        <v>7</v>
      </c>
      <c r="G72" s="289">
        <v>45555</v>
      </c>
      <c r="H72" s="330">
        <f t="shared" si="17"/>
        <v>45565</v>
      </c>
      <c r="I72" s="331">
        <f t="shared" si="18"/>
        <v>2024</v>
      </c>
      <c r="J72" s="290">
        <f t="shared" si="19"/>
        <v>235</v>
      </c>
      <c r="K72" s="297"/>
      <c r="L72" s="297"/>
      <c r="M72" s="226" t="s">
        <v>898</v>
      </c>
      <c r="N72" s="332" t="str">
        <f t="shared" si="20"/>
        <v>Elopement</v>
      </c>
      <c r="O72" s="298">
        <v>1500</v>
      </c>
      <c r="P72" s="298"/>
      <c r="Q72" s="302">
        <f t="shared" si="21"/>
        <v>1500</v>
      </c>
      <c r="T72" s="329"/>
      <c r="Z72" s="3">
        <f t="shared" si="8"/>
        <v>3</v>
      </c>
    </row>
    <row r="73" spans="2:26" ht="15.75" customHeight="1">
      <c r="B73" s="287" t="s">
        <v>965</v>
      </c>
      <c r="C73" s="290"/>
      <c r="D73" s="289">
        <v>45793</v>
      </c>
      <c r="E73" s="330">
        <f t="shared" si="15"/>
        <v>45808</v>
      </c>
      <c r="F73" s="331">
        <f t="shared" si="16"/>
        <v>7</v>
      </c>
      <c r="G73" s="289">
        <v>45378</v>
      </c>
      <c r="H73" s="330">
        <f t="shared" si="17"/>
        <v>45382</v>
      </c>
      <c r="I73" s="331">
        <f t="shared" si="18"/>
        <v>2024</v>
      </c>
      <c r="J73" s="290">
        <f t="shared" si="19"/>
        <v>415</v>
      </c>
      <c r="K73" s="297"/>
      <c r="L73" s="297" t="s">
        <v>898</v>
      </c>
      <c r="N73" s="332" t="str">
        <f t="shared" si="20"/>
        <v>Chapel</v>
      </c>
      <c r="O73" s="298">
        <v>6500</v>
      </c>
      <c r="P73" s="298"/>
      <c r="Q73" s="302">
        <f t="shared" si="21"/>
        <v>6500</v>
      </c>
      <c r="T73" s="329"/>
      <c r="Z73" s="3">
        <f t="shared" si="8"/>
        <v>6</v>
      </c>
    </row>
    <row r="74" spans="2:26" ht="15.75" customHeight="1">
      <c r="B74" s="287" t="s">
        <v>966</v>
      </c>
      <c r="C74" s="290"/>
      <c r="D74" s="289">
        <v>45794</v>
      </c>
      <c r="E74" s="330">
        <f t="shared" si="15"/>
        <v>45808</v>
      </c>
      <c r="F74" s="331">
        <f t="shared" si="16"/>
        <v>7</v>
      </c>
      <c r="G74" s="289">
        <v>45139</v>
      </c>
      <c r="H74" s="330">
        <f t="shared" si="17"/>
        <v>45169</v>
      </c>
      <c r="I74" s="331">
        <f t="shared" si="18"/>
        <v>2023</v>
      </c>
      <c r="J74" s="290">
        <f t="shared" si="19"/>
        <v>655</v>
      </c>
      <c r="K74" s="297"/>
      <c r="L74" s="297" t="s">
        <v>898</v>
      </c>
      <c r="N74" s="332" t="str">
        <f t="shared" si="20"/>
        <v>Chapel</v>
      </c>
      <c r="O74" s="298">
        <v>7500</v>
      </c>
      <c r="P74" s="298"/>
      <c r="Q74" s="302">
        <f t="shared" si="21"/>
        <v>7500</v>
      </c>
      <c r="T74" s="329"/>
      <c r="Z74" s="3">
        <f t="shared" si="8"/>
        <v>7</v>
      </c>
    </row>
    <row r="75" spans="2:26" ht="15.75" customHeight="1">
      <c r="B75" s="287" t="s">
        <v>967</v>
      </c>
      <c r="C75" s="290"/>
      <c r="D75" s="289">
        <v>45795</v>
      </c>
      <c r="E75" s="330">
        <f t="shared" si="15"/>
        <v>45808</v>
      </c>
      <c r="F75" s="331">
        <f t="shared" si="16"/>
        <v>7</v>
      </c>
      <c r="G75" s="289">
        <v>45511</v>
      </c>
      <c r="H75" s="330">
        <f t="shared" si="17"/>
        <v>45535</v>
      </c>
      <c r="I75" s="331">
        <f t="shared" si="18"/>
        <v>2024</v>
      </c>
      <c r="J75" s="290">
        <f t="shared" si="19"/>
        <v>284</v>
      </c>
      <c r="K75" s="297"/>
      <c r="L75" s="297" t="s">
        <v>898</v>
      </c>
      <c r="N75" s="332" t="str">
        <f t="shared" si="20"/>
        <v>Chapel</v>
      </c>
      <c r="O75" s="298">
        <v>7500</v>
      </c>
      <c r="P75" s="298"/>
      <c r="Q75" s="302">
        <f t="shared" si="21"/>
        <v>7500</v>
      </c>
      <c r="T75" s="329"/>
      <c r="Z75" s="3">
        <f t="shared" si="8"/>
        <v>1</v>
      </c>
    </row>
    <row r="76" spans="2:26" ht="15.75" customHeight="1">
      <c r="B76" s="287" t="s">
        <v>968</v>
      </c>
      <c r="C76" s="290"/>
      <c r="D76" s="289">
        <v>45797</v>
      </c>
      <c r="E76" s="330">
        <f t="shared" si="15"/>
        <v>45808</v>
      </c>
      <c r="F76" s="331">
        <f t="shared" si="16"/>
        <v>7</v>
      </c>
      <c r="G76" s="341">
        <v>45685</v>
      </c>
      <c r="H76" s="330">
        <f t="shared" si="17"/>
        <v>45688</v>
      </c>
      <c r="I76" s="331">
        <f t="shared" si="18"/>
        <v>2025</v>
      </c>
      <c r="J76" s="290">
        <f t="shared" si="19"/>
        <v>112</v>
      </c>
      <c r="K76" s="297"/>
      <c r="L76" s="297"/>
      <c r="M76" s="226" t="s">
        <v>898</v>
      </c>
      <c r="N76" s="332" t="str">
        <f t="shared" si="20"/>
        <v>Elopement</v>
      </c>
      <c r="O76" s="298">
        <v>1500</v>
      </c>
      <c r="P76" s="298"/>
      <c r="Q76" s="302">
        <f t="shared" si="21"/>
        <v>1500</v>
      </c>
      <c r="T76" s="329"/>
      <c r="Z76" s="3">
        <f t="shared" si="8"/>
        <v>3</v>
      </c>
    </row>
    <row r="77" spans="2:26" ht="15.75" customHeight="1">
      <c r="B77" s="287" t="s">
        <v>969</v>
      </c>
      <c r="C77" s="290"/>
      <c r="D77" s="289">
        <v>45797</v>
      </c>
      <c r="E77" s="330">
        <f t="shared" si="15"/>
        <v>45808</v>
      </c>
      <c r="F77" s="331">
        <f t="shared" si="16"/>
        <v>7</v>
      </c>
      <c r="G77" s="341">
        <v>45666</v>
      </c>
      <c r="H77" s="330">
        <f t="shared" si="17"/>
        <v>45688</v>
      </c>
      <c r="I77" s="331">
        <f t="shared" si="18"/>
        <v>2025</v>
      </c>
      <c r="J77" s="290">
        <f t="shared" si="19"/>
        <v>131</v>
      </c>
      <c r="K77" s="297"/>
      <c r="L77" s="297"/>
      <c r="M77" s="226" t="s">
        <v>898</v>
      </c>
      <c r="N77" s="332" t="str">
        <f t="shared" si="20"/>
        <v>Elopement</v>
      </c>
      <c r="O77" s="298">
        <v>1500</v>
      </c>
      <c r="P77" s="298"/>
      <c r="Q77" s="302">
        <f t="shared" si="21"/>
        <v>1500</v>
      </c>
      <c r="T77" s="329"/>
      <c r="Z77" s="3">
        <f t="shared" si="8"/>
        <v>3</v>
      </c>
    </row>
    <row r="78" spans="2:26" ht="15.75" customHeight="1">
      <c r="B78" s="287" t="s">
        <v>970</v>
      </c>
      <c r="C78" s="290"/>
      <c r="D78" s="289">
        <v>45800</v>
      </c>
      <c r="E78" s="330">
        <f t="shared" si="15"/>
        <v>45808</v>
      </c>
      <c r="F78" s="331">
        <f t="shared" si="16"/>
        <v>7</v>
      </c>
      <c r="G78" s="341">
        <v>45378</v>
      </c>
      <c r="H78" s="330">
        <f t="shared" si="17"/>
        <v>45382</v>
      </c>
      <c r="I78" s="331">
        <f t="shared" si="18"/>
        <v>2024</v>
      </c>
      <c r="J78" s="290">
        <f t="shared" si="19"/>
        <v>422</v>
      </c>
      <c r="K78" s="297"/>
      <c r="L78" s="297" t="s">
        <v>898</v>
      </c>
      <c r="N78" s="332" t="str">
        <f t="shared" si="20"/>
        <v>Chapel</v>
      </c>
      <c r="O78" s="298">
        <v>6500</v>
      </c>
      <c r="P78" s="298"/>
      <c r="Q78" s="302">
        <f t="shared" si="21"/>
        <v>6500</v>
      </c>
      <c r="T78" s="329"/>
      <c r="Z78" s="3">
        <f t="shared" si="8"/>
        <v>6</v>
      </c>
    </row>
    <row r="79" spans="2:26" ht="15.75" customHeight="1">
      <c r="B79" s="338" t="s">
        <v>566</v>
      </c>
      <c r="C79" s="290"/>
      <c r="D79" s="289">
        <v>45801</v>
      </c>
      <c r="E79" s="330">
        <f t="shared" si="15"/>
        <v>45808</v>
      </c>
      <c r="F79" s="331">
        <f t="shared" si="16"/>
        <v>7</v>
      </c>
      <c r="G79" s="289">
        <v>45474</v>
      </c>
      <c r="H79" s="330">
        <f t="shared" si="17"/>
        <v>45504</v>
      </c>
      <c r="I79" s="331">
        <f t="shared" si="18"/>
        <v>2024</v>
      </c>
      <c r="J79" s="290">
        <f t="shared" si="19"/>
        <v>327</v>
      </c>
      <c r="K79" s="297"/>
      <c r="L79" s="297" t="s">
        <v>898</v>
      </c>
      <c r="N79" s="332" t="str">
        <f t="shared" si="20"/>
        <v>Chapel</v>
      </c>
      <c r="O79" s="298">
        <v>7500</v>
      </c>
      <c r="P79" s="294"/>
      <c r="Q79" s="302">
        <f t="shared" si="21"/>
        <v>7500</v>
      </c>
      <c r="T79" s="339">
        <v>2760</v>
      </c>
      <c r="Z79" s="3">
        <f t="shared" si="8"/>
        <v>7</v>
      </c>
    </row>
    <row r="80" spans="2:26" ht="15.75" customHeight="1">
      <c r="B80" s="287" t="s">
        <v>568</v>
      </c>
      <c r="C80" s="290"/>
      <c r="D80" s="289">
        <v>45802</v>
      </c>
      <c r="E80" s="330">
        <f t="shared" si="15"/>
        <v>45808</v>
      </c>
      <c r="F80" s="331">
        <f t="shared" si="16"/>
        <v>7</v>
      </c>
      <c r="G80" s="289">
        <v>45380</v>
      </c>
      <c r="H80" s="330">
        <f t="shared" si="17"/>
        <v>45382</v>
      </c>
      <c r="I80" s="331">
        <f t="shared" si="18"/>
        <v>2024</v>
      </c>
      <c r="J80" s="290">
        <f t="shared" si="19"/>
        <v>422</v>
      </c>
      <c r="K80" s="297"/>
      <c r="L80" s="297" t="s">
        <v>898</v>
      </c>
      <c r="N80" s="332" t="str">
        <f t="shared" si="20"/>
        <v>Chapel</v>
      </c>
      <c r="O80" s="298">
        <v>7500</v>
      </c>
      <c r="P80" s="294"/>
      <c r="Q80" s="302">
        <f t="shared" si="21"/>
        <v>7500</v>
      </c>
      <c r="T80" s="339">
        <v>4177</v>
      </c>
      <c r="Z80" s="3">
        <f t="shared" si="8"/>
        <v>1</v>
      </c>
    </row>
    <row r="81" spans="2:26" ht="15.75" customHeight="1">
      <c r="B81" s="338" t="s">
        <v>971</v>
      </c>
      <c r="C81" s="290"/>
      <c r="D81" s="289">
        <v>45804</v>
      </c>
      <c r="E81" s="330">
        <f t="shared" si="15"/>
        <v>45808</v>
      </c>
      <c r="F81" s="331">
        <f t="shared" si="16"/>
        <v>7</v>
      </c>
      <c r="G81" s="289">
        <v>45595</v>
      </c>
      <c r="H81" s="330">
        <f t="shared" si="17"/>
        <v>45596</v>
      </c>
      <c r="I81" s="331">
        <f t="shared" si="18"/>
        <v>2024</v>
      </c>
      <c r="J81" s="290">
        <f t="shared" si="19"/>
        <v>209</v>
      </c>
      <c r="K81" s="297"/>
      <c r="L81" s="297"/>
      <c r="M81" s="226" t="s">
        <v>898</v>
      </c>
      <c r="N81" s="332" t="str">
        <f t="shared" si="20"/>
        <v>Elopement</v>
      </c>
      <c r="O81" s="298">
        <v>1500</v>
      </c>
      <c r="P81" s="298"/>
      <c r="Q81" s="302">
        <f t="shared" si="21"/>
        <v>1500</v>
      </c>
      <c r="T81" s="329"/>
      <c r="Z81" s="3">
        <f t="shared" si="8"/>
        <v>3</v>
      </c>
    </row>
    <row r="82" spans="2:26" ht="15.75" customHeight="1">
      <c r="B82" s="287" t="s">
        <v>570</v>
      </c>
      <c r="C82" s="290"/>
      <c r="D82" s="289">
        <v>45804</v>
      </c>
      <c r="E82" s="330">
        <f t="shared" si="15"/>
        <v>45808</v>
      </c>
      <c r="F82" s="331">
        <f t="shared" si="16"/>
        <v>7</v>
      </c>
      <c r="G82" s="289">
        <v>45583</v>
      </c>
      <c r="H82" s="330">
        <f t="shared" si="17"/>
        <v>45596</v>
      </c>
      <c r="I82" s="331">
        <f t="shared" si="18"/>
        <v>2024</v>
      </c>
      <c r="J82" s="290">
        <f t="shared" si="19"/>
        <v>221</v>
      </c>
      <c r="K82" s="297"/>
      <c r="L82" s="297"/>
      <c r="M82" s="226" t="s">
        <v>898</v>
      </c>
      <c r="N82" s="332" t="str">
        <f t="shared" si="20"/>
        <v>Elopement</v>
      </c>
      <c r="O82" s="298">
        <v>1500</v>
      </c>
      <c r="P82" s="294"/>
      <c r="Q82" s="302">
        <f t="shared" si="21"/>
        <v>1500</v>
      </c>
      <c r="T82" s="339">
        <v>550</v>
      </c>
      <c r="Z82" s="3">
        <f t="shared" si="8"/>
        <v>3</v>
      </c>
    </row>
    <row r="83" spans="2:26" ht="15.75" customHeight="1">
      <c r="B83" s="287" t="s">
        <v>972</v>
      </c>
      <c r="C83" s="290"/>
      <c r="D83" s="289">
        <v>45807</v>
      </c>
      <c r="E83" s="330">
        <f t="shared" si="15"/>
        <v>45808</v>
      </c>
      <c r="F83" s="331">
        <f t="shared" si="16"/>
        <v>7</v>
      </c>
      <c r="G83" s="289">
        <v>45436</v>
      </c>
      <c r="H83" s="330">
        <f t="shared" si="17"/>
        <v>45443</v>
      </c>
      <c r="I83" s="331">
        <f t="shared" si="18"/>
        <v>2024</v>
      </c>
      <c r="J83" s="290">
        <f t="shared" si="19"/>
        <v>371</v>
      </c>
      <c r="K83" s="297"/>
      <c r="L83" s="297" t="s">
        <v>898</v>
      </c>
      <c r="N83" s="332" t="str">
        <f t="shared" si="20"/>
        <v>Chapel</v>
      </c>
      <c r="O83" s="298">
        <v>6500</v>
      </c>
      <c r="P83" s="298"/>
      <c r="Q83" s="302">
        <f t="shared" si="21"/>
        <v>6500</v>
      </c>
      <c r="T83" s="329"/>
      <c r="Z83" s="3">
        <f t="shared" si="8"/>
        <v>6</v>
      </c>
    </row>
    <row r="84" spans="2:26" ht="15.75" customHeight="1">
      <c r="B84" s="287" t="s">
        <v>973</v>
      </c>
      <c r="C84" s="290"/>
      <c r="D84" s="289">
        <v>45808</v>
      </c>
      <c r="E84" s="330">
        <f t="shared" si="15"/>
        <v>45808</v>
      </c>
      <c r="F84" s="331">
        <f t="shared" si="16"/>
        <v>7</v>
      </c>
      <c r="G84" s="289">
        <v>45274</v>
      </c>
      <c r="H84" s="330">
        <f t="shared" si="17"/>
        <v>45291</v>
      </c>
      <c r="I84" s="331">
        <f t="shared" si="18"/>
        <v>2023</v>
      </c>
      <c r="J84" s="290">
        <f t="shared" si="19"/>
        <v>534</v>
      </c>
      <c r="K84" s="297"/>
      <c r="L84" s="297" t="s">
        <v>898</v>
      </c>
      <c r="N84" s="332" t="str">
        <f t="shared" si="20"/>
        <v>Chapel</v>
      </c>
      <c r="O84" s="298">
        <v>7500</v>
      </c>
      <c r="P84" s="298"/>
      <c r="Q84" s="302">
        <f t="shared" si="21"/>
        <v>7500</v>
      </c>
      <c r="T84" s="329"/>
      <c r="Z84" s="3">
        <f t="shared" si="8"/>
        <v>7</v>
      </c>
    </row>
    <row r="85" spans="2:26" ht="15.75" customHeight="1">
      <c r="B85" s="338" t="s">
        <v>974</v>
      </c>
      <c r="C85" s="290"/>
      <c r="D85" s="330">
        <v>45809</v>
      </c>
      <c r="E85" s="330">
        <f t="shared" si="15"/>
        <v>45838</v>
      </c>
      <c r="F85" s="331">
        <f t="shared" si="16"/>
        <v>2</v>
      </c>
      <c r="G85" s="330">
        <v>45471</v>
      </c>
      <c r="H85" s="330">
        <f t="shared" si="17"/>
        <v>45473</v>
      </c>
      <c r="I85" s="331">
        <f t="shared" si="18"/>
        <v>2024</v>
      </c>
      <c r="J85" s="290">
        <f t="shared" si="19"/>
        <v>338</v>
      </c>
      <c r="K85" s="332"/>
      <c r="L85" s="290" t="s">
        <v>898</v>
      </c>
      <c r="M85" s="332"/>
      <c r="N85" s="332" t="str">
        <f t="shared" si="20"/>
        <v>Chapel</v>
      </c>
      <c r="O85" s="292">
        <v>7500</v>
      </c>
      <c r="P85" s="292"/>
      <c r="Q85" s="302">
        <f t="shared" si="21"/>
        <v>7500</v>
      </c>
      <c r="T85" s="337"/>
      <c r="Z85" s="3">
        <f t="shared" si="8"/>
        <v>1</v>
      </c>
    </row>
    <row r="86" spans="2:26" ht="15.75" customHeight="1">
      <c r="B86" s="290" t="s">
        <v>975</v>
      </c>
      <c r="C86" s="290"/>
      <c r="D86" s="330">
        <v>45811</v>
      </c>
      <c r="E86" s="330">
        <f t="shared" si="15"/>
        <v>45838</v>
      </c>
      <c r="F86" s="331">
        <f t="shared" si="16"/>
        <v>2</v>
      </c>
      <c r="G86" s="330">
        <v>45707</v>
      </c>
      <c r="H86" s="330">
        <f t="shared" si="17"/>
        <v>45716</v>
      </c>
      <c r="I86" s="331">
        <f t="shared" si="18"/>
        <v>2025</v>
      </c>
      <c r="J86" s="290">
        <f t="shared" si="19"/>
        <v>104</v>
      </c>
      <c r="K86" s="332"/>
      <c r="L86" s="290"/>
      <c r="M86" s="332" t="s">
        <v>898</v>
      </c>
      <c r="N86" s="332" t="str">
        <f t="shared" si="20"/>
        <v>Elopement</v>
      </c>
      <c r="O86" s="292">
        <v>1500</v>
      </c>
      <c r="P86" s="292"/>
      <c r="Q86" s="302">
        <f t="shared" si="21"/>
        <v>1500</v>
      </c>
      <c r="T86" s="337"/>
      <c r="Z86" s="3">
        <f t="shared" si="8"/>
        <v>3</v>
      </c>
    </row>
    <row r="87" spans="2:26" ht="15.75" customHeight="1">
      <c r="B87" s="290" t="s">
        <v>976</v>
      </c>
      <c r="C87" s="290"/>
      <c r="D87" s="330">
        <v>45811</v>
      </c>
      <c r="E87" s="330">
        <f t="shared" si="15"/>
        <v>45838</v>
      </c>
      <c r="F87" s="331">
        <f t="shared" si="16"/>
        <v>2</v>
      </c>
      <c r="G87" s="330">
        <v>45432</v>
      </c>
      <c r="H87" s="330">
        <f t="shared" si="17"/>
        <v>45443</v>
      </c>
      <c r="I87" s="331">
        <f t="shared" si="18"/>
        <v>2024</v>
      </c>
      <c r="J87" s="290">
        <f t="shared" si="19"/>
        <v>379</v>
      </c>
      <c r="K87" s="332"/>
      <c r="L87" s="290"/>
      <c r="M87" s="332" t="s">
        <v>898</v>
      </c>
      <c r="N87" s="332" t="str">
        <f t="shared" si="20"/>
        <v>Elopement</v>
      </c>
      <c r="O87" s="292">
        <v>1500</v>
      </c>
      <c r="P87" s="292"/>
      <c r="Q87" s="302">
        <f t="shared" si="21"/>
        <v>1500</v>
      </c>
      <c r="T87" s="337"/>
      <c r="Z87" s="3">
        <f t="shared" si="8"/>
        <v>3</v>
      </c>
    </row>
    <row r="88" spans="2:26" ht="15.75" customHeight="1">
      <c r="B88" s="290" t="s">
        <v>572</v>
      </c>
      <c r="C88" s="290"/>
      <c r="D88" s="330">
        <v>45814</v>
      </c>
      <c r="E88" s="330">
        <f t="shared" si="15"/>
        <v>45838</v>
      </c>
      <c r="F88" s="331">
        <f t="shared" si="16"/>
        <v>2</v>
      </c>
      <c r="G88" s="330">
        <v>45436</v>
      </c>
      <c r="H88" s="330">
        <f t="shared" si="17"/>
        <v>45443</v>
      </c>
      <c r="I88" s="331">
        <f t="shared" si="18"/>
        <v>2024</v>
      </c>
      <c r="J88" s="290">
        <f t="shared" si="19"/>
        <v>378</v>
      </c>
      <c r="K88" s="332"/>
      <c r="L88" s="290" t="s">
        <v>898</v>
      </c>
      <c r="M88" s="332"/>
      <c r="N88" s="332" t="str">
        <f t="shared" si="20"/>
        <v>Chapel</v>
      </c>
      <c r="O88" s="292">
        <v>6500</v>
      </c>
      <c r="P88" s="294"/>
      <c r="Q88" s="302">
        <f t="shared" si="21"/>
        <v>6500</v>
      </c>
      <c r="T88" s="339">
        <v>3278</v>
      </c>
      <c r="Z88" s="3">
        <f t="shared" si="8"/>
        <v>6</v>
      </c>
    </row>
    <row r="89" spans="2:26" ht="15.75" customHeight="1">
      <c r="B89" s="290" t="s">
        <v>977</v>
      </c>
      <c r="C89" s="290"/>
      <c r="D89" s="330">
        <v>45815</v>
      </c>
      <c r="E89" s="330">
        <f t="shared" si="15"/>
        <v>45838</v>
      </c>
      <c r="F89" s="331">
        <f t="shared" si="16"/>
        <v>2</v>
      </c>
      <c r="G89" s="330">
        <v>45407</v>
      </c>
      <c r="H89" s="330">
        <f t="shared" si="17"/>
        <v>45412</v>
      </c>
      <c r="I89" s="331">
        <f t="shared" si="18"/>
        <v>2024</v>
      </c>
      <c r="J89" s="290">
        <f t="shared" si="19"/>
        <v>408</v>
      </c>
      <c r="K89" s="332"/>
      <c r="L89" s="290" t="s">
        <v>898</v>
      </c>
      <c r="M89" s="332"/>
      <c r="N89" s="332" t="str">
        <f t="shared" si="20"/>
        <v>Chapel</v>
      </c>
      <c r="O89" s="292">
        <v>7500</v>
      </c>
      <c r="P89" s="292"/>
      <c r="Q89" s="302">
        <f t="shared" si="21"/>
        <v>7500</v>
      </c>
      <c r="T89" s="337"/>
      <c r="Z89" s="3">
        <f t="shared" si="8"/>
        <v>7</v>
      </c>
    </row>
    <row r="90" spans="2:26" ht="15.75" customHeight="1">
      <c r="B90" s="287" t="s">
        <v>978</v>
      </c>
      <c r="C90" s="290"/>
      <c r="D90" s="289">
        <v>45818</v>
      </c>
      <c r="E90" s="330">
        <f t="shared" si="15"/>
        <v>45838</v>
      </c>
      <c r="F90" s="331">
        <f t="shared" si="16"/>
        <v>2</v>
      </c>
      <c r="G90" s="341">
        <v>45679</v>
      </c>
      <c r="H90" s="330">
        <f t="shared" si="17"/>
        <v>45688</v>
      </c>
      <c r="I90" s="331">
        <f t="shared" si="18"/>
        <v>2025</v>
      </c>
      <c r="J90" s="290">
        <f t="shared" si="19"/>
        <v>139</v>
      </c>
      <c r="K90" s="297"/>
      <c r="L90" s="297"/>
      <c r="M90" s="226" t="s">
        <v>898</v>
      </c>
      <c r="N90" s="332" t="str">
        <f t="shared" si="20"/>
        <v>Elopement</v>
      </c>
      <c r="O90" s="298">
        <v>1500</v>
      </c>
      <c r="P90" s="298"/>
      <c r="Q90" s="302">
        <f t="shared" si="21"/>
        <v>1500</v>
      </c>
      <c r="T90" s="329"/>
      <c r="Z90" s="3">
        <f t="shared" si="8"/>
        <v>3</v>
      </c>
    </row>
    <row r="91" spans="2:26" ht="15.75" customHeight="1">
      <c r="B91" s="287" t="s">
        <v>979</v>
      </c>
      <c r="C91" s="290"/>
      <c r="D91" s="289">
        <v>45818</v>
      </c>
      <c r="E91" s="330">
        <f t="shared" si="15"/>
        <v>45838</v>
      </c>
      <c r="F91" s="331">
        <f t="shared" si="16"/>
        <v>2</v>
      </c>
      <c r="G91" s="341">
        <v>45491</v>
      </c>
      <c r="H91" s="330">
        <f t="shared" si="17"/>
        <v>45504</v>
      </c>
      <c r="I91" s="331">
        <f t="shared" si="18"/>
        <v>2024</v>
      </c>
      <c r="J91" s="290">
        <f t="shared" si="19"/>
        <v>327</v>
      </c>
      <c r="K91" s="297"/>
      <c r="L91" s="297"/>
      <c r="M91" s="226" t="s">
        <v>898</v>
      </c>
      <c r="N91" s="332" t="str">
        <f t="shared" si="20"/>
        <v>Elopement</v>
      </c>
      <c r="O91" s="298">
        <v>1500</v>
      </c>
      <c r="P91" s="298"/>
      <c r="Q91" s="302">
        <f t="shared" si="21"/>
        <v>1500</v>
      </c>
      <c r="T91" s="329"/>
      <c r="Z91" s="3">
        <f t="shared" si="8"/>
        <v>3</v>
      </c>
    </row>
    <row r="92" spans="2:26" ht="15.75" customHeight="1">
      <c r="B92" s="287" t="s">
        <v>980</v>
      </c>
      <c r="C92" s="290"/>
      <c r="D92" s="289">
        <v>45821</v>
      </c>
      <c r="E92" s="330">
        <f t="shared" si="15"/>
        <v>45838</v>
      </c>
      <c r="F92" s="331">
        <f t="shared" si="16"/>
        <v>2</v>
      </c>
      <c r="G92" s="289">
        <v>45453</v>
      </c>
      <c r="H92" s="330">
        <f t="shared" si="17"/>
        <v>45473</v>
      </c>
      <c r="I92" s="331">
        <f t="shared" si="18"/>
        <v>2024</v>
      </c>
      <c r="J92" s="290">
        <f t="shared" si="19"/>
        <v>368</v>
      </c>
      <c r="K92" s="297"/>
      <c r="L92" s="297" t="s">
        <v>898</v>
      </c>
      <c r="N92" s="332" t="str">
        <f t="shared" si="20"/>
        <v>Chapel</v>
      </c>
      <c r="O92" s="298">
        <v>6500</v>
      </c>
      <c r="P92" s="298"/>
      <c r="Q92" s="302">
        <f t="shared" si="21"/>
        <v>6500</v>
      </c>
      <c r="T92" s="329"/>
      <c r="Z92" s="3">
        <f t="shared" si="8"/>
        <v>6</v>
      </c>
    </row>
    <row r="93" spans="2:26" ht="15.75" customHeight="1">
      <c r="B93" s="287" t="s">
        <v>576</v>
      </c>
      <c r="C93" s="290"/>
      <c r="D93" s="289">
        <v>45822</v>
      </c>
      <c r="E93" s="330">
        <f t="shared" si="15"/>
        <v>45838</v>
      </c>
      <c r="F93" s="331">
        <f t="shared" si="16"/>
        <v>2</v>
      </c>
      <c r="G93" s="289">
        <v>45166</v>
      </c>
      <c r="H93" s="330">
        <f t="shared" si="17"/>
        <v>45169</v>
      </c>
      <c r="I93" s="331">
        <f t="shared" si="18"/>
        <v>2023</v>
      </c>
      <c r="J93" s="290">
        <f t="shared" si="19"/>
        <v>656</v>
      </c>
      <c r="K93" s="297"/>
      <c r="L93" s="297" t="s">
        <v>898</v>
      </c>
      <c r="N93" s="332" t="str">
        <f t="shared" si="20"/>
        <v>Chapel</v>
      </c>
      <c r="O93" s="298">
        <v>7500</v>
      </c>
      <c r="P93" s="294"/>
      <c r="Q93" s="302">
        <f t="shared" si="21"/>
        <v>7500</v>
      </c>
      <c r="T93" s="339">
        <v>2250</v>
      </c>
      <c r="Z93" s="3">
        <f t="shared" si="8"/>
        <v>7</v>
      </c>
    </row>
    <row r="94" spans="2:26" ht="15.75" customHeight="1">
      <c r="B94" s="287" t="s">
        <v>981</v>
      </c>
      <c r="C94" s="290"/>
      <c r="D94" s="289">
        <v>45828</v>
      </c>
      <c r="E94" s="330">
        <f t="shared" si="15"/>
        <v>45838</v>
      </c>
      <c r="F94" s="331">
        <f t="shared" si="16"/>
        <v>2</v>
      </c>
      <c r="G94" s="289">
        <v>45391</v>
      </c>
      <c r="H94" s="330">
        <f t="shared" si="17"/>
        <v>45412</v>
      </c>
      <c r="I94" s="331">
        <f t="shared" si="18"/>
        <v>2024</v>
      </c>
      <c r="J94" s="290">
        <f t="shared" si="19"/>
        <v>437</v>
      </c>
      <c r="K94" s="297"/>
      <c r="L94" s="297" t="s">
        <v>898</v>
      </c>
      <c r="N94" s="332" t="str">
        <f t="shared" si="20"/>
        <v>Chapel</v>
      </c>
      <c r="O94" s="298">
        <v>8000</v>
      </c>
      <c r="P94" s="298"/>
      <c r="Q94" s="302">
        <f t="shared" si="21"/>
        <v>8000</v>
      </c>
      <c r="T94" s="329"/>
      <c r="Z94" s="3">
        <f t="shared" si="8"/>
        <v>6</v>
      </c>
    </row>
    <row r="95" spans="2:26" ht="15.75" customHeight="1">
      <c r="B95" s="287" t="s">
        <v>578</v>
      </c>
      <c r="C95" s="290"/>
      <c r="D95" s="289">
        <v>45829</v>
      </c>
      <c r="E95" s="330">
        <f t="shared" si="15"/>
        <v>45838</v>
      </c>
      <c r="F95" s="331">
        <f t="shared" si="16"/>
        <v>2</v>
      </c>
      <c r="G95" s="289">
        <v>45323</v>
      </c>
      <c r="H95" s="330">
        <f t="shared" si="17"/>
        <v>45351</v>
      </c>
      <c r="I95" s="331">
        <f t="shared" si="18"/>
        <v>2024</v>
      </c>
      <c r="J95" s="290">
        <f t="shared" si="19"/>
        <v>506</v>
      </c>
      <c r="K95" s="297"/>
      <c r="L95" s="297" t="s">
        <v>898</v>
      </c>
      <c r="N95" s="332" t="str">
        <f t="shared" si="20"/>
        <v>Chapel</v>
      </c>
      <c r="O95" s="298">
        <v>7500</v>
      </c>
      <c r="P95" s="294"/>
      <c r="Q95" s="302">
        <f t="shared" si="21"/>
        <v>7500</v>
      </c>
      <c r="T95" s="339">
        <v>6231</v>
      </c>
      <c r="Z95" s="3">
        <f t="shared" si="8"/>
        <v>7</v>
      </c>
    </row>
    <row r="96" spans="2:26" ht="15.75" customHeight="1">
      <c r="B96" s="338" t="s">
        <v>982</v>
      </c>
      <c r="C96" s="290"/>
      <c r="D96" s="341">
        <v>45830</v>
      </c>
      <c r="E96" s="330">
        <f t="shared" si="15"/>
        <v>45838</v>
      </c>
      <c r="F96" s="331">
        <f t="shared" si="16"/>
        <v>2</v>
      </c>
      <c r="G96" s="289">
        <v>45474</v>
      </c>
      <c r="H96" s="330">
        <f t="shared" si="17"/>
        <v>45504</v>
      </c>
      <c r="I96" s="331">
        <f t="shared" si="18"/>
        <v>2024</v>
      </c>
      <c r="J96" s="290">
        <f t="shared" si="19"/>
        <v>356</v>
      </c>
      <c r="K96" s="297"/>
      <c r="L96" s="297" t="s">
        <v>898</v>
      </c>
      <c r="N96" s="332" t="str">
        <f t="shared" si="20"/>
        <v>Chapel</v>
      </c>
      <c r="O96" s="298">
        <v>7500</v>
      </c>
      <c r="P96" s="298"/>
      <c r="Q96" s="302">
        <f t="shared" si="21"/>
        <v>7500</v>
      </c>
      <c r="T96" s="329"/>
      <c r="Z96" s="3">
        <f t="shared" si="8"/>
        <v>1</v>
      </c>
    </row>
    <row r="97" spans="2:26" ht="15.75" customHeight="1">
      <c r="B97" s="287" t="s">
        <v>983</v>
      </c>
      <c r="C97" s="290"/>
      <c r="D97" s="341">
        <v>45832</v>
      </c>
      <c r="E97" s="330">
        <f t="shared" si="15"/>
        <v>45838</v>
      </c>
      <c r="F97" s="331">
        <f t="shared" si="16"/>
        <v>2</v>
      </c>
      <c r="G97" s="289">
        <v>45707</v>
      </c>
      <c r="H97" s="330">
        <f t="shared" si="17"/>
        <v>45716</v>
      </c>
      <c r="I97" s="331">
        <f t="shared" si="18"/>
        <v>2025</v>
      </c>
      <c r="J97" s="290">
        <f t="shared" si="19"/>
        <v>125</v>
      </c>
      <c r="K97" s="297"/>
      <c r="L97" s="297"/>
      <c r="M97" s="226" t="s">
        <v>898</v>
      </c>
      <c r="N97" s="332" t="str">
        <f t="shared" si="20"/>
        <v>Elopement</v>
      </c>
      <c r="O97" s="298">
        <v>1500</v>
      </c>
      <c r="P97" s="298"/>
      <c r="Q97" s="302">
        <f t="shared" si="21"/>
        <v>1500</v>
      </c>
      <c r="T97" s="329"/>
      <c r="Z97" s="3">
        <f t="shared" si="8"/>
        <v>3</v>
      </c>
    </row>
    <row r="98" spans="2:26" ht="15.75" customHeight="1">
      <c r="B98" s="287" t="s">
        <v>984</v>
      </c>
      <c r="C98" s="290"/>
      <c r="D98" s="341">
        <v>45835</v>
      </c>
      <c r="E98" s="330">
        <f t="shared" si="15"/>
        <v>45838</v>
      </c>
      <c r="F98" s="331">
        <f t="shared" si="16"/>
        <v>2</v>
      </c>
      <c r="G98" s="289">
        <v>45371</v>
      </c>
      <c r="H98" s="330">
        <f t="shared" si="17"/>
        <v>45382</v>
      </c>
      <c r="I98" s="331">
        <f t="shared" si="18"/>
        <v>2024</v>
      </c>
      <c r="J98" s="290">
        <f t="shared" si="19"/>
        <v>464</v>
      </c>
      <c r="K98" s="297"/>
      <c r="L98" s="297" t="s">
        <v>898</v>
      </c>
      <c r="N98" s="332" t="str">
        <f t="shared" si="20"/>
        <v>Chapel</v>
      </c>
      <c r="O98" s="298">
        <v>6000</v>
      </c>
      <c r="P98" s="298"/>
      <c r="Q98" s="302">
        <f t="shared" si="21"/>
        <v>6000</v>
      </c>
      <c r="T98" s="329"/>
      <c r="Z98" s="3">
        <f t="shared" si="8"/>
        <v>6</v>
      </c>
    </row>
    <row r="99" spans="2:26" ht="15.75" customHeight="1">
      <c r="B99" s="287" t="s">
        <v>984</v>
      </c>
      <c r="C99" s="290"/>
      <c r="D99" s="341">
        <v>45836</v>
      </c>
      <c r="E99" s="330">
        <f t="shared" si="15"/>
        <v>45838</v>
      </c>
      <c r="F99" s="331">
        <f t="shared" si="16"/>
        <v>2</v>
      </c>
      <c r="G99" s="289">
        <v>45371</v>
      </c>
      <c r="H99" s="330">
        <f t="shared" si="17"/>
        <v>45382</v>
      </c>
      <c r="I99" s="331">
        <f t="shared" si="18"/>
        <v>2024</v>
      </c>
      <c r="J99" s="290">
        <f t="shared" si="19"/>
        <v>465</v>
      </c>
      <c r="K99" s="297"/>
      <c r="L99" s="297" t="s">
        <v>898</v>
      </c>
      <c r="N99" s="332" t="str">
        <f t="shared" si="20"/>
        <v>Chapel</v>
      </c>
      <c r="O99" s="298">
        <v>7500</v>
      </c>
      <c r="P99" s="298"/>
      <c r="Q99" s="302">
        <f t="shared" si="21"/>
        <v>7500</v>
      </c>
      <c r="T99" s="329"/>
      <c r="Z99" s="3">
        <f t="shared" si="8"/>
        <v>7</v>
      </c>
    </row>
    <row r="100" spans="2:26" ht="15.75" customHeight="1">
      <c r="B100" s="338" t="s">
        <v>985</v>
      </c>
      <c r="C100" s="290"/>
      <c r="D100" s="289">
        <v>45837</v>
      </c>
      <c r="E100" s="330">
        <f t="shared" si="15"/>
        <v>45838</v>
      </c>
      <c r="F100" s="331">
        <f t="shared" si="16"/>
        <v>2</v>
      </c>
      <c r="G100" s="289">
        <v>45479</v>
      </c>
      <c r="H100" s="330">
        <f t="shared" si="17"/>
        <v>45504</v>
      </c>
      <c r="I100" s="331">
        <f t="shared" si="18"/>
        <v>2024</v>
      </c>
      <c r="J100" s="290">
        <f t="shared" si="19"/>
        <v>358</v>
      </c>
      <c r="K100" s="297"/>
      <c r="L100" s="297" t="s">
        <v>898</v>
      </c>
      <c r="N100" s="332" t="str">
        <f t="shared" si="20"/>
        <v>Chapel</v>
      </c>
      <c r="O100" s="298">
        <v>7500</v>
      </c>
      <c r="P100" s="298"/>
      <c r="Q100" s="302">
        <f t="shared" si="21"/>
        <v>7500</v>
      </c>
      <c r="T100" s="329"/>
      <c r="Z100" s="3">
        <f t="shared" si="8"/>
        <v>1</v>
      </c>
    </row>
    <row r="101" spans="2:26" ht="15.75" customHeight="1">
      <c r="B101" s="287" t="s">
        <v>986</v>
      </c>
      <c r="C101" s="290"/>
      <c r="D101" s="289">
        <v>45839</v>
      </c>
      <c r="E101" s="330">
        <f t="shared" si="15"/>
        <v>45869</v>
      </c>
      <c r="F101" s="331">
        <f t="shared" si="16"/>
        <v>5</v>
      </c>
      <c r="G101" s="289">
        <v>45679</v>
      </c>
      <c r="H101" s="330">
        <f t="shared" si="17"/>
        <v>45688</v>
      </c>
      <c r="I101" s="331">
        <f t="shared" si="18"/>
        <v>2025</v>
      </c>
      <c r="J101" s="290">
        <f t="shared" si="19"/>
        <v>160</v>
      </c>
      <c r="K101" s="297"/>
      <c r="L101" s="297"/>
      <c r="M101" s="226" t="s">
        <v>898</v>
      </c>
      <c r="N101" s="332" t="str">
        <f t="shared" si="20"/>
        <v>Elopement</v>
      </c>
      <c r="O101" s="298">
        <v>1500</v>
      </c>
      <c r="P101" s="298"/>
      <c r="Q101" s="302">
        <f t="shared" si="21"/>
        <v>1500</v>
      </c>
      <c r="T101" s="329"/>
      <c r="Z101" s="3">
        <f t="shared" si="8"/>
        <v>3</v>
      </c>
    </row>
    <row r="102" spans="2:26" ht="15.75" customHeight="1">
      <c r="B102" s="287" t="s">
        <v>987</v>
      </c>
      <c r="C102" s="290"/>
      <c r="D102" s="289">
        <v>45843</v>
      </c>
      <c r="E102" s="330">
        <f t="shared" si="15"/>
        <v>45869</v>
      </c>
      <c r="F102" s="331">
        <f t="shared" si="16"/>
        <v>5</v>
      </c>
      <c r="G102" s="289">
        <v>45461</v>
      </c>
      <c r="H102" s="330">
        <f t="shared" si="17"/>
        <v>45473</v>
      </c>
      <c r="I102" s="331">
        <f t="shared" si="18"/>
        <v>2024</v>
      </c>
      <c r="J102" s="290">
        <f t="shared" si="19"/>
        <v>382</v>
      </c>
      <c r="K102" s="297"/>
      <c r="L102" s="297" t="s">
        <v>898</v>
      </c>
      <c r="N102" s="332" t="str">
        <f t="shared" si="20"/>
        <v>Chapel</v>
      </c>
      <c r="O102" s="298">
        <v>7500</v>
      </c>
      <c r="P102" s="298"/>
      <c r="Q102" s="302">
        <f t="shared" si="21"/>
        <v>7500</v>
      </c>
      <c r="T102" s="329"/>
      <c r="Z102" s="3">
        <f t="shared" si="8"/>
        <v>7</v>
      </c>
    </row>
    <row r="103" spans="2:26" ht="15.75" customHeight="1">
      <c r="B103" s="338" t="s">
        <v>988</v>
      </c>
      <c r="C103" s="290"/>
      <c r="D103" s="289">
        <v>45844</v>
      </c>
      <c r="E103" s="330">
        <f t="shared" si="15"/>
        <v>45869</v>
      </c>
      <c r="F103" s="331">
        <f t="shared" si="16"/>
        <v>5</v>
      </c>
      <c r="G103" s="289">
        <v>45518</v>
      </c>
      <c r="H103" s="330">
        <f t="shared" si="17"/>
        <v>45535</v>
      </c>
      <c r="I103" s="331">
        <f t="shared" si="18"/>
        <v>2024</v>
      </c>
      <c r="J103" s="290">
        <f t="shared" si="19"/>
        <v>326</v>
      </c>
      <c r="K103" s="297"/>
      <c r="L103" s="297" t="s">
        <v>898</v>
      </c>
      <c r="N103" s="332" t="str">
        <f t="shared" si="20"/>
        <v>Chapel</v>
      </c>
      <c r="O103" s="298">
        <v>7500</v>
      </c>
      <c r="P103" s="298"/>
      <c r="Q103" s="302">
        <f t="shared" si="21"/>
        <v>7500</v>
      </c>
      <c r="T103" s="329"/>
      <c r="Z103" s="3">
        <f t="shared" si="8"/>
        <v>1</v>
      </c>
    </row>
    <row r="104" spans="2:26" ht="15.75" customHeight="1">
      <c r="B104" s="287" t="s">
        <v>989</v>
      </c>
      <c r="C104" s="290"/>
      <c r="D104" s="289">
        <v>45846</v>
      </c>
      <c r="E104" s="330">
        <f t="shared" si="15"/>
        <v>45869</v>
      </c>
      <c r="F104" s="331">
        <f t="shared" si="16"/>
        <v>5</v>
      </c>
      <c r="G104" s="289">
        <v>45635</v>
      </c>
      <c r="H104" s="330">
        <f t="shared" si="17"/>
        <v>45657</v>
      </c>
      <c r="I104" s="331">
        <f t="shared" si="18"/>
        <v>2024</v>
      </c>
      <c r="J104" s="290">
        <f t="shared" si="19"/>
        <v>211</v>
      </c>
      <c r="K104" s="297"/>
      <c r="L104" s="297"/>
      <c r="M104" s="226" t="s">
        <v>898</v>
      </c>
      <c r="N104" s="332" t="str">
        <f t="shared" si="20"/>
        <v>Elopement</v>
      </c>
      <c r="O104" s="298">
        <v>1500</v>
      </c>
      <c r="P104" s="298"/>
      <c r="Q104" s="302">
        <f t="shared" si="21"/>
        <v>1500</v>
      </c>
      <c r="T104" s="329"/>
      <c r="Z104" s="3">
        <f t="shared" si="8"/>
        <v>3</v>
      </c>
    </row>
    <row r="105" spans="2:26" ht="15.75" customHeight="1">
      <c r="B105" s="287" t="s">
        <v>990</v>
      </c>
      <c r="C105" s="290"/>
      <c r="D105" s="289">
        <v>45849</v>
      </c>
      <c r="E105" s="330">
        <f t="shared" si="15"/>
        <v>45869</v>
      </c>
      <c r="F105" s="331">
        <f t="shared" si="16"/>
        <v>5</v>
      </c>
      <c r="G105" s="289">
        <v>45498</v>
      </c>
      <c r="H105" s="330">
        <f t="shared" si="17"/>
        <v>45504</v>
      </c>
      <c r="I105" s="331">
        <f t="shared" si="18"/>
        <v>2024</v>
      </c>
      <c r="J105" s="290">
        <f t="shared" si="19"/>
        <v>351</v>
      </c>
      <c r="K105" s="297"/>
      <c r="L105" s="297" t="s">
        <v>898</v>
      </c>
      <c r="N105" s="332" t="str">
        <f t="shared" si="20"/>
        <v>Chapel</v>
      </c>
      <c r="O105" s="298">
        <v>6500</v>
      </c>
      <c r="P105" s="298"/>
      <c r="Q105" s="302">
        <f t="shared" si="21"/>
        <v>6500</v>
      </c>
      <c r="T105" s="329"/>
      <c r="Z105" s="3">
        <f t="shared" si="8"/>
        <v>6</v>
      </c>
    </row>
    <row r="106" spans="2:26" ht="15.75" customHeight="1">
      <c r="B106" s="287" t="s">
        <v>991</v>
      </c>
      <c r="C106" s="290"/>
      <c r="D106" s="289">
        <v>45850</v>
      </c>
      <c r="E106" s="330">
        <f t="shared" si="15"/>
        <v>45869</v>
      </c>
      <c r="F106" s="331">
        <f t="shared" si="16"/>
        <v>5</v>
      </c>
      <c r="G106" s="289">
        <v>45363</v>
      </c>
      <c r="H106" s="330">
        <f t="shared" si="17"/>
        <v>45382</v>
      </c>
      <c r="I106" s="331">
        <f t="shared" si="18"/>
        <v>2024</v>
      </c>
      <c r="J106" s="290">
        <f t="shared" si="19"/>
        <v>487</v>
      </c>
      <c r="K106" s="297"/>
      <c r="L106" s="297" t="s">
        <v>898</v>
      </c>
      <c r="N106" s="332" t="str">
        <f t="shared" si="20"/>
        <v>Chapel</v>
      </c>
      <c r="O106" s="298">
        <v>7500</v>
      </c>
      <c r="P106" s="298"/>
      <c r="Q106" s="302">
        <f t="shared" si="21"/>
        <v>7500</v>
      </c>
      <c r="T106" s="329"/>
      <c r="Z106" s="3">
        <f t="shared" si="8"/>
        <v>7</v>
      </c>
    </row>
    <row r="107" spans="2:26" ht="15.75" customHeight="1">
      <c r="B107" s="338" t="s">
        <v>992</v>
      </c>
      <c r="C107" s="290"/>
      <c r="D107" s="330">
        <v>45853</v>
      </c>
      <c r="E107" s="330">
        <f t="shared" si="15"/>
        <v>45869</v>
      </c>
      <c r="F107" s="331">
        <f t="shared" si="16"/>
        <v>5</v>
      </c>
      <c r="G107" s="330">
        <v>45687</v>
      </c>
      <c r="H107" s="330">
        <f t="shared" si="17"/>
        <v>45688</v>
      </c>
      <c r="I107" s="331">
        <f t="shared" si="18"/>
        <v>2025</v>
      </c>
      <c r="J107" s="290">
        <f t="shared" si="19"/>
        <v>166</v>
      </c>
      <c r="K107" s="290"/>
      <c r="L107" s="332"/>
      <c r="M107" s="332" t="s">
        <v>898</v>
      </c>
      <c r="N107" s="332" t="str">
        <f t="shared" si="20"/>
        <v>Elopement</v>
      </c>
      <c r="O107" s="333">
        <v>1500</v>
      </c>
      <c r="P107" s="333"/>
      <c r="Q107" s="302">
        <f t="shared" si="21"/>
        <v>1500</v>
      </c>
      <c r="T107" s="334"/>
      <c r="Z107" s="3">
        <f t="shared" si="8"/>
        <v>3</v>
      </c>
    </row>
    <row r="108" spans="2:26" ht="15.75" customHeight="1">
      <c r="B108" s="240" t="s">
        <v>993</v>
      </c>
      <c r="C108" s="290"/>
      <c r="D108" s="289">
        <v>45853</v>
      </c>
      <c r="E108" s="330">
        <f t="shared" si="15"/>
        <v>45869</v>
      </c>
      <c r="F108" s="331">
        <f t="shared" si="16"/>
        <v>5</v>
      </c>
      <c r="G108" s="289">
        <v>45698</v>
      </c>
      <c r="H108" s="330">
        <f t="shared" si="17"/>
        <v>45716</v>
      </c>
      <c r="I108" s="331">
        <f t="shared" si="18"/>
        <v>2025</v>
      </c>
      <c r="J108" s="290">
        <f t="shared" si="19"/>
        <v>155</v>
      </c>
      <c r="K108" s="297"/>
      <c r="L108" s="297"/>
      <c r="M108" s="226" t="s">
        <v>898</v>
      </c>
      <c r="N108" s="332" t="str">
        <f t="shared" si="20"/>
        <v>Elopement</v>
      </c>
      <c r="O108" s="298">
        <v>1500</v>
      </c>
      <c r="P108" s="298"/>
      <c r="Q108" s="302">
        <f t="shared" si="21"/>
        <v>1500</v>
      </c>
      <c r="T108" s="329"/>
      <c r="Z108" s="3">
        <f t="shared" si="8"/>
        <v>3</v>
      </c>
    </row>
    <row r="109" spans="2:26" ht="15.75" customHeight="1">
      <c r="B109" s="287" t="s">
        <v>994</v>
      </c>
      <c r="C109" s="290"/>
      <c r="D109" s="289">
        <v>45857</v>
      </c>
      <c r="E109" s="330">
        <f t="shared" si="15"/>
        <v>45869</v>
      </c>
      <c r="F109" s="331">
        <f t="shared" si="16"/>
        <v>5</v>
      </c>
      <c r="G109" s="289">
        <v>45452</v>
      </c>
      <c r="H109" s="330">
        <f t="shared" si="17"/>
        <v>45473</v>
      </c>
      <c r="I109" s="331">
        <f t="shared" si="18"/>
        <v>2024</v>
      </c>
      <c r="J109" s="290">
        <f t="shared" si="19"/>
        <v>405</v>
      </c>
      <c r="K109" s="297"/>
      <c r="L109" s="297" t="s">
        <v>898</v>
      </c>
      <c r="N109" s="332" t="str">
        <f t="shared" si="20"/>
        <v>Chapel</v>
      </c>
      <c r="O109" s="298">
        <v>7500</v>
      </c>
      <c r="P109" s="298"/>
      <c r="Q109" s="302">
        <f t="shared" si="21"/>
        <v>7500</v>
      </c>
      <c r="T109" s="329"/>
      <c r="Z109" s="3">
        <f t="shared" si="8"/>
        <v>7</v>
      </c>
    </row>
    <row r="110" spans="2:26" ht="15.75" customHeight="1">
      <c r="B110" s="338" t="s">
        <v>995</v>
      </c>
      <c r="C110" s="290"/>
      <c r="D110" s="289">
        <v>45858</v>
      </c>
      <c r="E110" s="330">
        <f t="shared" si="15"/>
        <v>45869</v>
      </c>
      <c r="F110" s="331">
        <f t="shared" si="16"/>
        <v>5</v>
      </c>
      <c r="G110" s="289">
        <v>45582</v>
      </c>
      <c r="H110" s="330">
        <f t="shared" si="17"/>
        <v>45596</v>
      </c>
      <c r="I110" s="331">
        <f t="shared" si="18"/>
        <v>2024</v>
      </c>
      <c r="J110" s="290">
        <f t="shared" si="19"/>
        <v>276</v>
      </c>
      <c r="K110" s="297"/>
      <c r="L110" s="297" t="s">
        <v>898</v>
      </c>
      <c r="M110" s="226"/>
      <c r="N110" s="332" t="str">
        <f t="shared" si="20"/>
        <v>Chapel</v>
      </c>
      <c r="O110" s="298">
        <v>7500</v>
      </c>
      <c r="P110" s="298"/>
      <c r="Q110" s="302">
        <f t="shared" si="21"/>
        <v>7500</v>
      </c>
      <c r="T110" s="329"/>
      <c r="Z110" s="3">
        <f t="shared" si="8"/>
        <v>1</v>
      </c>
    </row>
    <row r="111" spans="2:26" ht="15.75" customHeight="1">
      <c r="B111" s="340" t="s">
        <v>580</v>
      </c>
      <c r="C111" s="290"/>
      <c r="D111" s="289">
        <v>45860</v>
      </c>
      <c r="E111" s="330">
        <f t="shared" si="15"/>
        <v>45869</v>
      </c>
      <c r="F111" s="331">
        <f t="shared" si="16"/>
        <v>5</v>
      </c>
      <c r="G111" s="289">
        <v>45646</v>
      </c>
      <c r="H111" s="330">
        <f t="shared" si="17"/>
        <v>45657</v>
      </c>
      <c r="I111" s="331">
        <f t="shared" si="18"/>
        <v>2024</v>
      </c>
      <c r="J111" s="290">
        <f t="shared" si="19"/>
        <v>214</v>
      </c>
      <c r="K111" s="297"/>
      <c r="L111" s="297"/>
      <c r="M111" s="226" t="s">
        <v>898</v>
      </c>
      <c r="N111" s="332" t="str">
        <f t="shared" si="20"/>
        <v>Elopement</v>
      </c>
      <c r="O111" s="298">
        <v>1500</v>
      </c>
      <c r="P111" s="294"/>
      <c r="Q111" s="302">
        <f t="shared" si="21"/>
        <v>1500</v>
      </c>
      <c r="T111" s="339">
        <v>550</v>
      </c>
      <c r="Z111" s="3">
        <f t="shared" si="8"/>
        <v>3</v>
      </c>
    </row>
    <row r="112" spans="2:26" ht="15.75" customHeight="1">
      <c r="B112" s="340" t="s">
        <v>996</v>
      </c>
      <c r="C112" s="290"/>
      <c r="D112" s="289">
        <v>45863</v>
      </c>
      <c r="E112" s="330">
        <f t="shared" si="15"/>
        <v>45869</v>
      </c>
      <c r="F112" s="331">
        <f t="shared" si="16"/>
        <v>5</v>
      </c>
      <c r="G112" s="289">
        <v>45499</v>
      </c>
      <c r="H112" s="330">
        <f t="shared" si="17"/>
        <v>45504</v>
      </c>
      <c r="I112" s="331">
        <f t="shared" si="18"/>
        <v>2024</v>
      </c>
      <c r="J112" s="290">
        <f t="shared" si="19"/>
        <v>364</v>
      </c>
      <c r="K112" s="297"/>
      <c r="L112" s="297" t="s">
        <v>898</v>
      </c>
      <c r="M112" s="226"/>
      <c r="N112" s="332" t="str">
        <f t="shared" si="20"/>
        <v>Chapel</v>
      </c>
      <c r="O112" s="298">
        <v>8000</v>
      </c>
      <c r="P112" s="298"/>
      <c r="Q112" s="302">
        <f t="shared" si="21"/>
        <v>8000</v>
      </c>
      <c r="T112" s="329"/>
      <c r="Z112" s="3">
        <f t="shared" si="8"/>
        <v>6</v>
      </c>
    </row>
    <row r="113" spans="2:26" ht="15.75" customHeight="1">
      <c r="B113" s="287" t="s">
        <v>997</v>
      </c>
      <c r="C113" s="290"/>
      <c r="D113" s="289">
        <v>45864</v>
      </c>
      <c r="E113" s="330">
        <f t="shared" si="15"/>
        <v>45869</v>
      </c>
      <c r="F113" s="331">
        <f t="shared" si="16"/>
        <v>5</v>
      </c>
      <c r="G113" s="289">
        <v>45461</v>
      </c>
      <c r="H113" s="330">
        <f t="shared" si="17"/>
        <v>45473</v>
      </c>
      <c r="I113" s="331">
        <f t="shared" si="18"/>
        <v>2024</v>
      </c>
      <c r="J113" s="290">
        <f t="shared" si="19"/>
        <v>403</v>
      </c>
      <c r="K113" s="297"/>
      <c r="L113" s="297" t="s">
        <v>898</v>
      </c>
      <c r="M113" s="226"/>
      <c r="N113" s="332" t="str">
        <f t="shared" si="20"/>
        <v>Chapel</v>
      </c>
      <c r="O113" s="298">
        <v>7500</v>
      </c>
      <c r="P113" s="298"/>
      <c r="Q113" s="302">
        <f t="shared" si="21"/>
        <v>7500</v>
      </c>
      <c r="T113" s="329"/>
      <c r="Z113" s="3">
        <f t="shared" si="8"/>
        <v>7</v>
      </c>
    </row>
    <row r="114" spans="2:26" ht="15.75" customHeight="1">
      <c r="B114" s="287" t="s">
        <v>998</v>
      </c>
      <c r="C114" s="290"/>
      <c r="D114" s="289">
        <v>45867</v>
      </c>
      <c r="E114" s="330">
        <f t="shared" si="15"/>
        <v>45869</v>
      </c>
      <c r="F114" s="331">
        <f t="shared" si="16"/>
        <v>5</v>
      </c>
      <c r="G114" s="289">
        <v>45761</v>
      </c>
      <c r="H114" s="330">
        <f t="shared" si="17"/>
        <v>45777</v>
      </c>
      <c r="I114" s="331">
        <f t="shared" si="18"/>
        <v>2025</v>
      </c>
      <c r="J114" s="290">
        <f t="shared" si="19"/>
        <v>106</v>
      </c>
      <c r="K114" s="297"/>
      <c r="L114" s="297"/>
      <c r="M114" s="226" t="s">
        <v>898</v>
      </c>
      <c r="N114" s="332" t="str">
        <f t="shared" si="20"/>
        <v>Elopement</v>
      </c>
      <c r="O114" s="298">
        <v>1500</v>
      </c>
      <c r="P114" s="298"/>
      <c r="Q114" s="302">
        <f t="shared" si="21"/>
        <v>1500</v>
      </c>
      <c r="T114" s="329"/>
      <c r="Z114" s="3">
        <f t="shared" si="8"/>
        <v>3</v>
      </c>
    </row>
    <row r="115" spans="2:26" ht="15.75" customHeight="1">
      <c r="B115" s="287" t="s">
        <v>999</v>
      </c>
      <c r="C115" s="290"/>
      <c r="D115" s="289">
        <v>45870</v>
      </c>
      <c r="E115" s="330">
        <f t="shared" si="15"/>
        <v>45900</v>
      </c>
      <c r="F115" s="331">
        <f t="shared" si="16"/>
        <v>1</v>
      </c>
      <c r="G115" s="289">
        <v>45566</v>
      </c>
      <c r="H115" s="330">
        <f t="shared" si="17"/>
        <v>45596</v>
      </c>
      <c r="I115" s="331">
        <f t="shared" si="18"/>
        <v>2024</v>
      </c>
      <c r="J115" s="290">
        <f t="shared" si="19"/>
        <v>304</v>
      </c>
      <c r="K115" s="297"/>
      <c r="L115" s="297" t="s">
        <v>898</v>
      </c>
      <c r="M115" s="226"/>
      <c r="N115" s="332" t="str">
        <f t="shared" si="20"/>
        <v>Chapel</v>
      </c>
      <c r="O115" s="298">
        <v>6500</v>
      </c>
      <c r="P115" s="298"/>
      <c r="Q115" s="302">
        <f t="shared" si="21"/>
        <v>6500</v>
      </c>
      <c r="T115" s="329"/>
      <c r="Z115" s="3">
        <f t="shared" si="8"/>
        <v>6</v>
      </c>
    </row>
    <row r="116" spans="2:26" ht="15.75" customHeight="1">
      <c r="B116" s="287" t="s">
        <v>1000</v>
      </c>
      <c r="C116" s="290"/>
      <c r="D116" s="289">
        <v>45871</v>
      </c>
      <c r="E116" s="330">
        <f t="shared" si="15"/>
        <v>45900</v>
      </c>
      <c r="F116" s="331">
        <f t="shared" si="16"/>
        <v>1</v>
      </c>
      <c r="G116" s="289">
        <v>45487</v>
      </c>
      <c r="H116" s="330">
        <f t="shared" si="17"/>
        <v>45504</v>
      </c>
      <c r="I116" s="331">
        <f t="shared" si="18"/>
        <v>2024</v>
      </c>
      <c r="J116" s="290">
        <f t="shared" si="19"/>
        <v>384</v>
      </c>
      <c r="K116" s="297"/>
      <c r="L116" s="297" t="s">
        <v>898</v>
      </c>
      <c r="M116" s="226"/>
      <c r="N116" s="332" t="str">
        <f t="shared" si="20"/>
        <v>Chapel</v>
      </c>
      <c r="O116" s="298">
        <v>7500</v>
      </c>
      <c r="P116" s="298"/>
      <c r="Q116" s="302">
        <f t="shared" si="21"/>
        <v>7500</v>
      </c>
      <c r="T116" s="329"/>
      <c r="Z116" s="3">
        <f t="shared" si="8"/>
        <v>7</v>
      </c>
    </row>
    <row r="117" spans="2:26" ht="15.75" customHeight="1">
      <c r="B117" s="287" t="s">
        <v>1001</v>
      </c>
      <c r="C117" s="290"/>
      <c r="D117" s="289">
        <v>45874</v>
      </c>
      <c r="E117" s="330">
        <f t="shared" si="15"/>
        <v>45900</v>
      </c>
      <c r="F117" s="331">
        <f t="shared" si="16"/>
        <v>1</v>
      </c>
      <c r="G117" s="289">
        <v>45471</v>
      </c>
      <c r="H117" s="330">
        <f t="shared" si="17"/>
        <v>45473</v>
      </c>
      <c r="I117" s="331">
        <f t="shared" si="18"/>
        <v>2024</v>
      </c>
      <c r="J117" s="290">
        <f t="shared" si="19"/>
        <v>403</v>
      </c>
      <c r="K117" s="297"/>
      <c r="L117" s="297"/>
      <c r="M117" s="226" t="s">
        <v>898</v>
      </c>
      <c r="N117" s="332" t="str">
        <f t="shared" si="20"/>
        <v>Elopement</v>
      </c>
      <c r="O117" s="298">
        <v>1500</v>
      </c>
      <c r="P117" s="298"/>
      <c r="Q117" s="302">
        <f t="shared" si="21"/>
        <v>1500</v>
      </c>
      <c r="T117" s="329"/>
      <c r="Z117" s="3">
        <f t="shared" si="8"/>
        <v>3</v>
      </c>
    </row>
    <row r="118" spans="2:26" ht="15.75" customHeight="1">
      <c r="B118" s="240" t="s">
        <v>1002</v>
      </c>
      <c r="C118" s="290"/>
      <c r="D118" s="289">
        <v>45878</v>
      </c>
      <c r="E118" s="330">
        <f t="shared" si="15"/>
        <v>45900</v>
      </c>
      <c r="F118" s="331">
        <f t="shared" si="16"/>
        <v>1</v>
      </c>
      <c r="G118" s="289">
        <v>45546</v>
      </c>
      <c r="H118" s="330">
        <f t="shared" si="17"/>
        <v>45565</v>
      </c>
      <c r="I118" s="331">
        <f t="shared" si="18"/>
        <v>2024</v>
      </c>
      <c r="J118" s="290">
        <f t="shared" si="19"/>
        <v>332</v>
      </c>
      <c r="K118" s="297"/>
      <c r="L118" s="297" t="s">
        <v>898</v>
      </c>
      <c r="N118" s="332" t="str">
        <f t="shared" si="20"/>
        <v>Chapel</v>
      </c>
      <c r="O118" s="298">
        <v>7500</v>
      </c>
      <c r="P118" s="298"/>
      <c r="Q118" s="302">
        <f t="shared" si="21"/>
        <v>7500</v>
      </c>
      <c r="T118" s="329"/>
      <c r="Z118" s="3">
        <f t="shared" si="8"/>
        <v>7</v>
      </c>
    </row>
    <row r="119" spans="2:26" ht="15.75" customHeight="1">
      <c r="B119" s="338" t="s">
        <v>1003</v>
      </c>
      <c r="C119" s="290"/>
      <c r="D119" s="289">
        <v>45884</v>
      </c>
      <c r="E119" s="330">
        <f t="shared" si="15"/>
        <v>45900</v>
      </c>
      <c r="F119" s="331">
        <f t="shared" si="16"/>
        <v>1</v>
      </c>
      <c r="G119" s="289">
        <v>45583</v>
      </c>
      <c r="H119" s="330">
        <f t="shared" si="17"/>
        <v>45596</v>
      </c>
      <c r="I119" s="331">
        <f t="shared" si="18"/>
        <v>2024</v>
      </c>
      <c r="J119" s="290">
        <f t="shared" si="19"/>
        <v>301</v>
      </c>
      <c r="K119" s="297"/>
      <c r="L119" s="297" t="s">
        <v>898</v>
      </c>
      <c r="N119" s="332" t="str">
        <f t="shared" si="20"/>
        <v>Chapel</v>
      </c>
      <c r="O119" s="298">
        <v>6500</v>
      </c>
      <c r="P119" s="298"/>
      <c r="Q119" s="302">
        <f t="shared" si="21"/>
        <v>6500</v>
      </c>
      <c r="T119" s="329"/>
      <c r="Z119" s="3">
        <f t="shared" si="8"/>
        <v>6</v>
      </c>
    </row>
    <row r="120" spans="2:26" ht="15.75" customHeight="1">
      <c r="B120" s="240" t="s">
        <v>1004</v>
      </c>
      <c r="C120" s="290"/>
      <c r="D120" s="289">
        <v>45885</v>
      </c>
      <c r="E120" s="330">
        <f t="shared" si="15"/>
        <v>45900</v>
      </c>
      <c r="F120" s="331">
        <f t="shared" si="16"/>
        <v>1</v>
      </c>
      <c r="G120" s="289">
        <v>45548</v>
      </c>
      <c r="H120" s="330">
        <f t="shared" si="17"/>
        <v>45565</v>
      </c>
      <c r="I120" s="331">
        <f t="shared" si="18"/>
        <v>2024</v>
      </c>
      <c r="J120" s="290">
        <f t="shared" si="19"/>
        <v>337</v>
      </c>
      <c r="K120" s="297"/>
      <c r="L120" s="297" t="s">
        <v>898</v>
      </c>
      <c r="N120" s="332" t="str">
        <f t="shared" si="20"/>
        <v>Chapel</v>
      </c>
      <c r="O120" s="298">
        <v>7500</v>
      </c>
      <c r="P120" s="298"/>
      <c r="Q120" s="302">
        <f t="shared" si="21"/>
        <v>7500</v>
      </c>
      <c r="T120" s="329"/>
      <c r="Z120" s="3">
        <f t="shared" si="8"/>
        <v>7</v>
      </c>
    </row>
    <row r="121" spans="2:26" ht="15.75" customHeight="1">
      <c r="B121" s="240" t="s">
        <v>1005</v>
      </c>
      <c r="C121" s="290"/>
      <c r="D121" s="289">
        <v>45888</v>
      </c>
      <c r="E121" s="330">
        <f t="shared" si="15"/>
        <v>45900</v>
      </c>
      <c r="F121" s="331">
        <f t="shared" si="16"/>
        <v>1</v>
      </c>
      <c r="G121" s="289">
        <v>45679</v>
      </c>
      <c r="H121" s="330">
        <f t="shared" si="17"/>
        <v>45688</v>
      </c>
      <c r="I121" s="331">
        <f t="shared" si="18"/>
        <v>2025</v>
      </c>
      <c r="J121" s="290">
        <f t="shared" si="19"/>
        <v>209</v>
      </c>
      <c r="K121" s="297"/>
      <c r="L121" s="297"/>
      <c r="M121" s="226" t="s">
        <v>898</v>
      </c>
      <c r="N121" s="332" t="str">
        <f t="shared" si="20"/>
        <v>Elopement</v>
      </c>
      <c r="O121" s="298">
        <v>1500</v>
      </c>
      <c r="P121" s="298"/>
      <c r="Q121" s="302">
        <f t="shared" si="21"/>
        <v>1500</v>
      </c>
      <c r="T121" s="329"/>
      <c r="Z121" s="3">
        <f t="shared" si="8"/>
        <v>3</v>
      </c>
    </row>
    <row r="122" spans="2:26" ht="15.75" customHeight="1">
      <c r="B122" s="240" t="s">
        <v>1006</v>
      </c>
      <c r="C122" s="290"/>
      <c r="D122" s="289">
        <v>45891</v>
      </c>
      <c r="E122" s="330">
        <f t="shared" si="15"/>
        <v>45900</v>
      </c>
      <c r="F122" s="331">
        <f t="shared" si="16"/>
        <v>1</v>
      </c>
      <c r="G122" s="289">
        <v>45552</v>
      </c>
      <c r="H122" s="330">
        <f t="shared" si="17"/>
        <v>45565</v>
      </c>
      <c r="I122" s="331">
        <f t="shared" si="18"/>
        <v>2024</v>
      </c>
      <c r="J122" s="290">
        <f t="shared" si="19"/>
        <v>339</v>
      </c>
      <c r="K122" s="297"/>
      <c r="L122" s="297" t="s">
        <v>898</v>
      </c>
      <c r="N122" s="332" t="str">
        <f t="shared" si="20"/>
        <v>Chapel</v>
      </c>
      <c r="O122" s="298">
        <v>6500</v>
      </c>
      <c r="P122" s="298"/>
      <c r="Q122" s="302">
        <f t="shared" si="21"/>
        <v>6500</v>
      </c>
      <c r="T122" s="329"/>
      <c r="Z122" s="3">
        <f t="shared" si="8"/>
        <v>6</v>
      </c>
    </row>
    <row r="123" spans="2:26" ht="15.75" customHeight="1">
      <c r="B123" s="240" t="s">
        <v>1007</v>
      </c>
      <c r="C123" s="290"/>
      <c r="D123" s="289">
        <v>45892</v>
      </c>
      <c r="E123" s="330">
        <f t="shared" si="15"/>
        <v>45900</v>
      </c>
      <c r="F123" s="331">
        <f t="shared" si="16"/>
        <v>1</v>
      </c>
      <c r="G123" s="289">
        <v>45539</v>
      </c>
      <c r="H123" s="330">
        <f t="shared" si="17"/>
        <v>45565</v>
      </c>
      <c r="I123" s="331">
        <f t="shared" si="18"/>
        <v>2024</v>
      </c>
      <c r="J123" s="290">
        <f t="shared" si="19"/>
        <v>353</v>
      </c>
      <c r="K123" s="297"/>
      <c r="L123" s="297" t="s">
        <v>898</v>
      </c>
      <c r="N123" s="332" t="str">
        <f t="shared" si="20"/>
        <v>Chapel</v>
      </c>
      <c r="O123" s="298">
        <v>7500</v>
      </c>
      <c r="P123" s="298"/>
      <c r="Q123" s="302">
        <f t="shared" si="21"/>
        <v>7500</v>
      </c>
      <c r="T123" s="329"/>
      <c r="Z123" s="3">
        <f t="shared" si="8"/>
        <v>7</v>
      </c>
    </row>
    <row r="124" spans="2:26" ht="15.75" customHeight="1">
      <c r="B124" s="338" t="s">
        <v>1008</v>
      </c>
      <c r="C124" s="290"/>
      <c r="D124" s="289">
        <v>45895</v>
      </c>
      <c r="E124" s="330">
        <f t="shared" si="15"/>
        <v>45900</v>
      </c>
      <c r="F124" s="331">
        <f t="shared" si="16"/>
        <v>1</v>
      </c>
      <c r="G124" s="289">
        <v>45820</v>
      </c>
      <c r="H124" s="330">
        <f t="shared" si="17"/>
        <v>45838</v>
      </c>
      <c r="I124" s="331">
        <f t="shared" si="18"/>
        <v>2025</v>
      </c>
      <c r="J124" s="290">
        <f t="shared" si="19"/>
        <v>75</v>
      </c>
      <c r="K124" s="297"/>
      <c r="L124" s="297"/>
      <c r="M124" s="226" t="s">
        <v>898</v>
      </c>
      <c r="N124" s="332" t="str">
        <f t="shared" si="20"/>
        <v>Elopement</v>
      </c>
      <c r="O124" s="298">
        <v>1500</v>
      </c>
      <c r="P124" s="298"/>
      <c r="Q124" s="302">
        <f t="shared" si="21"/>
        <v>1500</v>
      </c>
      <c r="T124" s="329"/>
      <c r="Z124" s="3">
        <f t="shared" si="8"/>
        <v>3</v>
      </c>
    </row>
    <row r="125" spans="2:26" ht="15.75" customHeight="1">
      <c r="B125" s="338" t="s">
        <v>1009</v>
      </c>
      <c r="C125" s="290"/>
      <c r="D125" s="289">
        <v>45898</v>
      </c>
      <c r="E125" s="330">
        <f t="shared" si="15"/>
        <v>45900</v>
      </c>
      <c r="F125" s="331">
        <f t="shared" si="16"/>
        <v>1</v>
      </c>
      <c r="G125" s="289">
        <v>45562</v>
      </c>
      <c r="H125" s="330">
        <f t="shared" si="17"/>
        <v>45565</v>
      </c>
      <c r="I125" s="331">
        <f t="shared" si="18"/>
        <v>2024</v>
      </c>
      <c r="J125" s="290">
        <f t="shared" si="19"/>
        <v>336</v>
      </c>
      <c r="K125" s="297"/>
      <c r="L125" s="297" t="s">
        <v>898</v>
      </c>
      <c r="N125" s="332" t="str">
        <f t="shared" si="20"/>
        <v>Chapel</v>
      </c>
      <c r="O125" s="298">
        <v>8000</v>
      </c>
      <c r="P125" s="298"/>
      <c r="Q125" s="302">
        <f t="shared" si="21"/>
        <v>8000</v>
      </c>
      <c r="T125" s="329"/>
      <c r="Z125" s="3">
        <f t="shared" si="8"/>
        <v>6</v>
      </c>
    </row>
    <row r="126" spans="2:26" ht="15.75" customHeight="1">
      <c r="B126" s="287" t="s">
        <v>582</v>
      </c>
      <c r="C126" s="290"/>
      <c r="D126" s="289">
        <v>45899</v>
      </c>
      <c r="E126" s="330">
        <f t="shared" si="15"/>
        <v>45900</v>
      </c>
      <c r="F126" s="331">
        <f t="shared" si="16"/>
        <v>1</v>
      </c>
      <c r="G126" s="289">
        <v>45492</v>
      </c>
      <c r="H126" s="330">
        <f t="shared" si="17"/>
        <v>45504</v>
      </c>
      <c r="I126" s="331">
        <f t="shared" si="18"/>
        <v>2024</v>
      </c>
      <c r="J126" s="290">
        <f t="shared" si="19"/>
        <v>407</v>
      </c>
      <c r="K126" s="297"/>
      <c r="L126" s="297" t="s">
        <v>898</v>
      </c>
      <c r="N126" s="332" t="str">
        <f t="shared" si="20"/>
        <v>Chapel</v>
      </c>
      <c r="O126" s="298">
        <v>7500</v>
      </c>
      <c r="P126" s="294"/>
      <c r="Q126" s="302">
        <f t="shared" si="21"/>
        <v>7500</v>
      </c>
      <c r="T126" s="339">
        <v>2002</v>
      </c>
      <c r="Z126" s="3">
        <f t="shared" si="8"/>
        <v>7</v>
      </c>
    </row>
    <row r="127" spans="2:26" ht="15.75" customHeight="1">
      <c r="B127" s="287" t="s">
        <v>1010</v>
      </c>
      <c r="C127" s="290"/>
      <c r="D127" s="289">
        <v>45900</v>
      </c>
      <c r="E127" s="330">
        <f t="shared" si="15"/>
        <v>45900</v>
      </c>
      <c r="F127" s="331">
        <f t="shared" si="16"/>
        <v>1</v>
      </c>
      <c r="G127" s="289">
        <v>45436</v>
      </c>
      <c r="H127" s="330">
        <f t="shared" si="17"/>
        <v>45443</v>
      </c>
      <c r="I127" s="331">
        <f t="shared" si="18"/>
        <v>2024</v>
      </c>
      <c r="J127" s="290">
        <f t="shared" si="19"/>
        <v>464</v>
      </c>
      <c r="K127" s="297"/>
      <c r="L127" s="297" t="s">
        <v>898</v>
      </c>
      <c r="N127" s="332" t="str">
        <f t="shared" si="20"/>
        <v>Chapel</v>
      </c>
      <c r="O127" s="298">
        <v>7500</v>
      </c>
      <c r="P127" s="298"/>
      <c r="Q127" s="302">
        <f t="shared" si="21"/>
        <v>7500</v>
      </c>
      <c r="T127" s="329"/>
      <c r="Z127" s="3">
        <f t="shared" si="8"/>
        <v>1</v>
      </c>
    </row>
    <row r="128" spans="2:26" ht="15.75" customHeight="1">
      <c r="B128" s="287" t="s">
        <v>1011</v>
      </c>
      <c r="C128" s="290"/>
      <c r="D128" s="289">
        <v>45902</v>
      </c>
      <c r="E128" s="330">
        <f t="shared" si="15"/>
        <v>45930</v>
      </c>
      <c r="F128" s="331">
        <f t="shared" si="16"/>
        <v>3</v>
      </c>
      <c r="G128" s="289">
        <v>45666</v>
      </c>
      <c r="H128" s="330">
        <f t="shared" si="17"/>
        <v>45688</v>
      </c>
      <c r="I128" s="331">
        <f t="shared" si="18"/>
        <v>2025</v>
      </c>
      <c r="J128" s="290">
        <f t="shared" si="19"/>
        <v>236</v>
      </c>
      <c r="K128" s="297"/>
      <c r="L128" s="297"/>
      <c r="M128" s="226" t="s">
        <v>898</v>
      </c>
      <c r="N128" s="332" t="str">
        <f t="shared" si="20"/>
        <v>Elopement</v>
      </c>
      <c r="O128" s="298">
        <v>1500</v>
      </c>
      <c r="P128" s="298"/>
      <c r="Q128" s="302">
        <f t="shared" si="21"/>
        <v>1500</v>
      </c>
      <c r="T128" s="329"/>
      <c r="Z128" s="3">
        <f t="shared" si="8"/>
        <v>3</v>
      </c>
    </row>
    <row r="129" spans="2:26" ht="15.75" customHeight="1">
      <c r="B129" s="287" t="s">
        <v>1012</v>
      </c>
      <c r="C129" s="290"/>
      <c r="D129" s="289">
        <v>45905</v>
      </c>
      <c r="E129" s="330">
        <f t="shared" si="15"/>
        <v>45930</v>
      </c>
      <c r="F129" s="331">
        <f t="shared" si="16"/>
        <v>3</v>
      </c>
      <c r="G129" s="289">
        <v>45327</v>
      </c>
      <c r="H129" s="330">
        <f t="shared" si="17"/>
        <v>45351</v>
      </c>
      <c r="I129" s="331">
        <f t="shared" si="18"/>
        <v>2024</v>
      </c>
      <c r="J129" s="290">
        <f t="shared" si="19"/>
        <v>578</v>
      </c>
      <c r="K129" s="297"/>
      <c r="L129" s="297" t="s">
        <v>898</v>
      </c>
      <c r="N129" s="332" t="str">
        <f t="shared" si="20"/>
        <v>Chapel</v>
      </c>
      <c r="O129" s="298">
        <v>6500</v>
      </c>
      <c r="P129" s="298"/>
      <c r="Q129" s="302">
        <f t="shared" si="21"/>
        <v>6500</v>
      </c>
      <c r="T129" s="329"/>
      <c r="Z129" s="3">
        <f t="shared" si="8"/>
        <v>6</v>
      </c>
    </row>
    <row r="130" spans="2:26" ht="15.75" customHeight="1">
      <c r="B130" s="338" t="s">
        <v>584</v>
      </c>
      <c r="C130" s="290"/>
      <c r="D130" s="289">
        <v>45906</v>
      </c>
      <c r="E130" s="330">
        <f t="shared" si="15"/>
        <v>45930</v>
      </c>
      <c r="F130" s="331">
        <f t="shared" si="16"/>
        <v>3</v>
      </c>
      <c r="G130" s="289">
        <v>45679</v>
      </c>
      <c r="H130" s="330">
        <f t="shared" si="17"/>
        <v>45688</v>
      </c>
      <c r="I130" s="331">
        <f t="shared" si="18"/>
        <v>2025</v>
      </c>
      <c r="J130" s="290">
        <f t="shared" si="19"/>
        <v>227</v>
      </c>
      <c r="K130" s="297"/>
      <c r="L130" s="297" t="s">
        <v>898</v>
      </c>
      <c r="N130" s="332" t="str">
        <f t="shared" si="20"/>
        <v>Chapel</v>
      </c>
      <c r="O130" s="298">
        <v>8000</v>
      </c>
      <c r="P130" s="294"/>
      <c r="Q130" s="302">
        <f t="shared" si="21"/>
        <v>8000</v>
      </c>
      <c r="T130" s="339">
        <v>200</v>
      </c>
      <c r="Z130" s="3">
        <f t="shared" si="8"/>
        <v>7</v>
      </c>
    </row>
    <row r="131" spans="2:26" ht="15.75" customHeight="1">
      <c r="B131" s="338" t="s">
        <v>1013</v>
      </c>
      <c r="C131" s="290"/>
      <c r="D131" s="289">
        <v>45907</v>
      </c>
      <c r="E131" s="330">
        <f t="shared" si="15"/>
        <v>45930</v>
      </c>
      <c r="F131" s="331">
        <f t="shared" si="16"/>
        <v>3</v>
      </c>
      <c r="G131" s="289">
        <v>45562</v>
      </c>
      <c r="H131" s="330">
        <f t="shared" si="17"/>
        <v>45565</v>
      </c>
      <c r="I131" s="331">
        <f t="shared" si="18"/>
        <v>2024</v>
      </c>
      <c r="J131" s="290">
        <f t="shared" si="19"/>
        <v>345</v>
      </c>
      <c r="K131" s="297"/>
      <c r="L131" s="297" t="s">
        <v>898</v>
      </c>
      <c r="N131" s="332" t="str">
        <f t="shared" si="20"/>
        <v>Chapel</v>
      </c>
      <c r="O131" s="298">
        <v>7500</v>
      </c>
      <c r="P131" s="298"/>
      <c r="Q131" s="302">
        <f t="shared" si="21"/>
        <v>7500</v>
      </c>
      <c r="T131" s="329"/>
      <c r="Z131" s="3">
        <f t="shared" si="8"/>
        <v>1</v>
      </c>
    </row>
    <row r="132" spans="2:26" ht="15.75" customHeight="1">
      <c r="B132" s="287" t="s">
        <v>1014</v>
      </c>
      <c r="C132" s="290"/>
      <c r="D132" s="289">
        <v>45909</v>
      </c>
      <c r="E132" s="330">
        <f t="shared" si="15"/>
        <v>45930</v>
      </c>
      <c r="F132" s="331">
        <f t="shared" si="16"/>
        <v>3</v>
      </c>
      <c r="G132" s="289">
        <v>45845</v>
      </c>
      <c r="H132" s="330">
        <f t="shared" si="17"/>
        <v>45869</v>
      </c>
      <c r="I132" s="331">
        <f t="shared" si="18"/>
        <v>2025</v>
      </c>
      <c r="J132" s="290">
        <f t="shared" si="19"/>
        <v>64</v>
      </c>
      <c r="K132" s="297"/>
      <c r="L132" s="297"/>
      <c r="M132" s="226" t="s">
        <v>898</v>
      </c>
      <c r="N132" s="332" t="str">
        <f t="shared" si="20"/>
        <v>Elopement</v>
      </c>
      <c r="O132" s="298">
        <v>1500</v>
      </c>
      <c r="P132" s="298"/>
      <c r="Q132" s="302">
        <f t="shared" si="21"/>
        <v>1500</v>
      </c>
      <c r="T132" s="329"/>
      <c r="Z132" s="3">
        <f t="shared" si="8"/>
        <v>3</v>
      </c>
    </row>
    <row r="133" spans="2:26" ht="15.75" customHeight="1">
      <c r="B133" s="287" t="s">
        <v>1015</v>
      </c>
      <c r="C133" s="290"/>
      <c r="D133" s="289">
        <v>45912</v>
      </c>
      <c r="E133" s="330">
        <f t="shared" si="15"/>
        <v>45930</v>
      </c>
      <c r="F133" s="331">
        <f t="shared" si="16"/>
        <v>3</v>
      </c>
      <c r="G133" s="289">
        <v>45489</v>
      </c>
      <c r="H133" s="330">
        <f t="shared" si="17"/>
        <v>45504</v>
      </c>
      <c r="I133" s="331">
        <f t="shared" si="18"/>
        <v>2024</v>
      </c>
      <c r="J133" s="290">
        <f t="shared" si="19"/>
        <v>423</v>
      </c>
      <c r="K133" s="297"/>
      <c r="L133" s="297" t="s">
        <v>898</v>
      </c>
      <c r="N133" s="332" t="str">
        <f t="shared" si="20"/>
        <v>Chapel</v>
      </c>
      <c r="O133" s="298">
        <v>6500</v>
      </c>
      <c r="P133" s="298"/>
      <c r="Q133" s="302">
        <f t="shared" si="21"/>
        <v>6500</v>
      </c>
      <c r="T133" s="329"/>
      <c r="Z133" s="3">
        <f t="shared" si="8"/>
        <v>6</v>
      </c>
    </row>
    <row r="134" spans="2:26" ht="15.75" customHeight="1">
      <c r="B134" s="287" t="s">
        <v>1016</v>
      </c>
      <c r="C134" s="290"/>
      <c r="D134" s="289">
        <v>45913</v>
      </c>
      <c r="E134" s="330">
        <f t="shared" si="15"/>
        <v>45930</v>
      </c>
      <c r="F134" s="331">
        <f t="shared" si="16"/>
        <v>3</v>
      </c>
      <c r="G134" s="289">
        <v>45463</v>
      </c>
      <c r="H134" s="330">
        <f t="shared" si="17"/>
        <v>45473</v>
      </c>
      <c r="I134" s="331">
        <f t="shared" si="18"/>
        <v>2024</v>
      </c>
      <c r="J134" s="290">
        <f t="shared" si="19"/>
        <v>450</v>
      </c>
      <c r="K134" s="297"/>
      <c r="L134" s="297" t="s">
        <v>898</v>
      </c>
      <c r="N134" s="332" t="str">
        <f t="shared" si="20"/>
        <v>Chapel</v>
      </c>
      <c r="O134" s="298">
        <v>7500</v>
      </c>
      <c r="P134" s="298"/>
      <c r="Q134" s="302">
        <f t="shared" si="21"/>
        <v>7500</v>
      </c>
      <c r="T134" s="329"/>
      <c r="Z134" s="3">
        <f t="shared" si="8"/>
        <v>7</v>
      </c>
    </row>
    <row r="135" spans="2:26" ht="15.75" customHeight="1">
      <c r="B135" s="287" t="s">
        <v>1017</v>
      </c>
      <c r="C135" s="290"/>
      <c r="D135" s="289">
        <v>45914</v>
      </c>
      <c r="E135" s="330">
        <f t="shared" si="15"/>
        <v>45930</v>
      </c>
      <c r="F135" s="331">
        <f t="shared" si="16"/>
        <v>3</v>
      </c>
      <c r="G135" s="289">
        <v>45533</v>
      </c>
      <c r="H135" s="330">
        <f t="shared" si="17"/>
        <v>45535</v>
      </c>
      <c r="I135" s="331">
        <f t="shared" si="18"/>
        <v>2024</v>
      </c>
      <c r="J135" s="290">
        <f t="shared" si="19"/>
        <v>381</v>
      </c>
      <c r="K135" s="297"/>
      <c r="L135" s="297" t="s">
        <v>898</v>
      </c>
      <c r="N135" s="332" t="str">
        <f t="shared" si="20"/>
        <v>Chapel</v>
      </c>
      <c r="O135" s="298">
        <v>7500</v>
      </c>
      <c r="P135" s="298"/>
      <c r="Q135" s="302">
        <f t="shared" si="21"/>
        <v>7500</v>
      </c>
      <c r="T135" s="329"/>
      <c r="Z135" s="3">
        <f t="shared" si="8"/>
        <v>1</v>
      </c>
    </row>
    <row r="136" spans="2:26" ht="15.75" customHeight="1">
      <c r="B136" s="338" t="s">
        <v>1018</v>
      </c>
      <c r="C136" s="290"/>
      <c r="D136" s="289">
        <v>45916</v>
      </c>
      <c r="E136" s="330">
        <f t="shared" si="15"/>
        <v>45930</v>
      </c>
      <c r="F136" s="331">
        <f t="shared" si="16"/>
        <v>3</v>
      </c>
      <c r="G136" s="289">
        <v>45637</v>
      </c>
      <c r="H136" s="330">
        <f t="shared" si="17"/>
        <v>45657</v>
      </c>
      <c r="I136" s="331">
        <f t="shared" si="18"/>
        <v>2024</v>
      </c>
      <c r="J136" s="290">
        <f t="shared" si="19"/>
        <v>279</v>
      </c>
      <c r="K136" s="297"/>
      <c r="L136" s="297"/>
      <c r="M136" s="226" t="s">
        <v>898</v>
      </c>
      <c r="N136" s="332" t="str">
        <f t="shared" si="20"/>
        <v>Elopement</v>
      </c>
      <c r="O136" s="298">
        <v>1500</v>
      </c>
      <c r="P136" s="298"/>
      <c r="Q136" s="302">
        <f t="shared" si="21"/>
        <v>1500</v>
      </c>
      <c r="T136" s="329"/>
      <c r="Z136" s="3">
        <f t="shared" si="8"/>
        <v>3</v>
      </c>
    </row>
    <row r="137" spans="2:26" ht="15.75" customHeight="1">
      <c r="B137" s="338" t="s">
        <v>1019</v>
      </c>
      <c r="C137" s="290"/>
      <c r="D137" s="289">
        <v>45916</v>
      </c>
      <c r="E137" s="330">
        <f t="shared" si="15"/>
        <v>45930</v>
      </c>
      <c r="F137" s="331">
        <f t="shared" si="16"/>
        <v>3</v>
      </c>
      <c r="G137" s="289">
        <v>45636</v>
      </c>
      <c r="H137" s="330">
        <f t="shared" si="17"/>
        <v>45657</v>
      </c>
      <c r="I137" s="331">
        <f t="shared" si="18"/>
        <v>2024</v>
      </c>
      <c r="J137" s="290">
        <f t="shared" si="19"/>
        <v>280</v>
      </c>
      <c r="K137" s="297"/>
      <c r="L137" s="297"/>
      <c r="M137" s="226" t="s">
        <v>898</v>
      </c>
      <c r="N137" s="332" t="str">
        <f t="shared" si="20"/>
        <v>Elopement</v>
      </c>
      <c r="O137" s="298">
        <v>1500</v>
      </c>
      <c r="P137" s="298"/>
      <c r="Q137" s="302">
        <f t="shared" si="21"/>
        <v>1500</v>
      </c>
      <c r="T137" s="329"/>
      <c r="Z137" s="3">
        <f t="shared" si="8"/>
        <v>3</v>
      </c>
    </row>
    <row r="138" spans="2:26" ht="15.75" customHeight="1">
      <c r="B138" s="287" t="s">
        <v>1020</v>
      </c>
      <c r="C138" s="290"/>
      <c r="D138" s="289">
        <v>45919</v>
      </c>
      <c r="E138" s="330">
        <f t="shared" si="15"/>
        <v>45930</v>
      </c>
      <c r="F138" s="331">
        <f t="shared" si="16"/>
        <v>3</v>
      </c>
      <c r="G138" s="289">
        <v>45427</v>
      </c>
      <c r="H138" s="330">
        <f t="shared" si="17"/>
        <v>45443</v>
      </c>
      <c r="I138" s="331">
        <f t="shared" si="18"/>
        <v>2024</v>
      </c>
      <c r="J138" s="290">
        <f t="shared" si="19"/>
        <v>492</v>
      </c>
      <c r="K138" s="297"/>
      <c r="L138" s="297" t="s">
        <v>898</v>
      </c>
      <c r="N138" s="332" t="str">
        <f t="shared" si="20"/>
        <v>Chapel</v>
      </c>
      <c r="O138" s="298">
        <v>6500</v>
      </c>
      <c r="P138" s="298"/>
      <c r="Q138" s="302">
        <f t="shared" si="21"/>
        <v>6500</v>
      </c>
      <c r="T138" s="329"/>
      <c r="Z138" s="3">
        <f t="shared" si="8"/>
        <v>6</v>
      </c>
    </row>
    <row r="139" spans="2:26" ht="15.75" customHeight="1">
      <c r="B139" s="287" t="s">
        <v>586</v>
      </c>
      <c r="C139" s="290"/>
      <c r="D139" s="289">
        <v>45920</v>
      </c>
      <c r="E139" s="330">
        <f t="shared" si="15"/>
        <v>45930</v>
      </c>
      <c r="F139" s="331">
        <f t="shared" si="16"/>
        <v>3</v>
      </c>
      <c r="G139" s="289">
        <v>45462</v>
      </c>
      <c r="H139" s="330">
        <f t="shared" si="17"/>
        <v>45473</v>
      </c>
      <c r="I139" s="331">
        <f t="shared" si="18"/>
        <v>2024</v>
      </c>
      <c r="J139" s="290">
        <f t="shared" si="19"/>
        <v>458</v>
      </c>
      <c r="K139" s="297"/>
      <c r="L139" s="297" t="s">
        <v>898</v>
      </c>
      <c r="N139" s="332" t="str">
        <f t="shared" si="20"/>
        <v>Chapel</v>
      </c>
      <c r="O139" s="298">
        <v>7500</v>
      </c>
      <c r="P139" s="294"/>
      <c r="Q139" s="302">
        <f t="shared" si="21"/>
        <v>7500</v>
      </c>
      <c r="T139" s="339">
        <v>6300</v>
      </c>
      <c r="Z139" s="3">
        <f t="shared" si="8"/>
        <v>7</v>
      </c>
    </row>
    <row r="140" spans="2:26" ht="15.75" customHeight="1">
      <c r="B140" s="287" t="s">
        <v>1021</v>
      </c>
      <c r="C140" s="290"/>
      <c r="D140" s="289">
        <v>45921</v>
      </c>
      <c r="E140" s="330">
        <f t="shared" si="15"/>
        <v>45930</v>
      </c>
      <c r="F140" s="331">
        <f t="shared" si="16"/>
        <v>3</v>
      </c>
      <c r="G140" s="289">
        <v>45513</v>
      </c>
      <c r="H140" s="330">
        <f t="shared" si="17"/>
        <v>45535</v>
      </c>
      <c r="I140" s="331">
        <f t="shared" si="18"/>
        <v>2024</v>
      </c>
      <c r="J140" s="290">
        <f t="shared" si="19"/>
        <v>408</v>
      </c>
      <c r="K140" s="297"/>
      <c r="L140" s="297" t="s">
        <v>898</v>
      </c>
      <c r="N140" s="332" t="str">
        <f t="shared" si="20"/>
        <v>Chapel</v>
      </c>
      <c r="O140" s="298">
        <v>0</v>
      </c>
      <c r="P140" s="298"/>
      <c r="Q140" s="302">
        <f t="shared" si="21"/>
        <v>0</v>
      </c>
      <c r="T140" s="329"/>
      <c r="Z140" s="3">
        <f t="shared" si="8"/>
        <v>1</v>
      </c>
    </row>
    <row r="141" spans="2:26" ht="15.75" customHeight="1">
      <c r="B141" s="287" t="s">
        <v>1022</v>
      </c>
      <c r="C141" s="290"/>
      <c r="D141" s="289">
        <v>45923</v>
      </c>
      <c r="E141" s="330">
        <f t="shared" si="15"/>
        <v>45930</v>
      </c>
      <c r="F141" s="331">
        <f t="shared" si="16"/>
        <v>3</v>
      </c>
      <c r="G141" s="289">
        <v>45609</v>
      </c>
      <c r="H141" s="330">
        <f t="shared" si="17"/>
        <v>45626</v>
      </c>
      <c r="I141" s="331">
        <f t="shared" si="18"/>
        <v>2024</v>
      </c>
      <c r="J141" s="290">
        <f t="shared" si="19"/>
        <v>314</v>
      </c>
      <c r="K141" s="297"/>
      <c r="L141" s="297"/>
      <c r="M141" s="226" t="s">
        <v>898</v>
      </c>
      <c r="N141" s="332" t="str">
        <f t="shared" si="20"/>
        <v>Elopement</v>
      </c>
      <c r="O141" s="298">
        <v>1500</v>
      </c>
      <c r="P141" s="298"/>
      <c r="Q141" s="302">
        <f t="shared" si="21"/>
        <v>1500</v>
      </c>
      <c r="T141" s="329"/>
      <c r="Z141" s="3">
        <f t="shared" si="8"/>
        <v>3</v>
      </c>
    </row>
    <row r="142" spans="2:26" ht="15.75" customHeight="1">
      <c r="B142" s="287" t="s">
        <v>588</v>
      </c>
      <c r="C142" s="290"/>
      <c r="D142" s="289">
        <v>45926</v>
      </c>
      <c r="E142" s="330">
        <f t="shared" si="15"/>
        <v>45930</v>
      </c>
      <c r="F142" s="331">
        <f t="shared" si="16"/>
        <v>3</v>
      </c>
      <c r="G142" s="289">
        <v>45520</v>
      </c>
      <c r="H142" s="330">
        <f t="shared" si="17"/>
        <v>45535</v>
      </c>
      <c r="I142" s="331">
        <f t="shared" si="18"/>
        <v>2024</v>
      </c>
      <c r="J142" s="290">
        <f t="shared" si="19"/>
        <v>406</v>
      </c>
      <c r="K142" s="297"/>
      <c r="L142" s="297" t="s">
        <v>898</v>
      </c>
      <c r="N142" s="332" t="str">
        <f t="shared" si="20"/>
        <v>Chapel</v>
      </c>
      <c r="O142" s="298">
        <v>6500</v>
      </c>
      <c r="P142" s="294"/>
      <c r="Q142" s="302">
        <f t="shared" si="21"/>
        <v>6500</v>
      </c>
      <c r="T142" s="339">
        <v>4351</v>
      </c>
      <c r="Z142" s="3">
        <f t="shared" si="8"/>
        <v>6</v>
      </c>
    </row>
    <row r="143" spans="2:26" ht="15.75" customHeight="1">
      <c r="B143" s="338" t="s">
        <v>1023</v>
      </c>
      <c r="C143" s="290"/>
      <c r="D143" s="289">
        <v>45928</v>
      </c>
      <c r="E143" s="330">
        <f t="shared" si="15"/>
        <v>45930</v>
      </c>
      <c r="F143" s="331">
        <f t="shared" si="16"/>
        <v>3</v>
      </c>
      <c r="G143" s="289">
        <v>45583</v>
      </c>
      <c r="H143" s="330">
        <f t="shared" si="17"/>
        <v>45596</v>
      </c>
      <c r="I143" s="331">
        <f t="shared" si="18"/>
        <v>2024</v>
      </c>
      <c r="J143" s="290">
        <f t="shared" si="19"/>
        <v>345</v>
      </c>
      <c r="K143" s="297"/>
      <c r="L143" s="297" t="s">
        <v>898</v>
      </c>
      <c r="N143" s="332" t="str">
        <f t="shared" si="20"/>
        <v>Chapel</v>
      </c>
      <c r="O143" s="298">
        <v>7500</v>
      </c>
      <c r="P143" s="298"/>
      <c r="Q143" s="302">
        <f t="shared" si="21"/>
        <v>7500</v>
      </c>
      <c r="T143" s="329"/>
      <c r="Z143" s="3">
        <f t="shared" si="8"/>
        <v>1</v>
      </c>
    </row>
    <row r="144" spans="2:26" ht="15.75" customHeight="1">
      <c r="B144" s="338" t="s">
        <v>1024</v>
      </c>
      <c r="C144" s="290"/>
      <c r="D144" s="289">
        <v>45930</v>
      </c>
      <c r="E144" s="330">
        <f t="shared" si="15"/>
        <v>45930</v>
      </c>
      <c r="F144" s="331">
        <f t="shared" si="16"/>
        <v>3</v>
      </c>
      <c r="G144" s="289">
        <v>45583</v>
      </c>
      <c r="H144" s="330">
        <f t="shared" si="17"/>
        <v>45596</v>
      </c>
      <c r="I144" s="331">
        <f t="shared" si="18"/>
        <v>2024</v>
      </c>
      <c r="J144" s="290">
        <f t="shared" si="19"/>
        <v>347</v>
      </c>
      <c r="K144" s="297"/>
      <c r="L144" s="297"/>
      <c r="M144" s="226" t="s">
        <v>898</v>
      </c>
      <c r="N144" s="332" t="str">
        <f t="shared" si="20"/>
        <v>Elopement</v>
      </c>
      <c r="O144" s="298">
        <v>1500</v>
      </c>
      <c r="P144" s="298"/>
      <c r="Q144" s="302">
        <f t="shared" si="21"/>
        <v>1500</v>
      </c>
      <c r="T144" s="329"/>
      <c r="Z144" s="3">
        <f t="shared" si="8"/>
        <v>3</v>
      </c>
    </row>
    <row r="145" spans="2:26" ht="15.75" customHeight="1">
      <c r="B145" s="287" t="s">
        <v>1025</v>
      </c>
      <c r="C145" s="290"/>
      <c r="D145" s="289">
        <v>45933</v>
      </c>
      <c r="E145" s="330">
        <f t="shared" si="15"/>
        <v>45961</v>
      </c>
      <c r="F145" s="331">
        <f t="shared" si="16"/>
        <v>6</v>
      </c>
      <c r="G145" s="289">
        <v>45534</v>
      </c>
      <c r="H145" s="330">
        <f t="shared" si="17"/>
        <v>45535</v>
      </c>
      <c r="I145" s="331">
        <f t="shared" si="18"/>
        <v>2024</v>
      </c>
      <c r="J145" s="290">
        <f t="shared" si="19"/>
        <v>399</v>
      </c>
      <c r="K145" s="297"/>
      <c r="L145" s="297" t="s">
        <v>898</v>
      </c>
      <c r="N145" s="332" t="str">
        <f t="shared" si="20"/>
        <v>Chapel</v>
      </c>
      <c r="O145" s="298">
        <v>6000</v>
      </c>
      <c r="P145" s="298"/>
      <c r="Q145" s="302">
        <f t="shared" si="21"/>
        <v>6000</v>
      </c>
      <c r="T145" s="329"/>
      <c r="Z145" s="3">
        <f t="shared" si="8"/>
        <v>6</v>
      </c>
    </row>
    <row r="146" spans="2:26" ht="15.75" customHeight="1">
      <c r="B146" s="287" t="s">
        <v>590</v>
      </c>
      <c r="C146" s="290"/>
      <c r="D146" s="289">
        <v>45934</v>
      </c>
      <c r="E146" s="330">
        <f t="shared" si="15"/>
        <v>45961</v>
      </c>
      <c r="F146" s="331">
        <f t="shared" si="16"/>
        <v>6</v>
      </c>
      <c r="G146" s="289">
        <v>45413</v>
      </c>
      <c r="H146" s="330">
        <f t="shared" si="17"/>
        <v>45443</v>
      </c>
      <c r="I146" s="331">
        <f t="shared" si="18"/>
        <v>2024</v>
      </c>
      <c r="J146" s="290">
        <f t="shared" si="19"/>
        <v>521</v>
      </c>
      <c r="K146" s="297"/>
      <c r="L146" s="297" t="s">
        <v>898</v>
      </c>
      <c r="N146" s="332" t="str">
        <f t="shared" si="20"/>
        <v>Chapel</v>
      </c>
      <c r="O146" s="298">
        <v>7500</v>
      </c>
      <c r="P146" s="294"/>
      <c r="Q146" s="302">
        <f t="shared" si="21"/>
        <v>7500</v>
      </c>
      <c r="T146" s="339">
        <v>5535</v>
      </c>
      <c r="Z146" s="3">
        <f t="shared" si="8"/>
        <v>7</v>
      </c>
    </row>
    <row r="147" spans="2:26" ht="15.75" customHeight="1">
      <c r="B147" s="287" t="s">
        <v>1026</v>
      </c>
      <c r="C147" s="290"/>
      <c r="D147" s="289">
        <v>45935</v>
      </c>
      <c r="E147" s="330">
        <f t="shared" si="15"/>
        <v>45961</v>
      </c>
      <c r="F147" s="331">
        <f t="shared" si="16"/>
        <v>6</v>
      </c>
      <c r="G147" s="289">
        <v>45457</v>
      </c>
      <c r="H147" s="330">
        <f t="shared" si="17"/>
        <v>45473</v>
      </c>
      <c r="I147" s="331">
        <f t="shared" si="18"/>
        <v>2024</v>
      </c>
      <c r="J147" s="290">
        <f t="shared" si="19"/>
        <v>478</v>
      </c>
      <c r="K147" s="297"/>
      <c r="L147" s="297" t="s">
        <v>898</v>
      </c>
      <c r="N147" s="332" t="str">
        <f t="shared" si="20"/>
        <v>Chapel</v>
      </c>
      <c r="O147" s="298">
        <v>7500</v>
      </c>
      <c r="P147" s="298"/>
      <c r="Q147" s="302">
        <f t="shared" si="21"/>
        <v>7500</v>
      </c>
      <c r="T147" s="329"/>
      <c r="Z147" s="3">
        <f t="shared" si="8"/>
        <v>1</v>
      </c>
    </row>
    <row r="148" spans="2:26" ht="15.75" customHeight="1">
      <c r="B148" s="287" t="s">
        <v>1027</v>
      </c>
      <c r="C148" s="290"/>
      <c r="D148" s="289">
        <v>45937</v>
      </c>
      <c r="E148" s="330">
        <f t="shared" si="15"/>
        <v>45961</v>
      </c>
      <c r="F148" s="331">
        <f t="shared" si="16"/>
        <v>6</v>
      </c>
      <c r="G148" s="289">
        <v>45841</v>
      </c>
      <c r="H148" s="330">
        <f t="shared" si="17"/>
        <v>45869</v>
      </c>
      <c r="I148" s="331">
        <f t="shared" si="18"/>
        <v>2025</v>
      </c>
      <c r="J148" s="290">
        <f t="shared" si="19"/>
        <v>96</v>
      </c>
      <c r="K148" s="297"/>
      <c r="L148" s="297"/>
      <c r="M148" s="226" t="s">
        <v>898</v>
      </c>
      <c r="N148" s="332" t="str">
        <f t="shared" si="20"/>
        <v>Elopement</v>
      </c>
      <c r="O148" s="298">
        <v>1500</v>
      </c>
      <c r="P148" s="298"/>
      <c r="Q148" s="302">
        <f t="shared" si="21"/>
        <v>1500</v>
      </c>
      <c r="T148" s="329"/>
      <c r="Z148" s="3">
        <f t="shared" si="8"/>
        <v>3</v>
      </c>
    </row>
    <row r="149" spans="2:26" ht="15.75" customHeight="1">
      <c r="B149" s="287" t="s">
        <v>1028</v>
      </c>
      <c r="C149" s="290"/>
      <c r="D149" s="289">
        <v>45937</v>
      </c>
      <c r="E149" s="330">
        <f t="shared" si="15"/>
        <v>45961</v>
      </c>
      <c r="F149" s="331">
        <f t="shared" si="16"/>
        <v>6</v>
      </c>
      <c r="G149" s="289">
        <v>45743</v>
      </c>
      <c r="H149" s="330">
        <f t="shared" si="17"/>
        <v>45747</v>
      </c>
      <c r="I149" s="331">
        <f t="shared" si="18"/>
        <v>2025</v>
      </c>
      <c r="J149" s="290">
        <f t="shared" si="19"/>
        <v>194</v>
      </c>
      <c r="K149" s="297"/>
      <c r="L149" s="297"/>
      <c r="M149" s="226" t="s">
        <v>898</v>
      </c>
      <c r="N149" s="332" t="str">
        <f t="shared" si="20"/>
        <v>Elopement</v>
      </c>
      <c r="O149" s="298">
        <v>1500</v>
      </c>
      <c r="P149" s="298"/>
      <c r="Q149" s="302">
        <f t="shared" si="21"/>
        <v>1500</v>
      </c>
      <c r="T149" s="329"/>
      <c r="Z149" s="3">
        <f t="shared" si="8"/>
        <v>3</v>
      </c>
    </row>
    <row r="150" spans="2:26" ht="15.75" customHeight="1">
      <c r="B150" s="287" t="s">
        <v>1029</v>
      </c>
      <c r="C150" s="290"/>
      <c r="D150" s="289">
        <v>45940</v>
      </c>
      <c r="E150" s="330">
        <f t="shared" si="15"/>
        <v>45961</v>
      </c>
      <c r="F150" s="331">
        <f t="shared" si="16"/>
        <v>6</v>
      </c>
      <c r="G150" s="289">
        <v>45397</v>
      </c>
      <c r="H150" s="330">
        <f t="shared" si="17"/>
        <v>45412</v>
      </c>
      <c r="I150" s="331">
        <f t="shared" si="18"/>
        <v>2024</v>
      </c>
      <c r="J150" s="290">
        <f t="shared" si="19"/>
        <v>543</v>
      </c>
      <c r="K150" s="297"/>
      <c r="L150" s="297" t="s">
        <v>898</v>
      </c>
      <c r="N150" s="332" t="str">
        <f t="shared" si="20"/>
        <v>Chapel</v>
      </c>
      <c r="O150" s="298">
        <v>6250</v>
      </c>
      <c r="P150" s="298"/>
      <c r="Q150" s="302">
        <f t="shared" si="21"/>
        <v>6250</v>
      </c>
      <c r="T150" s="329"/>
      <c r="Z150" s="3">
        <f t="shared" si="8"/>
        <v>6</v>
      </c>
    </row>
    <row r="151" spans="2:26" ht="15.75" customHeight="1">
      <c r="B151" s="287" t="s">
        <v>1030</v>
      </c>
      <c r="C151" s="290"/>
      <c r="D151" s="289">
        <v>45941</v>
      </c>
      <c r="E151" s="330">
        <f t="shared" si="15"/>
        <v>45961</v>
      </c>
      <c r="F151" s="331">
        <f t="shared" si="16"/>
        <v>6</v>
      </c>
      <c r="G151" s="289">
        <v>45444</v>
      </c>
      <c r="H151" s="330">
        <f t="shared" si="17"/>
        <v>45473</v>
      </c>
      <c r="I151" s="331">
        <f t="shared" si="18"/>
        <v>2024</v>
      </c>
      <c r="J151" s="290">
        <f t="shared" si="19"/>
        <v>497</v>
      </c>
      <c r="K151" s="297"/>
      <c r="L151" s="297" t="s">
        <v>898</v>
      </c>
      <c r="N151" s="332" t="str">
        <f t="shared" si="20"/>
        <v>Chapel</v>
      </c>
      <c r="O151" s="298">
        <v>7500</v>
      </c>
      <c r="P151" s="298"/>
      <c r="Q151" s="302">
        <f t="shared" si="21"/>
        <v>7500</v>
      </c>
      <c r="T151" s="329"/>
      <c r="Z151" s="3">
        <f t="shared" si="8"/>
        <v>7</v>
      </c>
    </row>
    <row r="152" spans="2:26" ht="15.75" customHeight="1">
      <c r="B152" s="338" t="s">
        <v>592</v>
      </c>
      <c r="C152" s="290"/>
      <c r="D152" s="289">
        <v>45942</v>
      </c>
      <c r="E152" s="330">
        <f t="shared" si="15"/>
        <v>45961</v>
      </c>
      <c r="F152" s="331">
        <f t="shared" si="16"/>
        <v>6</v>
      </c>
      <c r="G152" s="289">
        <v>45485</v>
      </c>
      <c r="H152" s="330">
        <f t="shared" si="17"/>
        <v>45504</v>
      </c>
      <c r="I152" s="331">
        <f t="shared" si="18"/>
        <v>2024</v>
      </c>
      <c r="J152" s="290">
        <f t="shared" si="19"/>
        <v>457</v>
      </c>
      <c r="K152" s="297"/>
      <c r="L152" s="297" t="s">
        <v>898</v>
      </c>
      <c r="N152" s="332" t="str">
        <f t="shared" si="20"/>
        <v>Chapel</v>
      </c>
      <c r="O152" s="298">
        <v>7500</v>
      </c>
      <c r="P152" s="294"/>
      <c r="Q152" s="302">
        <f t="shared" si="21"/>
        <v>7500</v>
      </c>
      <c r="T152" s="339">
        <v>3330</v>
      </c>
      <c r="Z152" s="3">
        <f t="shared" si="8"/>
        <v>1</v>
      </c>
    </row>
    <row r="153" spans="2:26" ht="15.75" customHeight="1">
      <c r="B153" s="338" t="s">
        <v>1031</v>
      </c>
      <c r="C153" s="290"/>
      <c r="D153" s="289">
        <v>45944</v>
      </c>
      <c r="E153" s="330">
        <f t="shared" si="15"/>
        <v>45961</v>
      </c>
      <c r="F153" s="331">
        <f t="shared" si="16"/>
        <v>6</v>
      </c>
      <c r="G153" s="289">
        <v>45726</v>
      </c>
      <c r="H153" s="330">
        <f t="shared" si="17"/>
        <v>45747</v>
      </c>
      <c r="I153" s="331">
        <f t="shared" si="18"/>
        <v>2025</v>
      </c>
      <c r="J153" s="290">
        <f t="shared" si="19"/>
        <v>218</v>
      </c>
      <c r="K153" s="297"/>
      <c r="L153" s="297"/>
      <c r="M153" s="226" t="s">
        <v>898</v>
      </c>
      <c r="N153" s="332" t="str">
        <f t="shared" si="20"/>
        <v>Elopement</v>
      </c>
      <c r="O153" s="298">
        <v>1500</v>
      </c>
      <c r="P153" s="298"/>
      <c r="Q153" s="302">
        <f t="shared" si="21"/>
        <v>1500</v>
      </c>
      <c r="T153" s="329"/>
      <c r="Z153" s="3">
        <f t="shared" si="8"/>
        <v>3</v>
      </c>
    </row>
    <row r="154" spans="2:26" ht="15.75" customHeight="1">
      <c r="B154" s="338" t="s">
        <v>594</v>
      </c>
      <c r="C154" s="290"/>
      <c r="D154" s="289">
        <v>45947</v>
      </c>
      <c r="E154" s="330">
        <f t="shared" si="15"/>
        <v>45961</v>
      </c>
      <c r="F154" s="331">
        <f t="shared" si="16"/>
        <v>6</v>
      </c>
      <c r="G154" s="289">
        <v>45476</v>
      </c>
      <c r="H154" s="330">
        <f t="shared" si="17"/>
        <v>45504</v>
      </c>
      <c r="I154" s="331">
        <f t="shared" si="18"/>
        <v>2024</v>
      </c>
      <c r="J154" s="290">
        <f t="shared" si="19"/>
        <v>471</v>
      </c>
      <c r="K154" s="297"/>
      <c r="L154" s="297" t="s">
        <v>898</v>
      </c>
      <c r="N154" s="332" t="str">
        <f t="shared" si="20"/>
        <v>Chapel</v>
      </c>
      <c r="O154" s="298">
        <v>6500</v>
      </c>
      <c r="P154" s="294"/>
      <c r="Q154" s="302">
        <f t="shared" si="21"/>
        <v>6500</v>
      </c>
      <c r="T154" s="339">
        <v>4430</v>
      </c>
      <c r="Z154" s="3">
        <f t="shared" si="8"/>
        <v>6</v>
      </c>
    </row>
    <row r="155" spans="2:26" ht="15.75" customHeight="1">
      <c r="B155" s="287" t="s">
        <v>1032</v>
      </c>
      <c r="C155" s="290"/>
      <c r="D155" s="289">
        <v>45948</v>
      </c>
      <c r="E155" s="330">
        <f t="shared" si="15"/>
        <v>45961</v>
      </c>
      <c r="F155" s="331">
        <f t="shared" si="16"/>
        <v>6</v>
      </c>
      <c r="G155" s="289">
        <v>45453</v>
      </c>
      <c r="H155" s="330">
        <f t="shared" si="17"/>
        <v>45473</v>
      </c>
      <c r="I155" s="331">
        <f t="shared" si="18"/>
        <v>2024</v>
      </c>
      <c r="J155" s="290">
        <f t="shared" si="19"/>
        <v>495</v>
      </c>
      <c r="K155" s="297"/>
      <c r="L155" s="297" t="s">
        <v>898</v>
      </c>
      <c r="N155" s="332" t="str">
        <f t="shared" si="20"/>
        <v>Chapel</v>
      </c>
      <c r="O155" s="298">
        <v>7500</v>
      </c>
      <c r="P155" s="298"/>
      <c r="Q155" s="302">
        <f t="shared" si="21"/>
        <v>7500</v>
      </c>
      <c r="T155" s="329"/>
      <c r="Z155" s="3">
        <f t="shared" si="8"/>
        <v>7</v>
      </c>
    </row>
    <row r="156" spans="2:26" ht="15.75" customHeight="1">
      <c r="B156" s="338" t="s">
        <v>1033</v>
      </c>
      <c r="C156" s="290"/>
      <c r="D156" s="289">
        <v>45949</v>
      </c>
      <c r="E156" s="330">
        <f t="shared" si="15"/>
        <v>45961</v>
      </c>
      <c r="F156" s="331">
        <f t="shared" si="16"/>
        <v>6</v>
      </c>
      <c r="G156" s="289">
        <v>45583</v>
      </c>
      <c r="H156" s="330">
        <f t="shared" si="17"/>
        <v>45596</v>
      </c>
      <c r="I156" s="331">
        <f t="shared" si="18"/>
        <v>2024</v>
      </c>
      <c r="J156" s="290">
        <f t="shared" si="19"/>
        <v>366</v>
      </c>
      <c r="K156" s="297"/>
      <c r="L156" s="297" t="s">
        <v>898</v>
      </c>
      <c r="M156" s="226"/>
      <c r="N156" s="332" t="str">
        <f t="shared" si="20"/>
        <v>Chapel</v>
      </c>
      <c r="O156" s="298">
        <v>7500</v>
      </c>
      <c r="P156" s="298"/>
      <c r="Q156" s="302">
        <f t="shared" si="21"/>
        <v>7500</v>
      </c>
      <c r="T156" s="329"/>
      <c r="Z156" s="3">
        <f t="shared" si="8"/>
        <v>1</v>
      </c>
    </row>
    <row r="157" spans="2:26" ht="15.75" customHeight="1">
      <c r="B157" s="287" t="s">
        <v>1034</v>
      </c>
      <c r="C157" s="290"/>
      <c r="D157" s="289">
        <v>45951</v>
      </c>
      <c r="E157" s="330">
        <f t="shared" si="15"/>
        <v>45961</v>
      </c>
      <c r="F157" s="331">
        <f t="shared" si="16"/>
        <v>6</v>
      </c>
      <c r="G157" s="289">
        <v>45495</v>
      </c>
      <c r="H157" s="330">
        <f t="shared" si="17"/>
        <v>45504</v>
      </c>
      <c r="I157" s="331">
        <f t="shared" si="18"/>
        <v>2024</v>
      </c>
      <c r="J157" s="290">
        <f t="shared" si="19"/>
        <v>456</v>
      </c>
      <c r="K157" s="297"/>
      <c r="L157" s="297"/>
      <c r="M157" s="226" t="s">
        <v>898</v>
      </c>
      <c r="N157" s="332" t="str">
        <f t="shared" si="20"/>
        <v>Elopement</v>
      </c>
      <c r="O157" s="298">
        <v>1500</v>
      </c>
      <c r="P157" s="298"/>
      <c r="Q157" s="302">
        <f t="shared" si="21"/>
        <v>1500</v>
      </c>
      <c r="T157" s="329"/>
      <c r="Z157" s="3">
        <f t="shared" si="8"/>
        <v>3</v>
      </c>
    </row>
    <row r="158" spans="2:26" ht="15.75" customHeight="1">
      <c r="B158" s="287" t="s">
        <v>1035</v>
      </c>
      <c r="C158" s="290"/>
      <c r="D158" s="289">
        <v>45954</v>
      </c>
      <c r="E158" s="330">
        <f t="shared" si="15"/>
        <v>45961</v>
      </c>
      <c r="F158" s="331">
        <f t="shared" si="16"/>
        <v>6</v>
      </c>
      <c r="G158" s="289">
        <v>45264</v>
      </c>
      <c r="H158" s="330">
        <f t="shared" si="17"/>
        <v>45291</v>
      </c>
      <c r="I158" s="331">
        <f t="shared" si="18"/>
        <v>2023</v>
      </c>
      <c r="J158" s="290">
        <f t="shared" si="19"/>
        <v>690</v>
      </c>
      <c r="K158" s="297"/>
      <c r="L158" s="297" t="s">
        <v>898</v>
      </c>
      <c r="N158" s="332" t="str">
        <f t="shared" si="20"/>
        <v>Chapel</v>
      </c>
      <c r="O158" s="298">
        <v>6500</v>
      </c>
      <c r="P158" s="298"/>
      <c r="Q158" s="302">
        <f t="shared" si="21"/>
        <v>6500</v>
      </c>
      <c r="T158" s="329"/>
      <c r="Z158" s="3">
        <f t="shared" si="8"/>
        <v>6</v>
      </c>
    </row>
    <row r="159" spans="2:26" ht="15.75" customHeight="1">
      <c r="B159" s="287" t="s">
        <v>600</v>
      </c>
      <c r="C159" s="290"/>
      <c r="D159" s="289">
        <v>45955</v>
      </c>
      <c r="E159" s="330">
        <f t="shared" si="15"/>
        <v>45961</v>
      </c>
      <c r="F159" s="331">
        <f t="shared" si="16"/>
        <v>6</v>
      </c>
      <c r="G159" s="289">
        <v>45391</v>
      </c>
      <c r="H159" s="330">
        <f t="shared" si="17"/>
        <v>45412</v>
      </c>
      <c r="I159" s="331">
        <f t="shared" si="18"/>
        <v>2024</v>
      </c>
      <c r="J159" s="290">
        <f t="shared" si="19"/>
        <v>564</v>
      </c>
      <c r="K159" s="297"/>
      <c r="L159" s="297" t="s">
        <v>898</v>
      </c>
      <c r="N159" s="332" t="str">
        <f t="shared" si="20"/>
        <v>Chapel</v>
      </c>
      <c r="O159" s="298">
        <v>7500</v>
      </c>
      <c r="P159" s="298"/>
      <c r="Q159" s="302">
        <f t="shared" si="21"/>
        <v>7500</v>
      </c>
      <c r="T159" s="329">
        <v>3776</v>
      </c>
      <c r="Z159" s="3">
        <f t="shared" si="8"/>
        <v>7</v>
      </c>
    </row>
    <row r="160" spans="2:26" ht="15.75" customHeight="1">
      <c r="B160" s="338" t="s">
        <v>1036</v>
      </c>
      <c r="C160" s="290"/>
      <c r="D160" s="289">
        <v>45956</v>
      </c>
      <c r="E160" s="330">
        <f t="shared" si="15"/>
        <v>45961</v>
      </c>
      <c r="F160" s="331">
        <f t="shared" si="16"/>
        <v>6</v>
      </c>
      <c r="G160" s="289">
        <v>45583</v>
      </c>
      <c r="H160" s="330">
        <f t="shared" si="17"/>
        <v>45596</v>
      </c>
      <c r="I160" s="331">
        <f t="shared" si="18"/>
        <v>2024</v>
      </c>
      <c r="J160" s="290">
        <f t="shared" si="19"/>
        <v>373</v>
      </c>
      <c r="K160" s="297"/>
      <c r="L160" s="297" t="s">
        <v>898</v>
      </c>
      <c r="N160" s="332" t="str">
        <f t="shared" si="20"/>
        <v>Chapel</v>
      </c>
      <c r="O160" s="298">
        <v>7500</v>
      </c>
      <c r="P160" s="298"/>
      <c r="Q160" s="302">
        <f t="shared" si="21"/>
        <v>7500</v>
      </c>
      <c r="T160" s="329"/>
      <c r="Z160" s="3">
        <f t="shared" si="8"/>
        <v>1</v>
      </c>
    </row>
    <row r="161" spans="2:26" ht="15.75" customHeight="1">
      <c r="B161" s="287" t="s">
        <v>598</v>
      </c>
      <c r="C161" s="290"/>
      <c r="D161" s="289">
        <v>45958</v>
      </c>
      <c r="E161" s="330">
        <f t="shared" si="15"/>
        <v>45961</v>
      </c>
      <c r="F161" s="331">
        <f t="shared" si="16"/>
        <v>6</v>
      </c>
      <c r="G161" s="289">
        <v>45603</v>
      </c>
      <c r="H161" s="330">
        <f t="shared" si="17"/>
        <v>45626</v>
      </c>
      <c r="I161" s="331">
        <f t="shared" si="18"/>
        <v>2024</v>
      </c>
      <c r="J161" s="290">
        <f t="shared" si="19"/>
        <v>355</v>
      </c>
      <c r="K161" s="297"/>
      <c r="L161" s="297"/>
      <c r="M161" s="226" t="s">
        <v>898</v>
      </c>
      <c r="N161" s="332" t="str">
        <f t="shared" si="20"/>
        <v>Elopement</v>
      </c>
      <c r="O161" s="298">
        <v>1500</v>
      </c>
      <c r="P161" s="296"/>
      <c r="Q161" s="302">
        <f t="shared" si="21"/>
        <v>1500</v>
      </c>
      <c r="T161" s="342">
        <v>550</v>
      </c>
      <c r="Z161" s="3">
        <f t="shared" si="8"/>
        <v>3</v>
      </c>
    </row>
    <row r="162" spans="2:26" ht="15.75" customHeight="1">
      <c r="B162" s="287" t="s">
        <v>602</v>
      </c>
      <c r="C162" s="290"/>
      <c r="D162" s="289">
        <v>45961</v>
      </c>
      <c r="E162" s="330">
        <f t="shared" si="15"/>
        <v>45961</v>
      </c>
      <c r="F162" s="331">
        <f t="shared" si="16"/>
        <v>6</v>
      </c>
      <c r="G162" s="289">
        <v>45245</v>
      </c>
      <c r="H162" s="330">
        <f t="shared" si="17"/>
        <v>45260</v>
      </c>
      <c r="I162" s="331">
        <f t="shared" si="18"/>
        <v>2023</v>
      </c>
      <c r="J162" s="290">
        <f t="shared" si="19"/>
        <v>716</v>
      </c>
      <c r="K162" s="297"/>
      <c r="L162" s="297" t="s">
        <v>898</v>
      </c>
      <c r="N162" s="332" t="str">
        <f t="shared" si="20"/>
        <v>Chapel</v>
      </c>
      <c r="O162" s="298">
        <v>6500</v>
      </c>
      <c r="P162" s="298"/>
      <c r="Q162" s="302">
        <f t="shared" si="21"/>
        <v>6500</v>
      </c>
      <c r="T162" s="329"/>
      <c r="Z162" s="3">
        <f t="shared" si="8"/>
        <v>6</v>
      </c>
    </row>
    <row r="163" spans="2:26" ht="15.75" customHeight="1">
      <c r="B163" s="287" t="s">
        <v>1037</v>
      </c>
      <c r="C163" s="290"/>
      <c r="D163" s="289">
        <v>45962</v>
      </c>
      <c r="E163" s="330">
        <f t="shared" si="15"/>
        <v>45991</v>
      </c>
      <c r="F163" s="331">
        <f t="shared" si="16"/>
        <v>1</v>
      </c>
      <c r="G163" s="289">
        <v>45895</v>
      </c>
      <c r="H163" s="330">
        <f t="shared" si="17"/>
        <v>45900</v>
      </c>
      <c r="I163" s="331">
        <f t="shared" si="18"/>
        <v>2025</v>
      </c>
      <c r="J163" s="290">
        <f t="shared" si="19"/>
        <v>67</v>
      </c>
      <c r="K163" s="297"/>
      <c r="L163" s="297" t="s">
        <v>898</v>
      </c>
      <c r="M163" s="226"/>
      <c r="N163" s="332" t="str">
        <f t="shared" si="20"/>
        <v>Chapel</v>
      </c>
      <c r="O163" s="298">
        <v>6000</v>
      </c>
      <c r="P163" s="298"/>
      <c r="Q163" s="302">
        <f t="shared" si="21"/>
        <v>6000</v>
      </c>
      <c r="T163" s="329"/>
      <c r="Z163" s="3">
        <f t="shared" si="8"/>
        <v>7</v>
      </c>
    </row>
    <row r="164" spans="2:26" ht="15.75" customHeight="1">
      <c r="B164" s="287" t="s">
        <v>1038</v>
      </c>
      <c r="C164" s="290"/>
      <c r="D164" s="289">
        <v>45965</v>
      </c>
      <c r="E164" s="330">
        <f t="shared" si="15"/>
        <v>45991</v>
      </c>
      <c r="F164" s="331">
        <f t="shared" si="16"/>
        <v>1</v>
      </c>
      <c r="G164" s="289">
        <v>45819</v>
      </c>
      <c r="H164" s="330">
        <f t="shared" si="17"/>
        <v>45838</v>
      </c>
      <c r="I164" s="331">
        <f t="shared" si="18"/>
        <v>2025</v>
      </c>
      <c r="J164" s="290">
        <f t="shared" si="19"/>
        <v>146</v>
      </c>
      <c r="K164" s="297"/>
      <c r="L164" s="297"/>
      <c r="M164" s="226" t="s">
        <v>898</v>
      </c>
      <c r="N164" s="332" t="str">
        <f t="shared" si="20"/>
        <v>Elopement</v>
      </c>
      <c r="O164" s="298">
        <v>1500</v>
      </c>
      <c r="P164" s="298"/>
      <c r="Q164" s="302">
        <f t="shared" si="21"/>
        <v>1500</v>
      </c>
      <c r="T164" s="329"/>
      <c r="Z164" s="3">
        <f t="shared" si="8"/>
        <v>3</v>
      </c>
    </row>
    <row r="165" spans="2:26" ht="15.75" customHeight="1">
      <c r="B165" s="287" t="s">
        <v>606</v>
      </c>
      <c r="C165" s="290"/>
      <c r="D165" s="289">
        <v>45968</v>
      </c>
      <c r="E165" s="330">
        <f t="shared" si="15"/>
        <v>45991</v>
      </c>
      <c r="F165" s="331">
        <f t="shared" si="16"/>
        <v>1</v>
      </c>
      <c r="G165" s="289">
        <v>45385</v>
      </c>
      <c r="H165" s="330">
        <f t="shared" si="17"/>
        <v>45412</v>
      </c>
      <c r="I165" s="331">
        <f t="shared" si="18"/>
        <v>2024</v>
      </c>
      <c r="J165" s="290">
        <f t="shared" si="19"/>
        <v>583</v>
      </c>
      <c r="K165" s="297"/>
      <c r="L165" s="297" t="s">
        <v>898</v>
      </c>
      <c r="N165" s="332" t="str">
        <f t="shared" si="20"/>
        <v>Chapel</v>
      </c>
      <c r="O165" s="298">
        <v>6500</v>
      </c>
      <c r="P165" s="298"/>
      <c r="Q165" s="302">
        <f t="shared" si="21"/>
        <v>6500</v>
      </c>
      <c r="T165" s="329"/>
      <c r="Z165" s="3">
        <f t="shared" si="8"/>
        <v>6</v>
      </c>
    </row>
    <row r="166" spans="2:26" ht="15.75" customHeight="1">
      <c r="B166" s="240" t="s">
        <v>1039</v>
      </c>
      <c r="C166" s="290"/>
      <c r="D166" s="289">
        <v>45969</v>
      </c>
      <c r="E166" s="330">
        <f t="shared" si="15"/>
        <v>45991</v>
      </c>
      <c r="F166" s="331">
        <f t="shared" si="16"/>
        <v>1</v>
      </c>
      <c r="G166" s="289">
        <v>45545</v>
      </c>
      <c r="H166" s="330">
        <f t="shared" si="17"/>
        <v>45565</v>
      </c>
      <c r="I166" s="331">
        <f t="shared" si="18"/>
        <v>2024</v>
      </c>
      <c r="J166" s="290">
        <f t="shared" si="19"/>
        <v>424</v>
      </c>
      <c r="K166" s="297"/>
      <c r="L166" s="297" t="s">
        <v>898</v>
      </c>
      <c r="N166" s="332" t="str">
        <f t="shared" si="20"/>
        <v>Chapel</v>
      </c>
      <c r="O166" s="298">
        <v>7500</v>
      </c>
      <c r="P166" s="298"/>
      <c r="Q166" s="302">
        <f t="shared" si="21"/>
        <v>7500</v>
      </c>
      <c r="T166" s="329"/>
      <c r="Z166" s="3">
        <f t="shared" si="8"/>
        <v>7</v>
      </c>
    </row>
    <row r="167" spans="2:26" ht="15.75" customHeight="1">
      <c r="B167" s="338" t="s">
        <v>1040</v>
      </c>
      <c r="C167" s="290"/>
      <c r="D167" s="289">
        <v>45972</v>
      </c>
      <c r="E167" s="330">
        <f t="shared" si="15"/>
        <v>45991</v>
      </c>
      <c r="F167" s="331">
        <f t="shared" si="16"/>
        <v>1</v>
      </c>
      <c r="G167" s="289">
        <v>45608</v>
      </c>
      <c r="H167" s="330">
        <f t="shared" si="17"/>
        <v>45626</v>
      </c>
      <c r="I167" s="331">
        <f t="shared" si="18"/>
        <v>2024</v>
      </c>
      <c r="J167" s="290">
        <f t="shared" si="19"/>
        <v>364</v>
      </c>
      <c r="K167" s="297"/>
      <c r="L167" s="297"/>
      <c r="M167" s="226" t="s">
        <v>898</v>
      </c>
      <c r="N167" s="332" t="str">
        <f t="shared" si="20"/>
        <v>Elopement</v>
      </c>
      <c r="O167" s="298">
        <v>1500</v>
      </c>
      <c r="P167" s="298"/>
      <c r="Q167" s="302">
        <f t="shared" si="21"/>
        <v>1500</v>
      </c>
      <c r="T167" s="329"/>
      <c r="Z167" s="3">
        <f t="shared" si="8"/>
        <v>3</v>
      </c>
    </row>
    <row r="168" spans="2:26" ht="15.75" customHeight="1">
      <c r="B168" s="338" t="s">
        <v>1041</v>
      </c>
      <c r="C168" s="290"/>
      <c r="D168" s="289">
        <v>45975</v>
      </c>
      <c r="E168" s="330">
        <f t="shared" si="15"/>
        <v>45991</v>
      </c>
      <c r="F168" s="331">
        <f t="shared" si="16"/>
        <v>1</v>
      </c>
      <c r="G168" s="289">
        <v>45855</v>
      </c>
      <c r="H168" s="330">
        <f t="shared" si="17"/>
        <v>45869</v>
      </c>
      <c r="I168" s="331">
        <f t="shared" si="18"/>
        <v>2025</v>
      </c>
      <c r="J168" s="290">
        <f t="shared" si="19"/>
        <v>120</v>
      </c>
      <c r="K168" s="297"/>
      <c r="L168" s="297" t="s">
        <v>898</v>
      </c>
      <c r="N168" s="332" t="str">
        <f t="shared" si="20"/>
        <v>Chapel</v>
      </c>
      <c r="O168" s="298">
        <v>5750</v>
      </c>
      <c r="P168" s="298"/>
      <c r="Q168" s="302">
        <f t="shared" si="21"/>
        <v>5750</v>
      </c>
      <c r="T168" s="329"/>
      <c r="Z168" s="3">
        <f t="shared" si="8"/>
        <v>6</v>
      </c>
    </row>
    <row r="169" spans="2:26" ht="15.75" customHeight="1">
      <c r="B169" s="287" t="s">
        <v>1042</v>
      </c>
      <c r="C169" s="290"/>
      <c r="D169" s="289">
        <v>45976</v>
      </c>
      <c r="E169" s="330">
        <f t="shared" si="15"/>
        <v>45991</v>
      </c>
      <c r="F169" s="331">
        <f t="shared" si="16"/>
        <v>1</v>
      </c>
      <c r="G169" s="289">
        <v>45399</v>
      </c>
      <c r="H169" s="330">
        <f t="shared" si="17"/>
        <v>45412</v>
      </c>
      <c r="I169" s="331">
        <f t="shared" si="18"/>
        <v>2024</v>
      </c>
      <c r="J169" s="290">
        <f t="shared" si="19"/>
        <v>577</v>
      </c>
      <c r="K169" s="297"/>
      <c r="L169" s="297" t="s">
        <v>898</v>
      </c>
      <c r="N169" s="332" t="str">
        <f t="shared" si="20"/>
        <v>Chapel</v>
      </c>
      <c r="O169" s="298">
        <v>7500</v>
      </c>
      <c r="P169" s="298"/>
      <c r="Q169" s="302">
        <f t="shared" si="21"/>
        <v>7500</v>
      </c>
      <c r="T169" s="329"/>
      <c r="Z169" s="3">
        <f t="shared" si="8"/>
        <v>7</v>
      </c>
    </row>
    <row r="170" spans="2:26" ht="15.75" customHeight="1">
      <c r="B170" s="338" t="s">
        <v>1043</v>
      </c>
      <c r="C170" s="290"/>
      <c r="D170" s="289">
        <v>45982</v>
      </c>
      <c r="E170" s="330">
        <f t="shared" si="15"/>
        <v>45991</v>
      </c>
      <c r="F170" s="331">
        <f t="shared" si="16"/>
        <v>1</v>
      </c>
      <c r="G170" s="289">
        <v>45567</v>
      </c>
      <c r="H170" s="330">
        <f t="shared" si="17"/>
        <v>45596</v>
      </c>
      <c r="I170" s="331">
        <f t="shared" si="18"/>
        <v>2024</v>
      </c>
      <c r="J170" s="290">
        <f t="shared" si="19"/>
        <v>415</v>
      </c>
      <c r="K170" s="297"/>
      <c r="L170" s="297" t="s">
        <v>898</v>
      </c>
      <c r="N170" s="332" t="str">
        <f t="shared" si="20"/>
        <v>Chapel</v>
      </c>
      <c r="O170" s="298">
        <v>6500</v>
      </c>
      <c r="P170" s="298"/>
      <c r="Q170" s="302">
        <f t="shared" si="21"/>
        <v>6500</v>
      </c>
      <c r="T170" s="329"/>
      <c r="Z170" s="3">
        <f t="shared" si="8"/>
        <v>6</v>
      </c>
    </row>
    <row r="171" spans="2:26" ht="15.75" customHeight="1">
      <c r="B171" s="287" t="s">
        <v>608</v>
      </c>
      <c r="C171" s="290"/>
      <c r="D171" s="289">
        <v>45983</v>
      </c>
      <c r="E171" s="330">
        <f t="shared" si="15"/>
        <v>45991</v>
      </c>
      <c r="F171" s="331">
        <f t="shared" si="16"/>
        <v>1</v>
      </c>
      <c r="G171" s="289">
        <v>45493</v>
      </c>
      <c r="H171" s="330">
        <f t="shared" si="17"/>
        <v>45504</v>
      </c>
      <c r="I171" s="331">
        <f t="shared" si="18"/>
        <v>2024</v>
      </c>
      <c r="J171" s="290">
        <f t="shared" si="19"/>
        <v>490</v>
      </c>
      <c r="K171" s="297"/>
      <c r="L171" s="297" t="s">
        <v>898</v>
      </c>
      <c r="N171" s="332" t="str">
        <f t="shared" si="20"/>
        <v>Chapel</v>
      </c>
      <c r="O171" s="298">
        <v>7500</v>
      </c>
      <c r="P171" s="298"/>
      <c r="Q171" s="302">
        <f t="shared" si="21"/>
        <v>7500</v>
      </c>
      <c r="T171" s="329"/>
      <c r="Z171" s="3">
        <f t="shared" si="8"/>
        <v>7</v>
      </c>
    </row>
    <row r="172" spans="2:26" ht="15.75" customHeight="1">
      <c r="B172" s="340" t="s">
        <v>1044</v>
      </c>
      <c r="C172" s="290"/>
      <c r="D172" s="289">
        <v>45986</v>
      </c>
      <c r="E172" s="330">
        <f t="shared" si="15"/>
        <v>45991</v>
      </c>
      <c r="F172" s="331">
        <f t="shared" si="16"/>
        <v>1</v>
      </c>
      <c r="G172" s="289">
        <v>45600</v>
      </c>
      <c r="H172" s="330">
        <f t="shared" si="17"/>
        <v>45626</v>
      </c>
      <c r="I172" s="331">
        <f t="shared" si="18"/>
        <v>2024</v>
      </c>
      <c r="J172" s="290">
        <f t="shared" si="19"/>
        <v>386</v>
      </c>
      <c r="K172" s="297"/>
      <c r="L172" s="297"/>
      <c r="M172" s="226" t="s">
        <v>898</v>
      </c>
      <c r="N172" s="332" t="str">
        <f t="shared" si="20"/>
        <v>Elopement</v>
      </c>
      <c r="O172" s="298">
        <v>1500</v>
      </c>
      <c r="P172" s="298"/>
      <c r="Q172" s="302">
        <f t="shared" si="21"/>
        <v>1500</v>
      </c>
      <c r="T172" s="329"/>
      <c r="Z172" s="3">
        <f t="shared" si="8"/>
        <v>3</v>
      </c>
    </row>
    <row r="173" spans="2:26" ht="15.75" customHeight="1">
      <c r="B173" s="340" t="s">
        <v>1045</v>
      </c>
      <c r="C173" s="290"/>
      <c r="D173" s="289">
        <v>45997</v>
      </c>
      <c r="E173" s="330">
        <f t="shared" si="15"/>
        <v>46022</v>
      </c>
      <c r="F173" s="331">
        <f t="shared" si="16"/>
        <v>4</v>
      </c>
      <c r="G173" s="289">
        <v>45911</v>
      </c>
      <c r="H173" s="330">
        <f t="shared" si="17"/>
        <v>45930</v>
      </c>
      <c r="I173" s="331">
        <f t="shared" si="18"/>
        <v>2025</v>
      </c>
      <c r="J173" s="290">
        <f t="shared" si="19"/>
        <v>86</v>
      </c>
      <c r="K173" s="297"/>
      <c r="L173" s="297" t="s">
        <v>898</v>
      </c>
      <c r="N173" s="332" t="str">
        <f t="shared" si="20"/>
        <v>Chapel</v>
      </c>
      <c r="O173" s="298">
        <v>6250</v>
      </c>
      <c r="P173" s="298"/>
      <c r="Q173" s="302">
        <f t="shared" si="21"/>
        <v>6250</v>
      </c>
      <c r="T173" s="329"/>
      <c r="Z173" s="3">
        <f t="shared" si="8"/>
        <v>7</v>
      </c>
    </row>
    <row r="174" spans="2:26" ht="15.75" customHeight="1">
      <c r="B174" s="340" t="s">
        <v>1046</v>
      </c>
      <c r="C174" s="290"/>
      <c r="D174" s="289">
        <v>46010</v>
      </c>
      <c r="E174" s="330">
        <f t="shared" si="15"/>
        <v>46022</v>
      </c>
      <c r="F174" s="331">
        <f t="shared" si="16"/>
        <v>4</v>
      </c>
      <c r="G174" s="289">
        <v>45525</v>
      </c>
      <c r="H174" s="330">
        <f t="shared" si="17"/>
        <v>45535</v>
      </c>
      <c r="I174" s="331">
        <f t="shared" si="18"/>
        <v>2024</v>
      </c>
      <c r="J174" s="290">
        <f t="shared" si="19"/>
        <v>485</v>
      </c>
      <c r="K174" s="297"/>
      <c r="L174" s="297" t="s">
        <v>898</v>
      </c>
      <c r="N174" s="332" t="str">
        <f t="shared" si="20"/>
        <v>Chapel</v>
      </c>
      <c r="O174" s="298">
        <v>6500</v>
      </c>
      <c r="P174" s="298"/>
      <c r="Q174" s="302">
        <f t="shared" si="21"/>
        <v>6500</v>
      </c>
      <c r="T174" s="329"/>
      <c r="Z174" s="3">
        <f t="shared" si="8"/>
        <v>6</v>
      </c>
    </row>
    <row r="175" spans="2:26" ht="15.75" customHeight="1">
      <c r="B175" s="287"/>
      <c r="C175" s="290"/>
      <c r="D175" s="289"/>
      <c r="E175" s="330"/>
      <c r="F175" s="330"/>
      <c r="G175" s="289"/>
      <c r="H175" s="330"/>
      <c r="I175" s="331"/>
      <c r="J175" s="330"/>
      <c r="K175" s="297"/>
      <c r="L175" s="297"/>
      <c r="N175" s="332"/>
      <c r="O175" s="298"/>
      <c r="P175" s="298"/>
      <c r="T175" s="329"/>
      <c r="Z175" s="3">
        <f t="shared" si="8"/>
        <v>7</v>
      </c>
    </row>
    <row r="176" spans="2:26" ht="15.75" customHeight="1">
      <c r="B176" s="287"/>
      <c r="C176" s="290"/>
      <c r="D176" s="289"/>
      <c r="E176" s="330"/>
      <c r="F176" s="330"/>
      <c r="G176" s="289"/>
      <c r="H176" s="330"/>
      <c r="I176" s="331"/>
      <c r="J176" s="330"/>
      <c r="K176" s="297"/>
      <c r="L176" s="297"/>
      <c r="N176" s="332"/>
      <c r="P176" s="298"/>
      <c r="T176" s="329"/>
      <c r="Z176" s="3">
        <f t="shared" si="8"/>
        <v>7</v>
      </c>
    </row>
    <row r="177" spans="2:26" ht="15.75" customHeight="1">
      <c r="B177" s="287"/>
      <c r="C177" s="290"/>
      <c r="D177" s="289"/>
      <c r="E177" s="330"/>
      <c r="F177" s="330"/>
      <c r="G177" s="289"/>
      <c r="H177" s="330"/>
      <c r="I177" s="331"/>
      <c r="J177" s="330"/>
      <c r="K177" s="289"/>
      <c r="L177" s="297"/>
      <c r="M177" s="297"/>
      <c r="N177" s="332"/>
      <c r="T177" s="42"/>
      <c r="Z177" s="3">
        <f t="shared" si="8"/>
        <v>7</v>
      </c>
    </row>
    <row r="178" spans="2:26" ht="15.75" customHeight="1">
      <c r="B178" s="287" t="s">
        <v>1047</v>
      </c>
      <c r="C178" s="290"/>
      <c r="D178" s="289">
        <v>45352</v>
      </c>
      <c r="E178" s="330">
        <f t="shared" ref="E178:E352" si="22">EOMONTH(D178,0)</f>
        <v>45382</v>
      </c>
      <c r="F178" s="331">
        <f t="shared" ref="F178:F352" si="23">WEEKDAY(E178)</f>
        <v>1</v>
      </c>
      <c r="G178" s="289">
        <v>44988</v>
      </c>
      <c r="H178" s="330">
        <f t="shared" ref="H178:H352" si="24">EOMONTH(G178,0)</f>
        <v>45016</v>
      </c>
      <c r="I178" s="331">
        <f t="shared" ref="I178:I352" si="25">YEAR(H178)</f>
        <v>2023</v>
      </c>
      <c r="J178" s="290">
        <f t="shared" ref="J178:J352" si="26">(D178-G178)</f>
        <v>364</v>
      </c>
      <c r="K178" s="289" t="s">
        <v>898</v>
      </c>
      <c r="L178" s="297"/>
      <c r="M178" s="297"/>
      <c r="N178" s="332" t="str">
        <f t="shared" ref="N178:N352" si="27">IF(K178="x","Barn",IF(L178="x","Chapel","Elopement"))</f>
        <v>Barn</v>
      </c>
      <c r="O178" s="3">
        <v>6500</v>
      </c>
      <c r="Q178" s="3">
        <f t="shared" ref="Q178:Q352" si="28">SUM(O178:P178)</f>
        <v>6500</v>
      </c>
      <c r="T178" s="42"/>
      <c r="Z178" s="3">
        <f t="shared" si="8"/>
        <v>6</v>
      </c>
    </row>
    <row r="179" spans="2:26" ht="15.75" customHeight="1">
      <c r="B179" s="287" t="s">
        <v>1048</v>
      </c>
      <c r="C179" s="290"/>
      <c r="D179" s="289">
        <v>45353</v>
      </c>
      <c r="E179" s="330">
        <f t="shared" si="22"/>
        <v>45382</v>
      </c>
      <c r="F179" s="331">
        <f t="shared" si="23"/>
        <v>1</v>
      </c>
      <c r="G179" s="289">
        <v>44944</v>
      </c>
      <c r="H179" s="330">
        <f t="shared" si="24"/>
        <v>44957</v>
      </c>
      <c r="I179" s="331">
        <f t="shared" si="25"/>
        <v>2023</v>
      </c>
      <c r="J179" s="290">
        <f t="shared" si="26"/>
        <v>409</v>
      </c>
      <c r="K179" s="294" t="s">
        <v>898</v>
      </c>
      <c r="L179" s="297"/>
      <c r="M179" s="297"/>
      <c r="N179" s="332" t="str">
        <f t="shared" si="27"/>
        <v>Barn</v>
      </c>
      <c r="O179" s="3">
        <v>7000</v>
      </c>
      <c r="Q179" s="3">
        <f t="shared" si="28"/>
        <v>7000</v>
      </c>
      <c r="T179" s="42"/>
      <c r="Z179" s="3">
        <f t="shared" si="8"/>
        <v>7</v>
      </c>
    </row>
    <row r="180" spans="2:26" ht="15.75" customHeight="1">
      <c r="B180" s="287" t="s">
        <v>1049</v>
      </c>
      <c r="C180" s="290"/>
      <c r="D180" s="289">
        <v>45367</v>
      </c>
      <c r="E180" s="330">
        <f t="shared" si="22"/>
        <v>45382</v>
      </c>
      <c r="F180" s="331">
        <f t="shared" si="23"/>
        <v>1</v>
      </c>
      <c r="G180" s="289">
        <v>45126</v>
      </c>
      <c r="H180" s="330">
        <f t="shared" si="24"/>
        <v>45138</v>
      </c>
      <c r="I180" s="331">
        <f t="shared" si="25"/>
        <v>2023</v>
      </c>
      <c r="J180" s="290">
        <f t="shared" si="26"/>
        <v>241</v>
      </c>
      <c r="K180" s="294" t="s">
        <v>898</v>
      </c>
      <c r="L180" s="297"/>
      <c r="M180" s="297"/>
      <c r="N180" s="332" t="str">
        <f t="shared" si="27"/>
        <v>Barn</v>
      </c>
      <c r="O180" s="3">
        <v>7250</v>
      </c>
      <c r="Q180" s="3">
        <f t="shared" si="28"/>
        <v>7250</v>
      </c>
      <c r="T180" s="42"/>
      <c r="Z180" s="3">
        <f t="shared" si="8"/>
        <v>7</v>
      </c>
    </row>
    <row r="181" spans="2:26" ht="15.75" customHeight="1">
      <c r="B181" s="287" t="s">
        <v>1050</v>
      </c>
      <c r="C181" s="290"/>
      <c r="D181" s="289">
        <v>45374</v>
      </c>
      <c r="E181" s="330">
        <f t="shared" si="22"/>
        <v>45382</v>
      </c>
      <c r="F181" s="331">
        <f t="shared" si="23"/>
        <v>1</v>
      </c>
      <c r="G181" s="289">
        <v>45037</v>
      </c>
      <c r="H181" s="330">
        <f t="shared" si="24"/>
        <v>45046</v>
      </c>
      <c r="I181" s="331">
        <f t="shared" si="25"/>
        <v>2023</v>
      </c>
      <c r="J181" s="290">
        <f t="shared" si="26"/>
        <v>337</v>
      </c>
      <c r="K181" s="294" t="s">
        <v>898</v>
      </c>
      <c r="L181" s="297"/>
      <c r="M181" s="297"/>
      <c r="N181" s="332" t="str">
        <f t="shared" si="27"/>
        <v>Barn</v>
      </c>
      <c r="O181" s="3">
        <v>7500</v>
      </c>
      <c r="Q181" s="3">
        <f t="shared" si="28"/>
        <v>7500</v>
      </c>
      <c r="T181" s="42"/>
      <c r="Z181" s="3">
        <f t="shared" si="8"/>
        <v>7</v>
      </c>
    </row>
    <row r="182" spans="2:26" ht="15.75" customHeight="1">
      <c r="B182" s="287" t="s">
        <v>1051</v>
      </c>
      <c r="C182" s="290"/>
      <c r="D182" s="289">
        <v>45381</v>
      </c>
      <c r="E182" s="330">
        <f t="shared" si="22"/>
        <v>45382</v>
      </c>
      <c r="F182" s="331">
        <f t="shared" si="23"/>
        <v>1</v>
      </c>
      <c r="G182" s="289">
        <v>45087</v>
      </c>
      <c r="H182" s="330">
        <f t="shared" si="24"/>
        <v>45107</v>
      </c>
      <c r="I182" s="331">
        <f t="shared" si="25"/>
        <v>2023</v>
      </c>
      <c r="J182" s="290">
        <f t="shared" si="26"/>
        <v>294</v>
      </c>
      <c r="K182" s="294" t="s">
        <v>898</v>
      </c>
      <c r="L182" s="297"/>
      <c r="M182" s="297"/>
      <c r="N182" s="332" t="str">
        <f t="shared" si="27"/>
        <v>Barn</v>
      </c>
      <c r="O182" s="3">
        <v>6500</v>
      </c>
      <c r="Q182" s="3">
        <f t="shared" si="28"/>
        <v>6500</v>
      </c>
      <c r="T182" s="42"/>
      <c r="Z182" s="3">
        <f t="shared" si="8"/>
        <v>7</v>
      </c>
    </row>
    <row r="183" spans="2:26" ht="15.75" customHeight="1">
      <c r="B183" s="287" t="s">
        <v>1052</v>
      </c>
      <c r="C183" s="290"/>
      <c r="D183" s="289">
        <v>45387</v>
      </c>
      <c r="E183" s="330">
        <f t="shared" si="22"/>
        <v>45412</v>
      </c>
      <c r="F183" s="331">
        <f t="shared" si="23"/>
        <v>3</v>
      </c>
      <c r="G183" s="289">
        <v>45297</v>
      </c>
      <c r="H183" s="330">
        <f t="shared" si="24"/>
        <v>45322</v>
      </c>
      <c r="I183" s="331">
        <f t="shared" si="25"/>
        <v>2024</v>
      </c>
      <c r="J183" s="290">
        <f t="shared" si="26"/>
        <v>90</v>
      </c>
      <c r="K183" s="294" t="s">
        <v>898</v>
      </c>
      <c r="L183" s="297"/>
      <c r="M183" s="297"/>
      <c r="N183" s="332" t="str">
        <f t="shared" si="27"/>
        <v>Barn</v>
      </c>
      <c r="O183" s="3">
        <v>5500</v>
      </c>
      <c r="Q183" s="3">
        <f t="shared" si="28"/>
        <v>5500</v>
      </c>
      <c r="T183" s="42"/>
      <c r="Z183" s="3">
        <f t="shared" si="8"/>
        <v>6</v>
      </c>
    </row>
    <row r="184" spans="2:26" ht="15.75" customHeight="1">
      <c r="B184" s="287" t="s">
        <v>1053</v>
      </c>
      <c r="C184" s="290"/>
      <c r="D184" s="289">
        <v>45388</v>
      </c>
      <c r="E184" s="330">
        <f t="shared" si="22"/>
        <v>45412</v>
      </c>
      <c r="F184" s="331">
        <f t="shared" si="23"/>
        <v>3</v>
      </c>
      <c r="G184" s="289">
        <v>44994</v>
      </c>
      <c r="H184" s="330">
        <f t="shared" si="24"/>
        <v>45016</v>
      </c>
      <c r="I184" s="331">
        <f t="shared" si="25"/>
        <v>2023</v>
      </c>
      <c r="J184" s="290">
        <f t="shared" si="26"/>
        <v>394</v>
      </c>
      <c r="K184" s="294" t="s">
        <v>898</v>
      </c>
      <c r="L184" s="297"/>
      <c r="M184" s="297"/>
      <c r="N184" s="332" t="str">
        <f t="shared" si="27"/>
        <v>Barn</v>
      </c>
      <c r="O184" s="3">
        <v>6000</v>
      </c>
      <c r="Q184" s="3">
        <f t="shared" si="28"/>
        <v>6000</v>
      </c>
      <c r="T184" s="42"/>
      <c r="Z184" s="3">
        <f t="shared" si="8"/>
        <v>7</v>
      </c>
    </row>
    <row r="185" spans="2:26" ht="15.75" customHeight="1">
      <c r="B185" s="287" t="s">
        <v>1054</v>
      </c>
      <c r="C185" s="290"/>
      <c r="D185" s="289">
        <v>45395</v>
      </c>
      <c r="E185" s="330">
        <f t="shared" si="22"/>
        <v>45412</v>
      </c>
      <c r="F185" s="331">
        <f t="shared" si="23"/>
        <v>3</v>
      </c>
      <c r="G185" s="289">
        <v>45138</v>
      </c>
      <c r="H185" s="330">
        <f t="shared" si="24"/>
        <v>45138</v>
      </c>
      <c r="I185" s="331">
        <f t="shared" si="25"/>
        <v>2023</v>
      </c>
      <c r="J185" s="290">
        <f t="shared" si="26"/>
        <v>257</v>
      </c>
      <c r="K185" s="294" t="s">
        <v>898</v>
      </c>
      <c r="L185" s="297"/>
      <c r="M185" s="297"/>
      <c r="N185" s="332" t="str">
        <f t="shared" si="27"/>
        <v>Barn</v>
      </c>
      <c r="O185" s="3">
        <v>12500</v>
      </c>
      <c r="Q185" s="3">
        <f t="shared" si="28"/>
        <v>12500</v>
      </c>
      <c r="T185" s="42"/>
      <c r="Z185" s="3">
        <f t="shared" si="8"/>
        <v>7</v>
      </c>
    </row>
    <row r="186" spans="2:26" ht="15.75" customHeight="1">
      <c r="B186" s="287" t="s">
        <v>1055</v>
      </c>
      <c r="C186" s="290"/>
      <c r="D186" s="289">
        <v>45401</v>
      </c>
      <c r="E186" s="330">
        <f t="shared" si="22"/>
        <v>45412</v>
      </c>
      <c r="F186" s="331">
        <f t="shared" si="23"/>
        <v>3</v>
      </c>
      <c r="G186" s="289">
        <v>45061</v>
      </c>
      <c r="H186" s="330">
        <f t="shared" si="24"/>
        <v>45077</v>
      </c>
      <c r="I186" s="331">
        <f t="shared" si="25"/>
        <v>2023</v>
      </c>
      <c r="J186" s="290">
        <f t="shared" si="26"/>
        <v>340</v>
      </c>
      <c r="K186" s="294" t="s">
        <v>898</v>
      </c>
      <c r="L186" s="297"/>
      <c r="M186" s="297"/>
      <c r="N186" s="332" t="str">
        <f t="shared" si="27"/>
        <v>Barn</v>
      </c>
      <c r="O186" s="3">
        <v>6500</v>
      </c>
      <c r="Q186" s="3">
        <f t="shared" si="28"/>
        <v>6500</v>
      </c>
      <c r="T186" s="42"/>
      <c r="Z186" s="3">
        <f t="shared" si="8"/>
        <v>6</v>
      </c>
    </row>
    <row r="187" spans="2:26" ht="15.75" customHeight="1">
      <c r="B187" s="287" t="s">
        <v>1056</v>
      </c>
      <c r="C187" s="290"/>
      <c r="D187" s="289">
        <v>45403</v>
      </c>
      <c r="E187" s="330">
        <f t="shared" si="22"/>
        <v>45412</v>
      </c>
      <c r="F187" s="331">
        <f t="shared" si="23"/>
        <v>3</v>
      </c>
      <c r="G187" s="289">
        <v>45209</v>
      </c>
      <c r="H187" s="330">
        <f t="shared" si="24"/>
        <v>45230</v>
      </c>
      <c r="I187" s="331">
        <f t="shared" si="25"/>
        <v>2023</v>
      </c>
      <c r="J187" s="290">
        <f t="shared" si="26"/>
        <v>194</v>
      </c>
      <c r="K187" s="294" t="s">
        <v>898</v>
      </c>
      <c r="L187" s="297"/>
      <c r="M187" s="297"/>
      <c r="N187" s="332" t="str">
        <f t="shared" si="27"/>
        <v>Barn</v>
      </c>
      <c r="O187" s="3">
        <v>6500</v>
      </c>
      <c r="P187" s="332"/>
      <c r="Q187" s="3">
        <f t="shared" si="28"/>
        <v>6500</v>
      </c>
      <c r="T187" s="343">
        <v>3943</v>
      </c>
      <c r="Z187" s="3">
        <f t="shared" si="8"/>
        <v>1</v>
      </c>
    </row>
    <row r="188" spans="2:26" ht="15.75" customHeight="1">
      <c r="B188" s="287" t="s">
        <v>1057</v>
      </c>
      <c r="C188" s="290"/>
      <c r="D188" s="289">
        <v>45409</v>
      </c>
      <c r="E188" s="330">
        <f t="shared" si="22"/>
        <v>45412</v>
      </c>
      <c r="F188" s="331">
        <f t="shared" si="23"/>
        <v>3</v>
      </c>
      <c r="G188" s="289">
        <v>45014</v>
      </c>
      <c r="H188" s="330">
        <f t="shared" si="24"/>
        <v>45016</v>
      </c>
      <c r="I188" s="331">
        <f t="shared" si="25"/>
        <v>2023</v>
      </c>
      <c r="J188" s="290">
        <f t="shared" si="26"/>
        <v>395</v>
      </c>
      <c r="K188" s="294" t="s">
        <v>898</v>
      </c>
      <c r="L188" s="297"/>
      <c r="M188" s="297"/>
      <c r="N188" s="332" t="str">
        <f t="shared" si="27"/>
        <v>Barn</v>
      </c>
      <c r="O188" s="3">
        <v>6000</v>
      </c>
      <c r="Q188" s="3">
        <f t="shared" si="28"/>
        <v>6000</v>
      </c>
      <c r="T188" s="42"/>
      <c r="Z188" s="3">
        <f t="shared" si="8"/>
        <v>7</v>
      </c>
    </row>
    <row r="189" spans="2:26" ht="15.75" customHeight="1">
      <c r="B189" s="287" t="s">
        <v>1058</v>
      </c>
      <c r="C189" s="290"/>
      <c r="D189" s="289">
        <v>45408</v>
      </c>
      <c r="E189" s="330">
        <f t="shared" si="22"/>
        <v>45412</v>
      </c>
      <c r="F189" s="331">
        <f t="shared" si="23"/>
        <v>3</v>
      </c>
      <c r="G189" s="289">
        <v>45014</v>
      </c>
      <c r="H189" s="330">
        <f t="shared" si="24"/>
        <v>45016</v>
      </c>
      <c r="I189" s="331">
        <f t="shared" si="25"/>
        <v>2023</v>
      </c>
      <c r="J189" s="290">
        <f t="shared" si="26"/>
        <v>394</v>
      </c>
      <c r="K189" s="294" t="s">
        <v>898</v>
      </c>
      <c r="L189" s="297"/>
      <c r="M189" s="297"/>
      <c r="N189" s="332" t="str">
        <f t="shared" si="27"/>
        <v>Barn</v>
      </c>
      <c r="O189" s="3">
        <v>7000</v>
      </c>
      <c r="Q189" s="3">
        <f t="shared" si="28"/>
        <v>7000</v>
      </c>
      <c r="T189" s="42"/>
      <c r="Z189" s="3">
        <f t="shared" si="8"/>
        <v>6</v>
      </c>
    </row>
    <row r="190" spans="2:26" ht="15.75" customHeight="1">
      <c r="B190" s="287" t="s">
        <v>1059</v>
      </c>
      <c r="C190" s="290"/>
      <c r="D190" s="289">
        <v>45409</v>
      </c>
      <c r="E190" s="330">
        <f t="shared" si="22"/>
        <v>45412</v>
      </c>
      <c r="F190" s="331">
        <f t="shared" si="23"/>
        <v>3</v>
      </c>
      <c r="G190" s="289">
        <v>45134</v>
      </c>
      <c r="H190" s="330">
        <f t="shared" si="24"/>
        <v>45138</v>
      </c>
      <c r="I190" s="331">
        <f t="shared" si="25"/>
        <v>2023</v>
      </c>
      <c r="J190" s="290">
        <f t="shared" si="26"/>
        <v>275</v>
      </c>
      <c r="K190" s="294" t="s">
        <v>898</v>
      </c>
      <c r="L190" s="297"/>
      <c r="M190" s="297"/>
      <c r="N190" s="332" t="str">
        <f t="shared" si="27"/>
        <v>Barn</v>
      </c>
      <c r="O190" s="3">
        <v>6250</v>
      </c>
      <c r="Q190" s="3">
        <f t="shared" si="28"/>
        <v>6250</v>
      </c>
      <c r="T190" s="42"/>
      <c r="Z190" s="3">
        <f t="shared" si="8"/>
        <v>7</v>
      </c>
    </row>
    <row r="191" spans="2:26" ht="15.75" customHeight="1">
      <c r="B191" s="287" t="s">
        <v>1060</v>
      </c>
      <c r="C191" s="290"/>
      <c r="D191" s="289">
        <v>45415</v>
      </c>
      <c r="E191" s="330">
        <f t="shared" si="22"/>
        <v>45443</v>
      </c>
      <c r="F191" s="331">
        <f t="shared" si="23"/>
        <v>6</v>
      </c>
      <c r="G191" s="289">
        <v>44805</v>
      </c>
      <c r="H191" s="330">
        <f t="shared" si="24"/>
        <v>44834</v>
      </c>
      <c r="I191" s="331">
        <f t="shared" si="25"/>
        <v>2022</v>
      </c>
      <c r="J191" s="290">
        <f t="shared" si="26"/>
        <v>610</v>
      </c>
      <c r="K191" s="294" t="s">
        <v>898</v>
      </c>
      <c r="L191" s="297"/>
      <c r="M191" s="297"/>
      <c r="N191" s="332" t="str">
        <f t="shared" si="27"/>
        <v>Barn</v>
      </c>
      <c r="O191" s="3">
        <v>4500</v>
      </c>
      <c r="Q191" s="3">
        <f t="shared" si="28"/>
        <v>4500</v>
      </c>
      <c r="T191" s="42"/>
      <c r="Z191" s="3">
        <f t="shared" si="8"/>
        <v>6</v>
      </c>
    </row>
    <row r="192" spans="2:26" ht="15.75" customHeight="1">
      <c r="B192" s="287" t="s">
        <v>1061</v>
      </c>
      <c r="C192" s="290"/>
      <c r="D192" s="289">
        <v>45416</v>
      </c>
      <c r="E192" s="330">
        <f t="shared" si="22"/>
        <v>45443</v>
      </c>
      <c r="F192" s="331">
        <f t="shared" si="23"/>
        <v>6</v>
      </c>
      <c r="G192" s="289">
        <v>45031</v>
      </c>
      <c r="H192" s="330">
        <f t="shared" si="24"/>
        <v>45046</v>
      </c>
      <c r="I192" s="331">
        <f t="shared" si="25"/>
        <v>2023</v>
      </c>
      <c r="J192" s="290">
        <f t="shared" si="26"/>
        <v>385</v>
      </c>
      <c r="K192" s="294" t="s">
        <v>898</v>
      </c>
      <c r="L192" s="297"/>
      <c r="M192" s="297"/>
      <c r="N192" s="332" t="str">
        <f t="shared" si="27"/>
        <v>Barn</v>
      </c>
      <c r="O192" s="3">
        <v>6500</v>
      </c>
      <c r="Q192" s="3">
        <f t="shared" si="28"/>
        <v>6500</v>
      </c>
      <c r="T192" s="42"/>
      <c r="Z192" s="3">
        <f t="shared" si="8"/>
        <v>7</v>
      </c>
    </row>
    <row r="193" spans="2:26" ht="15.75" customHeight="1">
      <c r="B193" s="287" t="s">
        <v>1062</v>
      </c>
      <c r="C193" s="290"/>
      <c r="D193" s="289">
        <v>45423</v>
      </c>
      <c r="E193" s="330">
        <f t="shared" si="22"/>
        <v>45443</v>
      </c>
      <c r="F193" s="331">
        <f t="shared" si="23"/>
        <v>6</v>
      </c>
      <c r="G193" s="289">
        <v>44956</v>
      </c>
      <c r="H193" s="330">
        <f t="shared" si="24"/>
        <v>44957</v>
      </c>
      <c r="I193" s="331">
        <f t="shared" si="25"/>
        <v>2023</v>
      </c>
      <c r="J193" s="290">
        <f t="shared" si="26"/>
        <v>467</v>
      </c>
      <c r="K193" s="294" t="s">
        <v>898</v>
      </c>
      <c r="L193" s="297"/>
      <c r="M193" s="297"/>
      <c r="N193" s="332" t="str">
        <f t="shared" si="27"/>
        <v>Barn</v>
      </c>
      <c r="O193" s="3">
        <v>6000</v>
      </c>
      <c r="Q193" s="3">
        <f t="shared" si="28"/>
        <v>6000</v>
      </c>
      <c r="T193" s="42"/>
      <c r="Z193" s="3">
        <f t="shared" si="8"/>
        <v>7</v>
      </c>
    </row>
    <row r="194" spans="2:26" ht="15.75" customHeight="1">
      <c r="B194" s="287" t="s">
        <v>1063</v>
      </c>
      <c r="C194" s="290"/>
      <c r="D194" s="289">
        <v>45430</v>
      </c>
      <c r="E194" s="330">
        <f t="shared" si="22"/>
        <v>45443</v>
      </c>
      <c r="F194" s="331">
        <f t="shared" si="23"/>
        <v>6</v>
      </c>
      <c r="G194" s="289">
        <v>45215</v>
      </c>
      <c r="H194" s="330">
        <f t="shared" si="24"/>
        <v>45230</v>
      </c>
      <c r="I194" s="331">
        <f t="shared" si="25"/>
        <v>2023</v>
      </c>
      <c r="J194" s="290">
        <f t="shared" si="26"/>
        <v>215</v>
      </c>
      <c r="K194" s="294" t="s">
        <v>898</v>
      </c>
      <c r="L194" s="297"/>
      <c r="M194" s="297"/>
      <c r="N194" s="332" t="str">
        <f t="shared" si="27"/>
        <v>Barn</v>
      </c>
      <c r="O194" s="3">
        <v>6500</v>
      </c>
      <c r="P194" s="332"/>
      <c r="Q194" s="3">
        <f t="shared" si="28"/>
        <v>6500</v>
      </c>
      <c r="T194" s="343">
        <v>4526</v>
      </c>
      <c r="Z194" s="3">
        <f t="shared" si="8"/>
        <v>7</v>
      </c>
    </row>
    <row r="195" spans="2:26" ht="15.75" customHeight="1">
      <c r="B195" s="287" t="s">
        <v>1064</v>
      </c>
      <c r="C195" s="290"/>
      <c r="D195" s="289">
        <v>45437</v>
      </c>
      <c r="E195" s="330">
        <f t="shared" si="22"/>
        <v>45443</v>
      </c>
      <c r="F195" s="331">
        <f t="shared" si="23"/>
        <v>6</v>
      </c>
      <c r="G195" s="289">
        <v>45251</v>
      </c>
      <c r="H195" s="330">
        <f t="shared" si="24"/>
        <v>45260</v>
      </c>
      <c r="I195" s="331">
        <f t="shared" si="25"/>
        <v>2023</v>
      </c>
      <c r="J195" s="290">
        <f t="shared" si="26"/>
        <v>186</v>
      </c>
      <c r="K195" s="294" t="s">
        <v>898</v>
      </c>
      <c r="L195" s="297"/>
      <c r="M195" s="297"/>
      <c r="N195" s="332" t="str">
        <f t="shared" si="27"/>
        <v>Barn</v>
      </c>
      <c r="O195" s="3">
        <v>6500</v>
      </c>
      <c r="Q195" s="3">
        <f t="shared" si="28"/>
        <v>6500</v>
      </c>
      <c r="T195" s="42"/>
      <c r="Z195" s="3">
        <f t="shared" si="8"/>
        <v>7</v>
      </c>
    </row>
    <row r="196" spans="2:26" ht="15.75" customHeight="1">
      <c r="B196" s="287" t="s">
        <v>1065</v>
      </c>
      <c r="C196" s="290"/>
      <c r="D196" s="289">
        <v>45444</v>
      </c>
      <c r="E196" s="330">
        <f t="shared" si="22"/>
        <v>45473</v>
      </c>
      <c r="F196" s="331">
        <f t="shared" si="23"/>
        <v>1</v>
      </c>
      <c r="G196" s="289">
        <v>45120</v>
      </c>
      <c r="H196" s="330">
        <f t="shared" si="24"/>
        <v>45138</v>
      </c>
      <c r="I196" s="331">
        <f t="shared" si="25"/>
        <v>2023</v>
      </c>
      <c r="J196" s="290">
        <f t="shared" si="26"/>
        <v>324</v>
      </c>
      <c r="K196" s="294" t="s">
        <v>898</v>
      </c>
      <c r="L196" s="297"/>
      <c r="M196" s="297"/>
      <c r="N196" s="332" t="str">
        <f t="shared" si="27"/>
        <v>Barn</v>
      </c>
      <c r="O196" s="3">
        <v>6500</v>
      </c>
      <c r="Q196" s="3">
        <f t="shared" si="28"/>
        <v>6500</v>
      </c>
      <c r="T196" s="42"/>
      <c r="Z196" s="3">
        <f t="shared" si="8"/>
        <v>7</v>
      </c>
    </row>
    <row r="197" spans="2:26" ht="15.75" customHeight="1">
      <c r="B197" s="287" t="s">
        <v>1066</v>
      </c>
      <c r="C197" s="290"/>
      <c r="D197" s="289">
        <v>45451</v>
      </c>
      <c r="E197" s="330">
        <f t="shared" si="22"/>
        <v>45473</v>
      </c>
      <c r="F197" s="331">
        <f t="shared" si="23"/>
        <v>1</v>
      </c>
      <c r="G197" s="289">
        <v>45204</v>
      </c>
      <c r="H197" s="330">
        <f t="shared" si="24"/>
        <v>45230</v>
      </c>
      <c r="I197" s="331">
        <f t="shared" si="25"/>
        <v>2023</v>
      </c>
      <c r="J197" s="290">
        <f t="shared" si="26"/>
        <v>247</v>
      </c>
      <c r="K197" s="294" t="s">
        <v>898</v>
      </c>
      <c r="L197" s="297"/>
      <c r="M197" s="297"/>
      <c r="N197" s="332" t="str">
        <f t="shared" si="27"/>
        <v>Barn</v>
      </c>
      <c r="O197" s="3">
        <v>6500</v>
      </c>
      <c r="Q197" s="3">
        <f t="shared" si="28"/>
        <v>6500</v>
      </c>
      <c r="T197" s="42"/>
      <c r="Z197" s="3">
        <f t="shared" si="8"/>
        <v>7</v>
      </c>
    </row>
    <row r="198" spans="2:26" ht="15.75" customHeight="1">
      <c r="B198" s="287" t="s">
        <v>1067</v>
      </c>
      <c r="C198" s="290"/>
      <c r="D198" s="289">
        <v>45465</v>
      </c>
      <c r="E198" s="330">
        <f t="shared" si="22"/>
        <v>45473</v>
      </c>
      <c r="F198" s="331">
        <f t="shared" si="23"/>
        <v>1</v>
      </c>
      <c r="G198" s="289">
        <v>45143</v>
      </c>
      <c r="H198" s="330">
        <f t="shared" si="24"/>
        <v>45169</v>
      </c>
      <c r="I198" s="331">
        <f t="shared" si="25"/>
        <v>2023</v>
      </c>
      <c r="J198" s="290">
        <f t="shared" si="26"/>
        <v>322</v>
      </c>
      <c r="K198" s="294" t="s">
        <v>898</v>
      </c>
      <c r="L198" s="297"/>
      <c r="M198" s="297"/>
      <c r="N198" s="332" t="str">
        <f t="shared" si="27"/>
        <v>Barn</v>
      </c>
      <c r="O198" s="3">
        <v>6500</v>
      </c>
      <c r="Q198" s="3">
        <f t="shared" si="28"/>
        <v>6500</v>
      </c>
      <c r="T198" s="42"/>
      <c r="Z198" s="3">
        <f t="shared" si="8"/>
        <v>7</v>
      </c>
    </row>
    <row r="199" spans="2:26" ht="15.75" customHeight="1">
      <c r="B199" s="287" t="s">
        <v>1068</v>
      </c>
      <c r="C199" s="290"/>
      <c r="D199" s="289">
        <v>45507</v>
      </c>
      <c r="E199" s="330">
        <f t="shared" si="22"/>
        <v>45535</v>
      </c>
      <c r="F199" s="331">
        <f t="shared" si="23"/>
        <v>7</v>
      </c>
      <c r="G199" s="289">
        <v>45405</v>
      </c>
      <c r="H199" s="330">
        <f t="shared" si="24"/>
        <v>45412</v>
      </c>
      <c r="I199" s="331">
        <f t="shared" si="25"/>
        <v>2024</v>
      </c>
      <c r="J199" s="290">
        <f t="shared" si="26"/>
        <v>102</v>
      </c>
      <c r="K199" s="294" t="s">
        <v>898</v>
      </c>
      <c r="L199" s="297"/>
      <c r="M199" s="297"/>
      <c r="N199" s="332" t="str">
        <f t="shared" si="27"/>
        <v>Barn</v>
      </c>
      <c r="O199" s="3">
        <v>6500</v>
      </c>
      <c r="Q199" s="3">
        <f t="shared" si="28"/>
        <v>6500</v>
      </c>
      <c r="T199" s="42"/>
      <c r="Z199" s="3">
        <f t="shared" si="8"/>
        <v>7</v>
      </c>
    </row>
    <row r="200" spans="2:26" ht="15.75" customHeight="1">
      <c r="B200" s="287" t="s">
        <v>1069</v>
      </c>
      <c r="C200" s="290"/>
      <c r="D200" s="289">
        <v>45528</v>
      </c>
      <c r="E200" s="330">
        <f t="shared" si="22"/>
        <v>45535</v>
      </c>
      <c r="F200" s="331">
        <f t="shared" si="23"/>
        <v>7</v>
      </c>
      <c r="G200" s="289">
        <v>45264</v>
      </c>
      <c r="H200" s="330">
        <f t="shared" si="24"/>
        <v>45291</v>
      </c>
      <c r="I200" s="331">
        <f t="shared" si="25"/>
        <v>2023</v>
      </c>
      <c r="J200" s="290">
        <f t="shared" si="26"/>
        <v>264</v>
      </c>
      <c r="K200" s="294" t="s">
        <v>898</v>
      </c>
      <c r="L200" s="297"/>
      <c r="M200" s="297"/>
      <c r="N200" s="332" t="str">
        <f t="shared" si="27"/>
        <v>Barn</v>
      </c>
      <c r="O200" s="3">
        <v>6500</v>
      </c>
      <c r="Q200" s="3">
        <f t="shared" si="28"/>
        <v>6500</v>
      </c>
      <c r="T200" s="42"/>
      <c r="Z200" s="3">
        <f t="shared" si="8"/>
        <v>7</v>
      </c>
    </row>
    <row r="201" spans="2:26" ht="15.75" customHeight="1">
      <c r="B201" s="287" t="s">
        <v>1070</v>
      </c>
      <c r="C201" s="290"/>
      <c r="D201" s="289">
        <v>45535</v>
      </c>
      <c r="E201" s="330">
        <f t="shared" si="22"/>
        <v>45535</v>
      </c>
      <c r="F201" s="331">
        <f t="shared" si="23"/>
        <v>7</v>
      </c>
      <c r="G201" s="289">
        <v>45357</v>
      </c>
      <c r="H201" s="330">
        <f t="shared" si="24"/>
        <v>45382</v>
      </c>
      <c r="I201" s="331">
        <f t="shared" si="25"/>
        <v>2024</v>
      </c>
      <c r="J201" s="290">
        <f t="shared" si="26"/>
        <v>178</v>
      </c>
      <c r="K201" s="294" t="s">
        <v>898</v>
      </c>
      <c r="L201" s="297"/>
      <c r="M201" s="297"/>
      <c r="N201" s="332" t="str">
        <f t="shared" si="27"/>
        <v>Barn</v>
      </c>
      <c r="O201" s="3">
        <v>6500</v>
      </c>
      <c r="Q201" s="3">
        <f t="shared" si="28"/>
        <v>6500</v>
      </c>
      <c r="T201" s="42"/>
      <c r="Z201" s="3">
        <f t="shared" si="8"/>
        <v>7</v>
      </c>
    </row>
    <row r="202" spans="2:26" ht="15.75" customHeight="1">
      <c r="B202" s="287" t="s">
        <v>1071</v>
      </c>
      <c r="C202" s="290"/>
      <c r="D202" s="289">
        <v>45536</v>
      </c>
      <c r="E202" s="330">
        <f t="shared" si="22"/>
        <v>45565</v>
      </c>
      <c r="F202" s="331">
        <f t="shared" si="23"/>
        <v>2</v>
      </c>
      <c r="G202" s="289">
        <v>45386</v>
      </c>
      <c r="H202" s="330">
        <f t="shared" si="24"/>
        <v>45412</v>
      </c>
      <c r="I202" s="331">
        <f t="shared" si="25"/>
        <v>2024</v>
      </c>
      <c r="J202" s="290">
        <f t="shared" si="26"/>
        <v>150</v>
      </c>
      <c r="K202" s="294" t="s">
        <v>898</v>
      </c>
      <c r="L202" s="297"/>
      <c r="M202" s="297"/>
      <c r="N202" s="332" t="str">
        <f t="shared" si="27"/>
        <v>Barn</v>
      </c>
      <c r="O202" s="3">
        <v>6500</v>
      </c>
      <c r="Q202" s="3">
        <f t="shared" si="28"/>
        <v>6500</v>
      </c>
      <c r="T202" s="42"/>
      <c r="Z202" s="3">
        <f t="shared" si="8"/>
        <v>1</v>
      </c>
    </row>
    <row r="203" spans="2:26" ht="15.75" customHeight="1">
      <c r="B203" s="287" t="s">
        <v>1072</v>
      </c>
      <c r="C203" s="290"/>
      <c r="D203" s="289">
        <v>45541</v>
      </c>
      <c r="E203" s="330">
        <f t="shared" si="22"/>
        <v>45565</v>
      </c>
      <c r="F203" s="331">
        <f t="shared" si="23"/>
        <v>2</v>
      </c>
      <c r="G203" s="289">
        <v>45320</v>
      </c>
      <c r="H203" s="330">
        <f t="shared" si="24"/>
        <v>45322</v>
      </c>
      <c r="I203" s="331">
        <f t="shared" si="25"/>
        <v>2024</v>
      </c>
      <c r="J203" s="290">
        <f t="shared" si="26"/>
        <v>221</v>
      </c>
      <c r="K203" s="294" t="s">
        <v>898</v>
      </c>
      <c r="L203" s="297"/>
      <c r="M203" s="297"/>
      <c r="N203" s="332" t="str">
        <f t="shared" si="27"/>
        <v>Barn</v>
      </c>
      <c r="O203" s="3">
        <v>5500</v>
      </c>
      <c r="Q203" s="3">
        <f t="shared" si="28"/>
        <v>5500</v>
      </c>
      <c r="T203" s="42"/>
      <c r="Z203" s="3">
        <f t="shared" si="8"/>
        <v>6</v>
      </c>
    </row>
    <row r="204" spans="2:26" ht="15.75" customHeight="1">
      <c r="B204" s="287" t="s">
        <v>1073</v>
      </c>
      <c r="C204" s="290"/>
      <c r="D204" s="289">
        <v>45542</v>
      </c>
      <c r="E204" s="330">
        <f t="shared" si="22"/>
        <v>45565</v>
      </c>
      <c r="F204" s="331">
        <f t="shared" si="23"/>
        <v>2</v>
      </c>
      <c r="G204" s="289">
        <v>45159</v>
      </c>
      <c r="H204" s="330">
        <f t="shared" si="24"/>
        <v>45169</v>
      </c>
      <c r="I204" s="331">
        <f t="shared" si="25"/>
        <v>2023</v>
      </c>
      <c r="J204" s="290">
        <f t="shared" si="26"/>
        <v>383</v>
      </c>
      <c r="K204" s="294" t="s">
        <v>898</v>
      </c>
      <c r="L204" s="297"/>
      <c r="M204" s="297"/>
      <c r="N204" s="332" t="str">
        <f t="shared" si="27"/>
        <v>Barn</v>
      </c>
      <c r="O204" s="3">
        <v>6500</v>
      </c>
      <c r="Q204" s="3">
        <f t="shared" si="28"/>
        <v>6500</v>
      </c>
      <c r="T204" s="42"/>
      <c r="Z204" s="3">
        <f t="shared" si="8"/>
        <v>7</v>
      </c>
    </row>
    <row r="205" spans="2:26" ht="15.75" customHeight="1">
      <c r="B205" s="287" t="s">
        <v>1074</v>
      </c>
      <c r="C205" s="290"/>
      <c r="D205" s="289">
        <v>45548</v>
      </c>
      <c r="E205" s="330">
        <f t="shared" si="22"/>
        <v>45565</v>
      </c>
      <c r="F205" s="331">
        <f t="shared" si="23"/>
        <v>2</v>
      </c>
      <c r="G205" s="289">
        <v>45295</v>
      </c>
      <c r="H205" s="330">
        <f t="shared" si="24"/>
        <v>45322</v>
      </c>
      <c r="I205" s="331">
        <f t="shared" si="25"/>
        <v>2024</v>
      </c>
      <c r="J205" s="290">
        <f t="shared" si="26"/>
        <v>253</v>
      </c>
      <c r="K205" s="294" t="s">
        <v>898</v>
      </c>
      <c r="L205" s="297"/>
      <c r="M205" s="297"/>
      <c r="N205" s="332" t="str">
        <f t="shared" si="27"/>
        <v>Barn</v>
      </c>
      <c r="O205" s="3">
        <v>5500</v>
      </c>
      <c r="Q205" s="3">
        <f t="shared" si="28"/>
        <v>5500</v>
      </c>
      <c r="T205" s="42"/>
      <c r="Z205" s="3">
        <f t="shared" si="8"/>
        <v>6</v>
      </c>
    </row>
    <row r="206" spans="2:26" ht="15.75" customHeight="1">
      <c r="B206" s="287" t="s">
        <v>1075</v>
      </c>
      <c r="C206" s="290"/>
      <c r="D206" s="289">
        <v>45549</v>
      </c>
      <c r="E206" s="330">
        <f t="shared" si="22"/>
        <v>45565</v>
      </c>
      <c r="F206" s="331">
        <f t="shared" si="23"/>
        <v>2</v>
      </c>
      <c r="G206" s="289">
        <v>45159</v>
      </c>
      <c r="H206" s="330">
        <f t="shared" si="24"/>
        <v>45169</v>
      </c>
      <c r="I206" s="331">
        <f t="shared" si="25"/>
        <v>2023</v>
      </c>
      <c r="J206" s="290">
        <f t="shared" si="26"/>
        <v>390</v>
      </c>
      <c r="K206" s="294" t="s">
        <v>898</v>
      </c>
      <c r="L206" s="297"/>
      <c r="M206" s="297"/>
      <c r="N206" s="332" t="str">
        <f t="shared" si="27"/>
        <v>Barn</v>
      </c>
      <c r="O206" s="3">
        <v>6500</v>
      </c>
      <c r="Q206" s="3">
        <f t="shared" si="28"/>
        <v>6500</v>
      </c>
      <c r="T206" s="42"/>
      <c r="Z206" s="3">
        <f t="shared" si="8"/>
        <v>7</v>
      </c>
    </row>
    <row r="207" spans="2:26" ht="15.75" customHeight="1">
      <c r="B207" s="287" t="s">
        <v>1076</v>
      </c>
      <c r="C207" s="290"/>
      <c r="D207" s="289">
        <v>45555</v>
      </c>
      <c r="E207" s="330">
        <f t="shared" si="22"/>
        <v>45565</v>
      </c>
      <c r="F207" s="331">
        <f t="shared" si="23"/>
        <v>2</v>
      </c>
      <c r="G207" s="289">
        <v>45194</v>
      </c>
      <c r="H207" s="330">
        <f t="shared" si="24"/>
        <v>45199</v>
      </c>
      <c r="I207" s="331">
        <f t="shared" si="25"/>
        <v>2023</v>
      </c>
      <c r="J207" s="290">
        <f t="shared" si="26"/>
        <v>361</v>
      </c>
      <c r="K207" s="294" t="s">
        <v>898</v>
      </c>
      <c r="L207" s="297"/>
      <c r="M207" s="297"/>
      <c r="N207" s="332" t="str">
        <f t="shared" si="27"/>
        <v>Barn</v>
      </c>
      <c r="O207" s="3">
        <v>6500</v>
      </c>
      <c r="Q207" s="3">
        <f t="shared" si="28"/>
        <v>6500</v>
      </c>
      <c r="T207" s="42"/>
      <c r="Z207" s="3">
        <f t="shared" si="8"/>
        <v>6</v>
      </c>
    </row>
    <row r="208" spans="2:26" ht="15.75" customHeight="1">
      <c r="B208" s="287" t="s">
        <v>1077</v>
      </c>
      <c r="C208" s="290"/>
      <c r="D208" s="289">
        <v>45556</v>
      </c>
      <c r="E208" s="330">
        <f t="shared" si="22"/>
        <v>45565</v>
      </c>
      <c r="F208" s="331">
        <f t="shared" si="23"/>
        <v>2</v>
      </c>
      <c r="G208" s="289">
        <v>45048</v>
      </c>
      <c r="H208" s="330">
        <f t="shared" si="24"/>
        <v>45077</v>
      </c>
      <c r="I208" s="331">
        <f t="shared" si="25"/>
        <v>2023</v>
      </c>
      <c r="J208" s="290">
        <f t="shared" si="26"/>
        <v>508</v>
      </c>
      <c r="K208" s="294" t="s">
        <v>898</v>
      </c>
      <c r="L208" s="297"/>
      <c r="M208" s="297"/>
      <c r="N208" s="332" t="str">
        <f t="shared" si="27"/>
        <v>Barn</v>
      </c>
      <c r="O208" s="3">
        <v>6500</v>
      </c>
      <c r="Q208" s="3">
        <f t="shared" si="28"/>
        <v>6500</v>
      </c>
      <c r="T208" s="42"/>
      <c r="Z208" s="3">
        <f t="shared" si="8"/>
        <v>7</v>
      </c>
    </row>
    <row r="209" spans="2:26" ht="15.75" customHeight="1">
      <c r="B209" s="287" t="s">
        <v>1078</v>
      </c>
      <c r="C209" s="290"/>
      <c r="D209" s="289">
        <v>45562</v>
      </c>
      <c r="E209" s="330">
        <f t="shared" si="22"/>
        <v>45565</v>
      </c>
      <c r="F209" s="331">
        <f t="shared" si="23"/>
        <v>2</v>
      </c>
      <c r="G209" s="289">
        <v>45161</v>
      </c>
      <c r="H209" s="330">
        <f t="shared" si="24"/>
        <v>45169</v>
      </c>
      <c r="I209" s="331">
        <f t="shared" si="25"/>
        <v>2023</v>
      </c>
      <c r="J209" s="290">
        <f t="shared" si="26"/>
        <v>401</v>
      </c>
      <c r="K209" s="294" t="s">
        <v>898</v>
      </c>
      <c r="L209" s="297"/>
      <c r="M209" s="297"/>
      <c r="N209" s="332" t="str">
        <f t="shared" si="27"/>
        <v>Barn</v>
      </c>
      <c r="O209" s="3">
        <v>5850</v>
      </c>
      <c r="Q209" s="3">
        <f t="shared" si="28"/>
        <v>5850</v>
      </c>
      <c r="T209" s="42"/>
      <c r="Z209" s="3">
        <f t="shared" si="8"/>
        <v>6</v>
      </c>
    </row>
    <row r="210" spans="2:26" ht="15.75" customHeight="1">
      <c r="B210" s="287" t="s">
        <v>1079</v>
      </c>
      <c r="C210" s="290"/>
      <c r="D210" s="289">
        <v>45563</v>
      </c>
      <c r="E210" s="330">
        <f t="shared" si="22"/>
        <v>45565</v>
      </c>
      <c r="F210" s="331">
        <f t="shared" si="23"/>
        <v>2</v>
      </c>
      <c r="G210" s="289">
        <v>45152</v>
      </c>
      <c r="H210" s="330">
        <f t="shared" si="24"/>
        <v>45169</v>
      </c>
      <c r="I210" s="331">
        <f t="shared" si="25"/>
        <v>2023</v>
      </c>
      <c r="J210" s="290">
        <f t="shared" si="26"/>
        <v>411</v>
      </c>
      <c r="K210" s="294" t="s">
        <v>898</v>
      </c>
      <c r="L210" s="297"/>
      <c r="M210" s="297"/>
      <c r="N210" s="332" t="str">
        <f t="shared" si="27"/>
        <v>Barn</v>
      </c>
      <c r="O210" s="3">
        <v>6500</v>
      </c>
      <c r="Q210" s="3">
        <f t="shared" si="28"/>
        <v>6500</v>
      </c>
      <c r="T210" s="42"/>
      <c r="Z210" s="3">
        <f t="shared" si="8"/>
        <v>7</v>
      </c>
    </row>
    <row r="211" spans="2:26" ht="15.75" customHeight="1">
      <c r="B211" s="287" t="s">
        <v>1080</v>
      </c>
      <c r="C211" s="290"/>
      <c r="D211" s="289">
        <v>45564</v>
      </c>
      <c r="E211" s="330">
        <f t="shared" si="22"/>
        <v>45565</v>
      </c>
      <c r="F211" s="331">
        <f t="shared" si="23"/>
        <v>2</v>
      </c>
      <c r="G211" s="289">
        <v>45226</v>
      </c>
      <c r="H211" s="330">
        <f t="shared" si="24"/>
        <v>45230</v>
      </c>
      <c r="I211" s="331">
        <f t="shared" si="25"/>
        <v>2023</v>
      </c>
      <c r="J211" s="290">
        <f t="shared" si="26"/>
        <v>338</v>
      </c>
      <c r="K211" s="294" t="s">
        <v>898</v>
      </c>
      <c r="L211" s="297"/>
      <c r="M211" s="297"/>
      <c r="N211" s="332" t="str">
        <f t="shared" si="27"/>
        <v>Barn</v>
      </c>
      <c r="O211" s="3">
        <v>6500</v>
      </c>
      <c r="Q211" s="3">
        <f t="shared" si="28"/>
        <v>6500</v>
      </c>
      <c r="T211" s="42"/>
      <c r="Z211" s="3">
        <f t="shared" si="8"/>
        <v>1</v>
      </c>
    </row>
    <row r="212" spans="2:26" ht="15.75" customHeight="1">
      <c r="B212" s="287" t="s">
        <v>1081</v>
      </c>
      <c r="C212" s="290"/>
      <c r="D212" s="289">
        <v>45569</v>
      </c>
      <c r="E212" s="330">
        <f t="shared" si="22"/>
        <v>45596</v>
      </c>
      <c r="F212" s="331">
        <f t="shared" si="23"/>
        <v>5</v>
      </c>
      <c r="G212" s="289">
        <v>45293</v>
      </c>
      <c r="H212" s="330">
        <f t="shared" si="24"/>
        <v>45322</v>
      </c>
      <c r="I212" s="331">
        <f t="shared" si="25"/>
        <v>2024</v>
      </c>
      <c r="J212" s="290">
        <f t="shared" si="26"/>
        <v>276</v>
      </c>
      <c r="K212" s="294" t="s">
        <v>898</v>
      </c>
      <c r="L212" s="297"/>
      <c r="M212" s="297"/>
      <c r="N212" s="332" t="str">
        <f t="shared" si="27"/>
        <v>Barn</v>
      </c>
      <c r="O212" s="3">
        <v>5500</v>
      </c>
      <c r="Q212" s="3">
        <f t="shared" si="28"/>
        <v>5500</v>
      </c>
      <c r="T212" s="42"/>
      <c r="Z212" s="3">
        <f t="shared" si="8"/>
        <v>6</v>
      </c>
    </row>
    <row r="213" spans="2:26" ht="15.75" customHeight="1">
      <c r="B213" s="287" t="s">
        <v>1082</v>
      </c>
      <c r="C213" s="290"/>
      <c r="D213" s="289">
        <v>45570</v>
      </c>
      <c r="E213" s="330">
        <f t="shared" si="22"/>
        <v>45596</v>
      </c>
      <c r="F213" s="331">
        <f t="shared" si="23"/>
        <v>5</v>
      </c>
      <c r="G213" s="289">
        <v>45147</v>
      </c>
      <c r="H213" s="330">
        <f t="shared" si="24"/>
        <v>45169</v>
      </c>
      <c r="I213" s="331">
        <f t="shared" si="25"/>
        <v>2023</v>
      </c>
      <c r="J213" s="290">
        <f t="shared" si="26"/>
        <v>423</v>
      </c>
      <c r="K213" s="294" t="s">
        <v>898</v>
      </c>
      <c r="L213" s="297"/>
      <c r="M213" s="297"/>
      <c r="N213" s="332" t="str">
        <f t="shared" si="27"/>
        <v>Barn</v>
      </c>
      <c r="O213" s="3">
        <v>6500</v>
      </c>
      <c r="Q213" s="3">
        <f t="shared" si="28"/>
        <v>6500</v>
      </c>
      <c r="T213" s="42"/>
      <c r="Z213" s="3">
        <f t="shared" si="8"/>
        <v>7</v>
      </c>
    </row>
    <row r="214" spans="2:26" ht="15.75" customHeight="1">
      <c r="B214" s="287" t="s">
        <v>1083</v>
      </c>
      <c r="C214" s="290"/>
      <c r="D214" s="289">
        <v>45571</v>
      </c>
      <c r="E214" s="330">
        <f t="shared" si="22"/>
        <v>45596</v>
      </c>
      <c r="F214" s="331">
        <f t="shared" si="23"/>
        <v>5</v>
      </c>
      <c r="G214" s="289">
        <v>45426</v>
      </c>
      <c r="H214" s="330">
        <f t="shared" si="24"/>
        <v>45443</v>
      </c>
      <c r="I214" s="331">
        <f t="shared" si="25"/>
        <v>2024</v>
      </c>
      <c r="J214" s="290">
        <f t="shared" si="26"/>
        <v>145</v>
      </c>
      <c r="K214" s="294" t="s">
        <v>898</v>
      </c>
      <c r="L214" s="297"/>
      <c r="M214" s="297"/>
      <c r="N214" s="332" t="str">
        <f t="shared" si="27"/>
        <v>Barn</v>
      </c>
      <c r="O214" s="3">
        <v>6500</v>
      </c>
      <c r="Q214" s="3">
        <f t="shared" si="28"/>
        <v>6500</v>
      </c>
      <c r="T214" s="42"/>
      <c r="Z214" s="3">
        <f t="shared" si="8"/>
        <v>1</v>
      </c>
    </row>
    <row r="215" spans="2:26" ht="15.75" customHeight="1">
      <c r="B215" s="287" t="s">
        <v>1084</v>
      </c>
      <c r="C215" s="290"/>
      <c r="D215" s="289">
        <v>45576</v>
      </c>
      <c r="E215" s="330">
        <f t="shared" si="22"/>
        <v>45596</v>
      </c>
      <c r="F215" s="331">
        <f t="shared" si="23"/>
        <v>5</v>
      </c>
      <c r="G215" s="289">
        <v>45300</v>
      </c>
      <c r="H215" s="330">
        <f t="shared" si="24"/>
        <v>45322</v>
      </c>
      <c r="I215" s="331">
        <f t="shared" si="25"/>
        <v>2024</v>
      </c>
      <c r="J215" s="290">
        <f t="shared" si="26"/>
        <v>276</v>
      </c>
      <c r="K215" s="294" t="s">
        <v>898</v>
      </c>
      <c r="L215" s="297"/>
      <c r="M215" s="297"/>
      <c r="N215" s="332" t="str">
        <f t="shared" si="27"/>
        <v>Barn</v>
      </c>
      <c r="O215" s="3">
        <v>5500</v>
      </c>
      <c r="Q215" s="3">
        <f t="shared" si="28"/>
        <v>5500</v>
      </c>
      <c r="T215" s="42"/>
      <c r="Z215" s="3">
        <f t="shared" si="8"/>
        <v>6</v>
      </c>
    </row>
    <row r="216" spans="2:26" ht="15.75" customHeight="1">
      <c r="B216" s="287" t="s">
        <v>1085</v>
      </c>
      <c r="C216" s="290"/>
      <c r="D216" s="289">
        <v>45577</v>
      </c>
      <c r="E216" s="330">
        <f t="shared" si="22"/>
        <v>45596</v>
      </c>
      <c r="F216" s="331">
        <f t="shared" si="23"/>
        <v>5</v>
      </c>
      <c r="G216" s="289">
        <v>44680</v>
      </c>
      <c r="H216" s="330">
        <f t="shared" si="24"/>
        <v>44681</v>
      </c>
      <c r="I216" s="331">
        <f t="shared" si="25"/>
        <v>2022</v>
      </c>
      <c r="J216" s="290">
        <f t="shared" si="26"/>
        <v>897</v>
      </c>
      <c r="K216" s="294" t="s">
        <v>898</v>
      </c>
      <c r="L216" s="297"/>
      <c r="M216" s="297"/>
      <c r="N216" s="332" t="str">
        <f t="shared" si="27"/>
        <v>Barn</v>
      </c>
      <c r="O216" s="3">
        <v>5000</v>
      </c>
      <c r="Q216" s="3">
        <f t="shared" si="28"/>
        <v>5000</v>
      </c>
      <c r="T216" s="42"/>
      <c r="Z216" s="3">
        <f t="shared" si="8"/>
        <v>7</v>
      </c>
    </row>
    <row r="217" spans="2:26" ht="15.75" customHeight="1">
      <c r="B217" s="287" t="s">
        <v>1086</v>
      </c>
      <c r="C217" s="290"/>
      <c r="D217" s="289">
        <v>45578</v>
      </c>
      <c r="E217" s="330">
        <f t="shared" si="22"/>
        <v>45596</v>
      </c>
      <c r="F217" s="331">
        <f t="shared" si="23"/>
        <v>5</v>
      </c>
      <c r="G217" s="289">
        <v>45267</v>
      </c>
      <c r="H217" s="330">
        <f t="shared" si="24"/>
        <v>45291</v>
      </c>
      <c r="I217" s="331">
        <f t="shared" si="25"/>
        <v>2023</v>
      </c>
      <c r="J217" s="290">
        <f t="shared" si="26"/>
        <v>311</v>
      </c>
      <c r="K217" s="294" t="s">
        <v>898</v>
      </c>
      <c r="L217" s="297"/>
      <c r="M217" s="297"/>
      <c r="N217" s="332" t="str">
        <f t="shared" si="27"/>
        <v>Barn</v>
      </c>
      <c r="O217" s="3">
        <v>6500</v>
      </c>
      <c r="P217" s="344"/>
      <c r="Q217" s="3">
        <f t="shared" si="28"/>
        <v>6500</v>
      </c>
      <c r="T217" s="345">
        <v>3379</v>
      </c>
      <c r="Z217" s="3">
        <f t="shared" si="8"/>
        <v>1</v>
      </c>
    </row>
    <row r="218" spans="2:26" ht="15.75" customHeight="1">
      <c r="B218" s="287" t="s">
        <v>1087</v>
      </c>
      <c r="C218" s="290"/>
      <c r="D218" s="289">
        <v>45583</v>
      </c>
      <c r="E218" s="330">
        <f t="shared" si="22"/>
        <v>45596</v>
      </c>
      <c r="F218" s="331">
        <f t="shared" si="23"/>
        <v>5</v>
      </c>
      <c r="G218" s="289">
        <v>45163</v>
      </c>
      <c r="H218" s="330">
        <f t="shared" si="24"/>
        <v>45169</v>
      </c>
      <c r="I218" s="331">
        <f t="shared" si="25"/>
        <v>2023</v>
      </c>
      <c r="J218" s="290">
        <f t="shared" si="26"/>
        <v>420</v>
      </c>
      <c r="K218" s="294" t="s">
        <v>898</v>
      </c>
      <c r="L218" s="297"/>
      <c r="M218" s="297"/>
      <c r="N218" s="332" t="str">
        <f t="shared" si="27"/>
        <v>Barn</v>
      </c>
      <c r="O218" s="3">
        <v>6500</v>
      </c>
      <c r="Q218" s="3">
        <f t="shared" si="28"/>
        <v>6500</v>
      </c>
      <c r="T218" s="42"/>
      <c r="Z218" s="3">
        <f t="shared" si="8"/>
        <v>6</v>
      </c>
    </row>
    <row r="219" spans="2:26" ht="15.75" customHeight="1">
      <c r="B219" s="287" t="s">
        <v>1088</v>
      </c>
      <c r="C219" s="290"/>
      <c r="D219" s="289">
        <v>45584</v>
      </c>
      <c r="E219" s="330">
        <f t="shared" si="22"/>
        <v>45596</v>
      </c>
      <c r="F219" s="331">
        <f t="shared" si="23"/>
        <v>5</v>
      </c>
      <c r="G219" s="289">
        <v>44995</v>
      </c>
      <c r="H219" s="330">
        <f t="shared" si="24"/>
        <v>45016</v>
      </c>
      <c r="I219" s="331">
        <f t="shared" si="25"/>
        <v>2023</v>
      </c>
      <c r="J219" s="290">
        <f t="shared" si="26"/>
        <v>589</v>
      </c>
      <c r="K219" s="294" t="s">
        <v>898</v>
      </c>
      <c r="L219" s="297"/>
      <c r="M219" s="297"/>
      <c r="N219" s="332" t="str">
        <f t="shared" si="27"/>
        <v>Barn</v>
      </c>
      <c r="O219" s="3">
        <v>6000</v>
      </c>
      <c r="Q219" s="3">
        <f t="shared" si="28"/>
        <v>6000</v>
      </c>
      <c r="T219" s="42"/>
      <c r="Z219" s="3">
        <f t="shared" si="8"/>
        <v>7</v>
      </c>
    </row>
    <row r="220" spans="2:26" ht="15.75" customHeight="1">
      <c r="B220" s="287" t="s">
        <v>1089</v>
      </c>
      <c r="C220" s="290"/>
      <c r="D220" s="289">
        <v>45590</v>
      </c>
      <c r="E220" s="330">
        <f t="shared" si="22"/>
        <v>45596</v>
      </c>
      <c r="F220" s="331">
        <f t="shared" si="23"/>
        <v>5</v>
      </c>
      <c r="G220" s="289">
        <v>45316</v>
      </c>
      <c r="H220" s="330">
        <f t="shared" si="24"/>
        <v>45322</v>
      </c>
      <c r="I220" s="331">
        <f t="shared" si="25"/>
        <v>2024</v>
      </c>
      <c r="J220" s="290">
        <f t="shared" si="26"/>
        <v>274</v>
      </c>
      <c r="K220" s="294" t="s">
        <v>898</v>
      </c>
      <c r="L220" s="297"/>
      <c r="M220" s="297"/>
      <c r="N220" s="332" t="str">
        <f t="shared" si="27"/>
        <v>Barn</v>
      </c>
      <c r="O220" s="3">
        <v>7000</v>
      </c>
      <c r="Q220" s="3">
        <f t="shared" si="28"/>
        <v>7000</v>
      </c>
      <c r="T220" s="42"/>
      <c r="Z220" s="3">
        <f t="shared" si="8"/>
        <v>6</v>
      </c>
    </row>
    <row r="221" spans="2:26" ht="15.75" customHeight="1">
      <c r="B221" s="287" t="s">
        <v>1090</v>
      </c>
      <c r="C221" s="290"/>
      <c r="D221" s="289">
        <v>45591</v>
      </c>
      <c r="E221" s="330">
        <f t="shared" si="22"/>
        <v>45596</v>
      </c>
      <c r="F221" s="331">
        <f t="shared" si="23"/>
        <v>5</v>
      </c>
      <c r="G221" s="289">
        <v>45148</v>
      </c>
      <c r="H221" s="330">
        <f t="shared" si="24"/>
        <v>45169</v>
      </c>
      <c r="I221" s="331">
        <f t="shared" si="25"/>
        <v>2023</v>
      </c>
      <c r="J221" s="290">
        <f t="shared" si="26"/>
        <v>443</v>
      </c>
      <c r="K221" s="294" t="s">
        <v>898</v>
      </c>
      <c r="L221" s="297"/>
      <c r="M221" s="297"/>
      <c r="N221" s="332" t="str">
        <f t="shared" si="27"/>
        <v>Barn</v>
      </c>
      <c r="O221" s="3">
        <v>6500</v>
      </c>
      <c r="Q221" s="3">
        <f t="shared" si="28"/>
        <v>6500</v>
      </c>
      <c r="T221" s="42"/>
      <c r="Z221" s="3">
        <f t="shared" si="8"/>
        <v>7</v>
      </c>
    </row>
    <row r="222" spans="2:26" ht="15.75" customHeight="1">
      <c r="B222" s="287" t="s">
        <v>1091</v>
      </c>
      <c r="C222" s="290"/>
      <c r="D222" s="289">
        <v>45566</v>
      </c>
      <c r="E222" s="330">
        <f t="shared" si="22"/>
        <v>45596</v>
      </c>
      <c r="F222" s="331">
        <f t="shared" si="23"/>
        <v>5</v>
      </c>
      <c r="G222" s="289">
        <v>45463</v>
      </c>
      <c r="H222" s="330">
        <f t="shared" si="24"/>
        <v>45473</v>
      </c>
      <c r="I222" s="331">
        <f t="shared" si="25"/>
        <v>2024</v>
      </c>
      <c r="J222" s="290">
        <f t="shared" si="26"/>
        <v>103</v>
      </c>
      <c r="K222" s="294" t="s">
        <v>898</v>
      </c>
      <c r="L222" s="297"/>
      <c r="M222" s="297"/>
      <c r="N222" s="332" t="str">
        <f t="shared" si="27"/>
        <v>Barn</v>
      </c>
      <c r="O222" s="3">
        <v>5500</v>
      </c>
      <c r="Q222" s="3">
        <f t="shared" si="28"/>
        <v>5500</v>
      </c>
      <c r="T222" s="42"/>
      <c r="Z222" s="3">
        <f t="shared" si="8"/>
        <v>3</v>
      </c>
    </row>
    <row r="223" spans="2:26" ht="15.75" customHeight="1">
      <c r="B223" s="287" t="s">
        <v>1092</v>
      </c>
      <c r="C223" s="290"/>
      <c r="D223" s="289">
        <v>45598</v>
      </c>
      <c r="E223" s="330">
        <f t="shared" si="22"/>
        <v>45626</v>
      </c>
      <c r="F223" s="331">
        <f t="shared" si="23"/>
        <v>7</v>
      </c>
      <c r="G223" s="289">
        <v>45210</v>
      </c>
      <c r="H223" s="330">
        <f t="shared" si="24"/>
        <v>45230</v>
      </c>
      <c r="I223" s="331">
        <f t="shared" si="25"/>
        <v>2023</v>
      </c>
      <c r="J223" s="290">
        <f t="shared" si="26"/>
        <v>388</v>
      </c>
      <c r="K223" s="294" t="s">
        <v>898</v>
      </c>
      <c r="L223" s="297"/>
      <c r="M223" s="297"/>
      <c r="N223" s="332" t="str">
        <f t="shared" si="27"/>
        <v>Barn</v>
      </c>
      <c r="O223" s="3">
        <v>6250</v>
      </c>
      <c r="Q223" s="3">
        <f t="shared" si="28"/>
        <v>6250</v>
      </c>
      <c r="T223" s="42"/>
      <c r="Z223" s="3">
        <f t="shared" si="8"/>
        <v>7</v>
      </c>
    </row>
    <row r="224" spans="2:26" ht="15.75" customHeight="1">
      <c r="B224" s="287" t="s">
        <v>1093</v>
      </c>
      <c r="C224" s="290"/>
      <c r="D224" s="289">
        <v>45604</v>
      </c>
      <c r="E224" s="330">
        <f t="shared" si="22"/>
        <v>45626</v>
      </c>
      <c r="F224" s="331">
        <f t="shared" si="23"/>
        <v>7</v>
      </c>
      <c r="G224" s="289">
        <v>45275</v>
      </c>
      <c r="H224" s="330">
        <f t="shared" si="24"/>
        <v>45291</v>
      </c>
      <c r="I224" s="331">
        <f t="shared" si="25"/>
        <v>2023</v>
      </c>
      <c r="J224" s="290">
        <f t="shared" si="26"/>
        <v>329</v>
      </c>
      <c r="K224" s="294" t="s">
        <v>898</v>
      </c>
      <c r="L224" s="297"/>
      <c r="M224" s="297"/>
      <c r="N224" s="332" t="str">
        <f t="shared" si="27"/>
        <v>Barn</v>
      </c>
      <c r="O224" s="3">
        <v>5500</v>
      </c>
      <c r="Q224" s="3">
        <f t="shared" si="28"/>
        <v>5500</v>
      </c>
      <c r="T224" s="42"/>
      <c r="Z224" s="3">
        <f t="shared" si="8"/>
        <v>6</v>
      </c>
    </row>
    <row r="225" spans="2:26" ht="15.75" customHeight="1">
      <c r="B225" s="287" t="s">
        <v>1094</v>
      </c>
      <c r="C225" s="290"/>
      <c r="D225" s="289">
        <v>45605</v>
      </c>
      <c r="E225" s="330">
        <f t="shared" si="22"/>
        <v>45626</v>
      </c>
      <c r="F225" s="331">
        <f t="shared" si="23"/>
        <v>7</v>
      </c>
      <c r="G225" s="289">
        <v>45316</v>
      </c>
      <c r="H225" s="330">
        <f t="shared" si="24"/>
        <v>45322</v>
      </c>
      <c r="I225" s="331">
        <f t="shared" si="25"/>
        <v>2024</v>
      </c>
      <c r="J225" s="290">
        <f t="shared" si="26"/>
        <v>289</v>
      </c>
      <c r="K225" s="294" t="s">
        <v>898</v>
      </c>
      <c r="L225" s="297"/>
      <c r="M225" s="297"/>
      <c r="N225" s="332" t="str">
        <f t="shared" si="27"/>
        <v>Barn</v>
      </c>
      <c r="O225" s="3">
        <v>6500</v>
      </c>
      <c r="Q225" s="3">
        <f t="shared" si="28"/>
        <v>6500</v>
      </c>
      <c r="T225" s="42"/>
      <c r="Z225" s="3">
        <f t="shared" si="8"/>
        <v>7</v>
      </c>
    </row>
    <row r="226" spans="2:26" ht="15.75" customHeight="1">
      <c r="B226" s="287" t="s">
        <v>1095</v>
      </c>
      <c r="C226" s="290"/>
      <c r="D226" s="289">
        <v>45611</v>
      </c>
      <c r="E226" s="330">
        <f t="shared" si="22"/>
        <v>45626</v>
      </c>
      <c r="F226" s="331">
        <f t="shared" si="23"/>
        <v>7</v>
      </c>
      <c r="G226" s="289">
        <v>45380</v>
      </c>
      <c r="H226" s="330">
        <f t="shared" si="24"/>
        <v>45382</v>
      </c>
      <c r="I226" s="331">
        <f t="shared" si="25"/>
        <v>2024</v>
      </c>
      <c r="J226" s="290">
        <f t="shared" si="26"/>
        <v>231</v>
      </c>
      <c r="K226" s="294" t="s">
        <v>898</v>
      </c>
      <c r="L226" s="297"/>
      <c r="M226" s="297"/>
      <c r="N226" s="332" t="str">
        <f t="shared" si="27"/>
        <v>Barn</v>
      </c>
      <c r="O226" s="3">
        <v>5500</v>
      </c>
      <c r="Q226" s="3">
        <f t="shared" si="28"/>
        <v>5500</v>
      </c>
      <c r="T226" s="42"/>
      <c r="Z226" s="3">
        <f t="shared" si="8"/>
        <v>6</v>
      </c>
    </row>
    <row r="227" spans="2:26" ht="15.75" customHeight="1">
      <c r="B227" s="287" t="s">
        <v>1096</v>
      </c>
      <c r="C227" s="290"/>
      <c r="D227" s="289">
        <v>45612</v>
      </c>
      <c r="E227" s="330">
        <f t="shared" si="22"/>
        <v>45626</v>
      </c>
      <c r="F227" s="331">
        <f t="shared" si="23"/>
        <v>7</v>
      </c>
      <c r="G227" s="289">
        <v>45238</v>
      </c>
      <c r="H227" s="330">
        <f t="shared" si="24"/>
        <v>45260</v>
      </c>
      <c r="I227" s="331">
        <f t="shared" si="25"/>
        <v>2023</v>
      </c>
      <c r="J227" s="290">
        <f t="shared" si="26"/>
        <v>374</v>
      </c>
      <c r="K227" s="294" t="s">
        <v>898</v>
      </c>
      <c r="L227" s="297"/>
      <c r="M227" s="297"/>
      <c r="N227" s="332" t="str">
        <f t="shared" si="27"/>
        <v>Barn</v>
      </c>
      <c r="O227" s="3">
        <v>6500</v>
      </c>
      <c r="Q227" s="3">
        <f t="shared" si="28"/>
        <v>6500</v>
      </c>
      <c r="T227" s="42"/>
      <c r="Z227" s="3">
        <f t="shared" si="8"/>
        <v>7</v>
      </c>
    </row>
    <row r="228" spans="2:26" ht="15.75" customHeight="1">
      <c r="B228" s="287" t="s">
        <v>1097</v>
      </c>
      <c r="C228" s="290"/>
      <c r="D228" s="289">
        <v>45613</v>
      </c>
      <c r="E228" s="330">
        <f t="shared" si="22"/>
        <v>45626</v>
      </c>
      <c r="F228" s="331">
        <f t="shared" si="23"/>
        <v>7</v>
      </c>
      <c r="G228" s="289">
        <v>45238</v>
      </c>
      <c r="H228" s="330">
        <f t="shared" si="24"/>
        <v>45260</v>
      </c>
      <c r="I228" s="331">
        <f t="shared" si="25"/>
        <v>2023</v>
      </c>
      <c r="J228" s="290">
        <f t="shared" si="26"/>
        <v>375</v>
      </c>
      <c r="K228" s="294" t="s">
        <v>898</v>
      </c>
      <c r="L228" s="297"/>
      <c r="M228" s="297"/>
      <c r="N228" s="332" t="str">
        <f t="shared" si="27"/>
        <v>Barn</v>
      </c>
      <c r="O228" s="3">
        <v>6500</v>
      </c>
      <c r="Q228" s="3">
        <f t="shared" si="28"/>
        <v>6500</v>
      </c>
      <c r="T228" s="42"/>
      <c r="Z228" s="3">
        <f t="shared" si="8"/>
        <v>1</v>
      </c>
    </row>
    <row r="229" spans="2:26" ht="15.75" customHeight="1">
      <c r="B229" s="287" t="s">
        <v>1098</v>
      </c>
      <c r="C229" s="290"/>
      <c r="D229" s="289">
        <v>45619</v>
      </c>
      <c r="E229" s="330">
        <f t="shared" si="22"/>
        <v>45626</v>
      </c>
      <c r="F229" s="331">
        <f t="shared" si="23"/>
        <v>7</v>
      </c>
      <c r="G229" s="289">
        <v>45442</v>
      </c>
      <c r="H229" s="330">
        <f t="shared" si="24"/>
        <v>45443</v>
      </c>
      <c r="I229" s="331">
        <f t="shared" si="25"/>
        <v>2024</v>
      </c>
      <c r="J229" s="290">
        <f t="shared" si="26"/>
        <v>177</v>
      </c>
      <c r="K229" s="294" t="s">
        <v>898</v>
      </c>
      <c r="L229" s="297"/>
      <c r="M229" s="297"/>
      <c r="N229" s="332" t="str">
        <f t="shared" si="27"/>
        <v>Barn</v>
      </c>
      <c r="O229" s="3">
        <v>6500</v>
      </c>
      <c r="Q229" s="3">
        <f t="shared" si="28"/>
        <v>6500</v>
      </c>
      <c r="T229" s="42"/>
      <c r="Z229" s="3">
        <f t="shared" si="8"/>
        <v>7</v>
      </c>
    </row>
    <row r="230" spans="2:26" ht="15.75" customHeight="1">
      <c r="B230" s="287" t="s">
        <v>1099</v>
      </c>
      <c r="C230" s="290"/>
      <c r="D230" s="289">
        <v>45633</v>
      </c>
      <c r="E230" s="330">
        <f t="shared" si="22"/>
        <v>45657</v>
      </c>
      <c r="F230" s="331">
        <f t="shared" si="23"/>
        <v>3</v>
      </c>
      <c r="G230" s="289">
        <v>45378</v>
      </c>
      <c r="H230" s="330">
        <f t="shared" si="24"/>
        <v>45382</v>
      </c>
      <c r="I230" s="331">
        <f t="shared" si="25"/>
        <v>2024</v>
      </c>
      <c r="J230" s="290">
        <f t="shared" si="26"/>
        <v>255</v>
      </c>
      <c r="K230" s="294" t="s">
        <v>898</v>
      </c>
      <c r="L230" s="297"/>
      <c r="M230" s="297"/>
      <c r="N230" s="332" t="str">
        <f t="shared" si="27"/>
        <v>Barn</v>
      </c>
      <c r="O230" s="3">
        <v>6500</v>
      </c>
      <c r="Q230" s="3">
        <f t="shared" si="28"/>
        <v>6500</v>
      </c>
      <c r="T230" s="42"/>
      <c r="Z230" s="3">
        <f t="shared" si="8"/>
        <v>7</v>
      </c>
    </row>
    <row r="231" spans="2:26" ht="15.75" customHeight="1">
      <c r="B231" s="287" t="s">
        <v>1100</v>
      </c>
      <c r="C231" s="290"/>
      <c r="D231" s="289">
        <v>45647</v>
      </c>
      <c r="E231" s="330">
        <f t="shared" si="22"/>
        <v>45657</v>
      </c>
      <c r="F231" s="331">
        <f t="shared" si="23"/>
        <v>3</v>
      </c>
      <c r="G231" s="289">
        <v>45441</v>
      </c>
      <c r="H231" s="330">
        <f t="shared" si="24"/>
        <v>45443</v>
      </c>
      <c r="I231" s="331">
        <f t="shared" si="25"/>
        <v>2024</v>
      </c>
      <c r="J231" s="290">
        <f t="shared" si="26"/>
        <v>206</v>
      </c>
      <c r="K231" s="294" t="s">
        <v>898</v>
      </c>
      <c r="L231" s="297"/>
      <c r="M231" s="297"/>
      <c r="N231" s="332" t="str">
        <f t="shared" si="27"/>
        <v>Barn</v>
      </c>
      <c r="O231" s="3">
        <v>6500</v>
      </c>
      <c r="Q231" s="3">
        <f t="shared" si="28"/>
        <v>6500</v>
      </c>
      <c r="T231" s="42"/>
      <c r="Z231" s="3">
        <f t="shared" si="8"/>
        <v>7</v>
      </c>
    </row>
    <row r="232" spans="2:26" ht="15.75" customHeight="1">
      <c r="B232" s="287" t="s">
        <v>1101</v>
      </c>
      <c r="C232" s="290"/>
      <c r="D232" s="289">
        <v>45387</v>
      </c>
      <c r="E232" s="330">
        <f t="shared" si="22"/>
        <v>45412</v>
      </c>
      <c r="F232" s="331">
        <f t="shared" si="23"/>
        <v>3</v>
      </c>
      <c r="G232" s="289">
        <v>45238</v>
      </c>
      <c r="H232" s="330">
        <f t="shared" si="24"/>
        <v>45260</v>
      </c>
      <c r="I232" s="331">
        <f t="shared" si="25"/>
        <v>2023</v>
      </c>
      <c r="J232" s="290">
        <f t="shared" si="26"/>
        <v>149</v>
      </c>
      <c r="K232" s="294"/>
      <c r="L232" s="297" t="s">
        <v>898</v>
      </c>
      <c r="M232" s="297"/>
      <c r="N232" s="332" t="str">
        <f t="shared" si="27"/>
        <v>Chapel</v>
      </c>
      <c r="O232" s="3">
        <v>8000</v>
      </c>
      <c r="Q232" s="3">
        <f t="shared" si="28"/>
        <v>8000</v>
      </c>
      <c r="T232" s="42"/>
      <c r="Z232" s="3">
        <f t="shared" si="8"/>
        <v>6</v>
      </c>
    </row>
    <row r="233" spans="2:26" ht="15.75" customHeight="1">
      <c r="B233" s="287" t="s">
        <v>1102</v>
      </c>
      <c r="C233" s="290"/>
      <c r="D233" s="289">
        <v>45388</v>
      </c>
      <c r="E233" s="330">
        <f t="shared" si="22"/>
        <v>45412</v>
      </c>
      <c r="F233" s="331">
        <f t="shared" si="23"/>
        <v>3</v>
      </c>
      <c r="G233" s="289">
        <v>44881</v>
      </c>
      <c r="H233" s="330">
        <f t="shared" si="24"/>
        <v>44895</v>
      </c>
      <c r="I233" s="331">
        <f t="shared" si="25"/>
        <v>2022</v>
      </c>
      <c r="J233" s="290">
        <f t="shared" si="26"/>
        <v>507</v>
      </c>
      <c r="K233" s="294"/>
      <c r="L233" s="297" t="s">
        <v>898</v>
      </c>
      <c r="M233" s="297"/>
      <c r="N233" s="332" t="str">
        <f t="shared" si="27"/>
        <v>Chapel</v>
      </c>
      <c r="O233" s="3">
        <v>7000</v>
      </c>
      <c r="P233" s="332"/>
      <c r="Q233" s="3">
        <f t="shared" si="28"/>
        <v>7000</v>
      </c>
      <c r="T233" s="343">
        <v>1200</v>
      </c>
      <c r="Z233" s="3">
        <f t="shared" si="8"/>
        <v>7</v>
      </c>
    </row>
    <row r="234" spans="2:26" ht="15.75" customHeight="1">
      <c r="B234" s="287" t="s">
        <v>1103</v>
      </c>
      <c r="C234" s="290"/>
      <c r="D234" s="289">
        <v>45389</v>
      </c>
      <c r="E234" s="330">
        <f t="shared" si="22"/>
        <v>45412</v>
      </c>
      <c r="F234" s="331">
        <f t="shared" si="23"/>
        <v>3</v>
      </c>
      <c r="G234" s="289">
        <v>45330</v>
      </c>
      <c r="H234" s="330">
        <f t="shared" si="24"/>
        <v>45351</v>
      </c>
      <c r="I234" s="331">
        <f t="shared" si="25"/>
        <v>2024</v>
      </c>
      <c r="J234" s="290">
        <f t="shared" si="26"/>
        <v>59</v>
      </c>
      <c r="K234" s="294"/>
      <c r="L234" s="297" t="s">
        <v>898</v>
      </c>
      <c r="M234" s="297"/>
      <c r="N234" s="332" t="str">
        <f t="shared" si="27"/>
        <v>Chapel</v>
      </c>
      <c r="O234" s="3">
        <v>7500</v>
      </c>
      <c r="Q234" s="3">
        <f t="shared" si="28"/>
        <v>7500</v>
      </c>
      <c r="T234" s="42"/>
      <c r="Z234" s="3">
        <f t="shared" si="8"/>
        <v>1</v>
      </c>
    </row>
    <row r="235" spans="2:26" ht="15.75" customHeight="1">
      <c r="B235" s="287" t="s">
        <v>1104</v>
      </c>
      <c r="C235" s="290"/>
      <c r="D235" s="289">
        <v>45394</v>
      </c>
      <c r="E235" s="330">
        <f t="shared" si="22"/>
        <v>45412</v>
      </c>
      <c r="F235" s="331">
        <f t="shared" si="23"/>
        <v>3</v>
      </c>
      <c r="G235" s="289">
        <v>45000</v>
      </c>
      <c r="H235" s="330">
        <f t="shared" si="24"/>
        <v>45016</v>
      </c>
      <c r="I235" s="331">
        <f t="shared" si="25"/>
        <v>2023</v>
      </c>
      <c r="J235" s="290">
        <f t="shared" si="26"/>
        <v>394</v>
      </c>
      <c r="K235" s="294"/>
      <c r="L235" s="297" t="s">
        <v>898</v>
      </c>
      <c r="M235" s="297"/>
      <c r="N235" s="332" t="str">
        <f t="shared" si="27"/>
        <v>Chapel</v>
      </c>
      <c r="O235" s="3">
        <v>6500</v>
      </c>
      <c r="Q235" s="3">
        <f t="shared" si="28"/>
        <v>6500</v>
      </c>
      <c r="T235" s="42"/>
      <c r="Z235" s="3">
        <f t="shared" si="8"/>
        <v>6</v>
      </c>
    </row>
    <row r="236" spans="2:26" ht="15.75" customHeight="1">
      <c r="B236" s="287" t="s">
        <v>1105</v>
      </c>
      <c r="C236" s="290"/>
      <c r="D236" s="289">
        <v>45395</v>
      </c>
      <c r="E236" s="330">
        <f t="shared" si="22"/>
        <v>45412</v>
      </c>
      <c r="F236" s="331">
        <f t="shared" si="23"/>
        <v>3</v>
      </c>
      <c r="G236" s="289">
        <v>44970</v>
      </c>
      <c r="H236" s="330">
        <f t="shared" si="24"/>
        <v>44985</v>
      </c>
      <c r="I236" s="331">
        <f t="shared" si="25"/>
        <v>2023</v>
      </c>
      <c r="J236" s="290">
        <f t="shared" si="26"/>
        <v>425</v>
      </c>
      <c r="K236" s="294"/>
      <c r="L236" s="297" t="s">
        <v>898</v>
      </c>
      <c r="M236" s="297"/>
      <c r="N236" s="332" t="str">
        <f t="shared" si="27"/>
        <v>Chapel</v>
      </c>
      <c r="O236" s="3">
        <v>7000</v>
      </c>
      <c r="Q236" s="3">
        <f t="shared" si="28"/>
        <v>7000</v>
      </c>
      <c r="T236" s="42"/>
      <c r="Z236" s="3">
        <f t="shared" si="8"/>
        <v>7</v>
      </c>
    </row>
    <row r="237" spans="2:26" ht="15.75" customHeight="1">
      <c r="B237" s="287" t="s">
        <v>1106</v>
      </c>
      <c r="C237" s="290"/>
      <c r="D237" s="289">
        <v>45396</v>
      </c>
      <c r="E237" s="330">
        <f t="shared" si="22"/>
        <v>45412</v>
      </c>
      <c r="F237" s="331">
        <f t="shared" si="23"/>
        <v>3</v>
      </c>
      <c r="G237" s="289">
        <v>45184</v>
      </c>
      <c r="H237" s="330">
        <f t="shared" si="24"/>
        <v>45199</v>
      </c>
      <c r="I237" s="331">
        <f t="shared" si="25"/>
        <v>2023</v>
      </c>
      <c r="J237" s="290">
        <f t="shared" si="26"/>
        <v>212</v>
      </c>
      <c r="K237" s="294"/>
      <c r="L237" s="297" t="s">
        <v>898</v>
      </c>
      <c r="M237" s="297"/>
      <c r="N237" s="332" t="str">
        <f t="shared" si="27"/>
        <v>Chapel</v>
      </c>
      <c r="O237" s="3">
        <v>7500</v>
      </c>
      <c r="P237" s="332"/>
      <c r="Q237" s="3">
        <f t="shared" si="28"/>
        <v>7500</v>
      </c>
      <c r="T237" s="343">
        <v>3662</v>
      </c>
      <c r="Z237" s="3">
        <f t="shared" si="8"/>
        <v>1</v>
      </c>
    </row>
    <row r="238" spans="2:26" ht="15.75" customHeight="1">
      <c r="B238" s="287" t="s">
        <v>1107</v>
      </c>
      <c r="C238" s="290"/>
      <c r="D238" s="289">
        <v>45401</v>
      </c>
      <c r="E238" s="330">
        <f t="shared" si="22"/>
        <v>45412</v>
      </c>
      <c r="F238" s="331">
        <f t="shared" si="23"/>
        <v>3</v>
      </c>
      <c r="G238" s="289">
        <v>44949</v>
      </c>
      <c r="H238" s="330">
        <f t="shared" si="24"/>
        <v>44957</v>
      </c>
      <c r="I238" s="331">
        <f t="shared" si="25"/>
        <v>2023</v>
      </c>
      <c r="J238" s="290">
        <f t="shared" si="26"/>
        <v>452</v>
      </c>
      <c r="K238" s="294"/>
      <c r="L238" s="297" t="s">
        <v>898</v>
      </c>
      <c r="M238" s="297"/>
      <c r="N238" s="332" t="str">
        <f t="shared" si="27"/>
        <v>Chapel</v>
      </c>
      <c r="O238" s="3">
        <v>5000</v>
      </c>
      <c r="Q238" s="3">
        <f t="shared" si="28"/>
        <v>5000</v>
      </c>
      <c r="T238" s="42"/>
      <c r="Z238" s="3">
        <f t="shared" si="8"/>
        <v>6</v>
      </c>
    </row>
    <row r="239" spans="2:26" ht="15.75" customHeight="1">
      <c r="B239" s="287" t="s">
        <v>1108</v>
      </c>
      <c r="C239" s="290"/>
      <c r="D239" s="289">
        <v>45402</v>
      </c>
      <c r="E239" s="330">
        <f t="shared" si="22"/>
        <v>45412</v>
      </c>
      <c r="F239" s="331">
        <f t="shared" si="23"/>
        <v>3</v>
      </c>
      <c r="G239" s="289">
        <v>44748</v>
      </c>
      <c r="H239" s="330">
        <f t="shared" si="24"/>
        <v>44773</v>
      </c>
      <c r="I239" s="331">
        <f t="shared" si="25"/>
        <v>2022</v>
      </c>
      <c r="J239" s="290">
        <f t="shared" si="26"/>
        <v>654</v>
      </c>
      <c r="K239" s="294"/>
      <c r="L239" s="297" t="s">
        <v>898</v>
      </c>
      <c r="M239" s="297"/>
      <c r="N239" s="332" t="str">
        <f t="shared" si="27"/>
        <v>Chapel</v>
      </c>
      <c r="O239" s="3">
        <v>5750</v>
      </c>
      <c r="Q239" s="3">
        <f t="shared" si="28"/>
        <v>5750</v>
      </c>
      <c r="T239" s="42"/>
      <c r="Z239" s="3">
        <f t="shared" si="8"/>
        <v>7</v>
      </c>
    </row>
    <row r="240" spans="2:26" ht="15.75" customHeight="1">
      <c r="B240" s="287" t="s">
        <v>1109</v>
      </c>
      <c r="C240" s="290"/>
      <c r="D240" s="289">
        <v>45403</v>
      </c>
      <c r="E240" s="330">
        <f t="shared" si="22"/>
        <v>45412</v>
      </c>
      <c r="F240" s="331">
        <f t="shared" si="23"/>
        <v>3</v>
      </c>
      <c r="G240" s="289">
        <v>45183</v>
      </c>
      <c r="H240" s="330">
        <f t="shared" si="24"/>
        <v>45199</v>
      </c>
      <c r="I240" s="331">
        <f t="shared" si="25"/>
        <v>2023</v>
      </c>
      <c r="J240" s="290">
        <f t="shared" si="26"/>
        <v>220</v>
      </c>
      <c r="K240" s="294"/>
      <c r="L240" s="297" t="s">
        <v>898</v>
      </c>
      <c r="M240" s="297"/>
      <c r="N240" s="332" t="str">
        <f t="shared" si="27"/>
        <v>Chapel</v>
      </c>
      <c r="O240" s="3">
        <v>7500</v>
      </c>
      <c r="Q240" s="3">
        <f t="shared" si="28"/>
        <v>7500</v>
      </c>
      <c r="T240" s="42"/>
      <c r="Z240" s="3">
        <f t="shared" si="8"/>
        <v>1</v>
      </c>
    </row>
    <row r="241" spans="2:26" ht="15.75" customHeight="1">
      <c r="B241" s="287" t="s">
        <v>1110</v>
      </c>
      <c r="C241" s="290"/>
      <c r="D241" s="289">
        <v>45408</v>
      </c>
      <c r="E241" s="330">
        <f t="shared" si="22"/>
        <v>45412</v>
      </c>
      <c r="F241" s="331">
        <f t="shared" si="23"/>
        <v>3</v>
      </c>
      <c r="G241" s="289">
        <v>45045</v>
      </c>
      <c r="H241" s="330">
        <f t="shared" si="24"/>
        <v>45046</v>
      </c>
      <c r="I241" s="331">
        <f t="shared" si="25"/>
        <v>2023</v>
      </c>
      <c r="J241" s="290">
        <f t="shared" si="26"/>
        <v>363</v>
      </c>
      <c r="K241" s="294"/>
      <c r="L241" s="297" t="s">
        <v>898</v>
      </c>
      <c r="M241" s="297"/>
      <c r="N241" s="332" t="str">
        <f t="shared" si="27"/>
        <v>Chapel</v>
      </c>
      <c r="O241" s="3">
        <v>6500</v>
      </c>
      <c r="Q241" s="3">
        <f t="shared" si="28"/>
        <v>6500</v>
      </c>
      <c r="T241" s="42"/>
      <c r="Z241" s="3">
        <f t="shared" si="8"/>
        <v>6</v>
      </c>
    </row>
    <row r="242" spans="2:26" ht="15.75" customHeight="1">
      <c r="B242" s="287" t="s">
        <v>1111</v>
      </c>
      <c r="C242" s="290"/>
      <c r="D242" s="289">
        <v>45409</v>
      </c>
      <c r="E242" s="330">
        <f t="shared" si="22"/>
        <v>45412</v>
      </c>
      <c r="F242" s="331">
        <f t="shared" si="23"/>
        <v>3</v>
      </c>
      <c r="G242" s="289">
        <v>44987</v>
      </c>
      <c r="H242" s="330">
        <f t="shared" si="24"/>
        <v>45016</v>
      </c>
      <c r="I242" s="331">
        <f t="shared" si="25"/>
        <v>2023</v>
      </c>
      <c r="J242" s="290">
        <f t="shared" si="26"/>
        <v>422</v>
      </c>
      <c r="K242" s="294"/>
      <c r="L242" s="297" t="s">
        <v>898</v>
      </c>
      <c r="M242" s="297"/>
      <c r="N242" s="332" t="str">
        <f t="shared" si="27"/>
        <v>Chapel</v>
      </c>
      <c r="O242" s="3">
        <v>7000</v>
      </c>
      <c r="Q242" s="3">
        <f t="shared" si="28"/>
        <v>7000</v>
      </c>
      <c r="T242" s="42"/>
      <c r="Z242" s="3">
        <f t="shared" si="8"/>
        <v>7</v>
      </c>
    </row>
    <row r="243" spans="2:26" ht="15.75" customHeight="1">
      <c r="B243" s="287" t="s">
        <v>1112</v>
      </c>
      <c r="C243" s="290"/>
      <c r="D243" s="289">
        <v>45410</v>
      </c>
      <c r="E243" s="330">
        <f t="shared" si="22"/>
        <v>45412</v>
      </c>
      <c r="F243" s="331">
        <f t="shared" si="23"/>
        <v>3</v>
      </c>
      <c r="G243" s="289">
        <v>45266</v>
      </c>
      <c r="H243" s="330">
        <f t="shared" si="24"/>
        <v>45291</v>
      </c>
      <c r="I243" s="331">
        <f t="shared" si="25"/>
        <v>2023</v>
      </c>
      <c r="J243" s="290">
        <f t="shared" si="26"/>
        <v>144</v>
      </c>
      <c r="K243" s="294"/>
      <c r="L243" s="297" t="s">
        <v>898</v>
      </c>
      <c r="M243" s="297"/>
      <c r="N243" s="332" t="str">
        <f t="shared" si="27"/>
        <v>Chapel</v>
      </c>
      <c r="O243" s="3">
        <v>6750</v>
      </c>
      <c r="Q243" s="3">
        <f t="shared" si="28"/>
        <v>6750</v>
      </c>
      <c r="T243" s="42"/>
      <c r="Z243" s="3">
        <f t="shared" si="8"/>
        <v>1</v>
      </c>
    </row>
    <row r="244" spans="2:26" ht="15.75" customHeight="1">
      <c r="B244" s="287" t="s">
        <v>1113</v>
      </c>
      <c r="C244" s="290"/>
      <c r="D244" s="289">
        <v>45412</v>
      </c>
      <c r="E244" s="330">
        <f t="shared" si="22"/>
        <v>45412</v>
      </c>
      <c r="F244" s="331">
        <f t="shared" si="23"/>
        <v>3</v>
      </c>
      <c r="G244" s="289">
        <v>45280</v>
      </c>
      <c r="H244" s="330">
        <f t="shared" si="24"/>
        <v>45291</v>
      </c>
      <c r="I244" s="331">
        <f t="shared" si="25"/>
        <v>2023</v>
      </c>
      <c r="J244" s="290">
        <f t="shared" si="26"/>
        <v>132</v>
      </c>
      <c r="K244" s="294"/>
      <c r="L244" s="297"/>
      <c r="M244" s="297" t="s">
        <v>898</v>
      </c>
      <c r="N244" s="332" t="str">
        <f t="shared" si="27"/>
        <v>Elopement</v>
      </c>
      <c r="O244" s="3">
        <v>1500</v>
      </c>
      <c r="Q244" s="3">
        <f t="shared" si="28"/>
        <v>1500</v>
      </c>
      <c r="T244" s="42"/>
      <c r="Z244" s="3">
        <f t="shared" si="8"/>
        <v>3</v>
      </c>
    </row>
    <row r="245" spans="2:26" ht="15.75" customHeight="1">
      <c r="B245" s="287" t="s">
        <v>1114</v>
      </c>
      <c r="C245" s="290"/>
      <c r="D245" s="289">
        <v>45415</v>
      </c>
      <c r="E245" s="330">
        <f t="shared" si="22"/>
        <v>45443</v>
      </c>
      <c r="F245" s="331">
        <f t="shared" si="23"/>
        <v>6</v>
      </c>
      <c r="G245" s="289">
        <v>45071</v>
      </c>
      <c r="H245" s="330">
        <f t="shared" si="24"/>
        <v>45077</v>
      </c>
      <c r="I245" s="331">
        <f t="shared" si="25"/>
        <v>2023</v>
      </c>
      <c r="J245" s="290">
        <f t="shared" si="26"/>
        <v>344</v>
      </c>
      <c r="K245" s="294"/>
      <c r="L245" s="297" t="s">
        <v>898</v>
      </c>
      <c r="M245" s="297"/>
      <c r="N245" s="332" t="str">
        <f t="shared" si="27"/>
        <v>Chapel</v>
      </c>
      <c r="O245" s="3">
        <v>7500</v>
      </c>
      <c r="Q245" s="3">
        <f t="shared" si="28"/>
        <v>7500</v>
      </c>
      <c r="T245" s="42"/>
      <c r="Z245" s="3">
        <f t="shared" si="8"/>
        <v>6</v>
      </c>
    </row>
    <row r="246" spans="2:26" ht="15.75" customHeight="1">
      <c r="B246" s="287" t="s">
        <v>1115</v>
      </c>
      <c r="C246" s="290"/>
      <c r="D246" s="289">
        <v>45416</v>
      </c>
      <c r="E246" s="330">
        <f t="shared" si="22"/>
        <v>45443</v>
      </c>
      <c r="F246" s="331">
        <f t="shared" si="23"/>
        <v>6</v>
      </c>
      <c r="G246" s="289">
        <v>44936</v>
      </c>
      <c r="H246" s="330">
        <f t="shared" si="24"/>
        <v>44957</v>
      </c>
      <c r="I246" s="331">
        <f t="shared" si="25"/>
        <v>2023</v>
      </c>
      <c r="J246" s="290">
        <f t="shared" si="26"/>
        <v>480</v>
      </c>
      <c r="K246" s="294"/>
      <c r="L246" s="297" t="s">
        <v>898</v>
      </c>
      <c r="M246" s="297"/>
      <c r="N246" s="332" t="str">
        <f t="shared" si="27"/>
        <v>Chapel</v>
      </c>
      <c r="O246" s="3">
        <v>7000</v>
      </c>
      <c r="Q246" s="3">
        <f t="shared" si="28"/>
        <v>7000</v>
      </c>
      <c r="T246" s="42"/>
      <c r="Z246" s="3">
        <f t="shared" si="8"/>
        <v>7</v>
      </c>
    </row>
    <row r="247" spans="2:26" ht="15.75" customHeight="1">
      <c r="B247" s="287" t="s">
        <v>1116</v>
      </c>
      <c r="C247" s="290"/>
      <c r="D247" s="289">
        <v>45417</v>
      </c>
      <c r="E247" s="330">
        <f t="shared" si="22"/>
        <v>45443</v>
      </c>
      <c r="F247" s="331">
        <f t="shared" si="23"/>
        <v>6</v>
      </c>
      <c r="G247" s="289">
        <v>45138</v>
      </c>
      <c r="H247" s="330">
        <f t="shared" si="24"/>
        <v>45138</v>
      </c>
      <c r="I247" s="331">
        <f t="shared" si="25"/>
        <v>2023</v>
      </c>
      <c r="J247" s="290">
        <f t="shared" si="26"/>
        <v>279</v>
      </c>
      <c r="K247" s="294"/>
      <c r="L247" s="297" t="s">
        <v>898</v>
      </c>
      <c r="M247" s="297"/>
      <c r="N247" s="332" t="str">
        <f t="shared" si="27"/>
        <v>Chapel</v>
      </c>
      <c r="O247" s="3">
        <v>7500</v>
      </c>
      <c r="Q247" s="3">
        <f t="shared" si="28"/>
        <v>7500</v>
      </c>
      <c r="T247" s="42"/>
      <c r="Z247" s="3">
        <f t="shared" si="8"/>
        <v>1</v>
      </c>
    </row>
    <row r="248" spans="2:26" ht="15.75" customHeight="1">
      <c r="B248" s="287" t="s">
        <v>1117</v>
      </c>
      <c r="C248" s="290"/>
      <c r="D248" s="289">
        <v>45422</v>
      </c>
      <c r="E248" s="330">
        <f t="shared" si="22"/>
        <v>45443</v>
      </c>
      <c r="F248" s="331">
        <f t="shared" si="23"/>
        <v>6</v>
      </c>
      <c r="G248" s="289">
        <v>45053</v>
      </c>
      <c r="H248" s="330">
        <f t="shared" si="24"/>
        <v>45077</v>
      </c>
      <c r="I248" s="331">
        <f t="shared" si="25"/>
        <v>2023</v>
      </c>
      <c r="J248" s="290">
        <f t="shared" si="26"/>
        <v>369</v>
      </c>
      <c r="K248" s="294"/>
      <c r="L248" s="297" t="s">
        <v>898</v>
      </c>
      <c r="M248" s="297"/>
      <c r="N248" s="332" t="str">
        <f t="shared" si="27"/>
        <v>Chapel</v>
      </c>
      <c r="O248" s="3">
        <v>7500</v>
      </c>
      <c r="Q248" s="3">
        <f t="shared" si="28"/>
        <v>7500</v>
      </c>
      <c r="T248" s="42"/>
      <c r="Z248" s="3">
        <f t="shared" si="8"/>
        <v>6</v>
      </c>
    </row>
    <row r="249" spans="2:26" ht="15.75" customHeight="1">
      <c r="B249" s="287" t="s">
        <v>1118</v>
      </c>
      <c r="C249" s="290"/>
      <c r="D249" s="289">
        <v>45423</v>
      </c>
      <c r="E249" s="330">
        <f t="shared" si="22"/>
        <v>45443</v>
      </c>
      <c r="F249" s="331">
        <f t="shared" si="23"/>
        <v>6</v>
      </c>
      <c r="G249" s="289">
        <v>44978</v>
      </c>
      <c r="H249" s="330">
        <f t="shared" si="24"/>
        <v>44985</v>
      </c>
      <c r="I249" s="331">
        <f t="shared" si="25"/>
        <v>2023</v>
      </c>
      <c r="J249" s="290">
        <f t="shared" si="26"/>
        <v>445</v>
      </c>
      <c r="K249" s="294"/>
      <c r="L249" s="297" t="s">
        <v>898</v>
      </c>
      <c r="M249" s="297"/>
      <c r="N249" s="332" t="str">
        <f t="shared" si="27"/>
        <v>Chapel</v>
      </c>
      <c r="O249" s="3">
        <v>7000</v>
      </c>
      <c r="Q249" s="3">
        <f t="shared" si="28"/>
        <v>7000</v>
      </c>
      <c r="T249" s="42"/>
      <c r="Z249" s="3">
        <f t="shared" si="8"/>
        <v>7</v>
      </c>
    </row>
    <row r="250" spans="2:26" ht="15.75" customHeight="1">
      <c r="B250" s="287" t="s">
        <v>1119</v>
      </c>
      <c r="C250" s="290"/>
      <c r="D250" s="289">
        <v>45429</v>
      </c>
      <c r="E250" s="330">
        <f t="shared" si="22"/>
        <v>45443</v>
      </c>
      <c r="F250" s="331">
        <f t="shared" si="23"/>
        <v>6</v>
      </c>
      <c r="G250" s="289">
        <v>44978</v>
      </c>
      <c r="H250" s="330">
        <f t="shared" si="24"/>
        <v>44985</v>
      </c>
      <c r="I250" s="331">
        <f t="shared" si="25"/>
        <v>2023</v>
      </c>
      <c r="J250" s="290">
        <f t="shared" si="26"/>
        <v>451</v>
      </c>
      <c r="K250" s="294"/>
      <c r="L250" s="297" t="s">
        <v>898</v>
      </c>
      <c r="M250" s="297"/>
      <c r="N250" s="332" t="str">
        <f t="shared" si="27"/>
        <v>Chapel</v>
      </c>
      <c r="O250" s="3">
        <v>6500</v>
      </c>
      <c r="Q250" s="3">
        <f t="shared" si="28"/>
        <v>6500</v>
      </c>
      <c r="T250" s="42"/>
      <c r="Z250" s="3">
        <f t="shared" si="8"/>
        <v>6</v>
      </c>
    </row>
    <row r="251" spans="2:26" ht="15.75" customHeight="1">
      <c r="B251" s="287" t="s">
        <v>1120</v>
      </c>
      <c r="C251" s="290"/>
      <c r="D251" s="289">
        <v>45430</v>
      </c>
      <c r="E251" s="330">
        <f t="shared" si="22"/>
        <v>45443</v>
      </c>
      <c r="F251" s="331">
        <f t="shared" si="23"/>
        <v>6</v>
      </c>
      <c r="G251" s="289">
        <v>44764</v>
      </c>
      <c r="H251" s="330">
        <f t="shared" si="24"/>
        <v>44773</v>
      </c>
      <c r="I251" s="331">
        <f t="shared" si="25"/>
        <v>2022</v>
      </c>
      <c r="J251" s="290">
        <f t="shared" si="26"/>
        <v>666</v>
      </c>
      <c r="K251" s="294"/>
      <c r="L251" s="297" t="s">
        <v>898</v>
      </c>
      <c r="M251" s="297"/>
      <c r="N251" s="332" t="str">
        <f t="shared" si="27"/>
        <v>Chapel</v>
      </c>
      <c r="O251" s="3">
        <v>5500</v>
      </c>
      <c r="Q251" s="3">
        <f t="shared" si="28"/>
        <v>5500</v>
      </c>
      <c r="T251" s="42"/>
      <c r="Z251" s="3">
        <f t="shared" si="8"/>
        <v>7</v>
      </c>
    </row>
    <row r="252" spans="2:26" ht="15.75" customHeight="1">
      <c r="B252" s="287" t="s">
        <v>1121</v>
      </c>
      <c r="C252" s="290"/>
      <c r="D252" s="289">
        <v>45431</v>
      </c>
      <c r="E252" s="330">
        <f t="shared" si="22"/>
        <v>45443</v>
      </c>
      <c r="F252" s="331">
        <f t="shared" si="23"/>
        <v>6</v>
      </c>
      <c r="G252" s="289">
        <v>45135</v>
      </c>
      <c r="H252" s="330">
        <f t="shared" si="24"/>
        <v>45138</v>
      </c>
      <c r="I252" s="331">
        <f t="shared" si="25"/>
        <v>2023</v>
      </c>
      <c r="J252" s="290">
        <f t="shared" si="26"/>
        <v>296</v>
      </c>
      <c r="K252" s="294"/>
      <c r="L252" s="297" t="s">
        <v>898</v>
      </c>
      <c r="M252" s="297"/>
      <c r="N252" s="332" t="str">
        <f t="shared" si="27"/>
        <v>Chapel</v>
      </c>
      <c r="O252" s="3">
        <v>7500</v>
      </c>
      <c r="Q252" s="3">
        <f t="shared" si="28"/>
        <v>7500</v>
      </c>
      <c r="T252" s="42"/>
      <c r="Z252" s="3">
        <f t="shared" si="8"/>
        <v>1</v>
      </c>
    </row>
    <row r="253" spans="2:26" ht="15.75" customHeight="1">
      <c r="B253" s="287" t="s">
        <v>1122</v>
      </c>
      <c r="C253" s="290"/>
      <c r="D253" s="289">
        <v>45436</v>
      </c>
      <c r="E253" s="330">
        <f t="shared" si="22"/>
        <v>45443</v>
      </c>
      <c r="F253" s="331">
        <f t="shared" si="23"/>
        <v>6</v>
      </c>
      <c r="G253" s="289">
        <v>44956</v>
      </c>
      <c r="H253" s="330">
        <f t="shared" si="24"/>
        <v>44957</v>
      </c>
      <c r="I253" s="331">
        <f t="shared" si="25"/>
        <v>2023</v>
      </c>
      <c r="J253" s="290">
        <f t="shared" si="26"/>
        <v>480</v>
      </c>
      <c r="K253" s="294"/>
      <c r="L253" s="297" t="s">
        <v>898</v>
      </c>
      <c r="M253" s="297"/>
      <c r="N253" s="332" t="str">
        <f t="shared" si="27"/>
        <v>Chapel</v>
      </c>
      <c r="O253" s="3">
        <v>6250</v>
      </c>
      <c r="Q253" s="3">
        <f t="shared" si="28"/>
        <v>6250</v>
      </c>
      <c r="T253" s="42"/>
      <c r="Z253" s="3">
        <f t="shared" si="8"/>
        <v>6</v>
      </c>
    </row>
    <row r="254" spans="2:26" ht="15.75" customHeight="1">
      <c r="B254" s="287" t="s">
        <v>1123</v>
      </c>
      <c r="C254" s="290"/>
      <c r="D254" s="289">
        <v>45437</v>
      </c>
      <c r="E254" s="330">
        <f t="shared" si="22"/>
        <v>45443</v>
      </c>
      <c r="F254" s="331">
        <f t="shared" si="23"/>
        <v>6</v>
      </c>
      <c r="G254" s="289">
        <v>44806</v>
      </c>
      <c r="H254" s="330">
        <f t="shared" si="24"/>
        <v>44834</v>
      </c>
      <c r="I254" s="331">
        <f t="shared" si="25"/>
        <v>2022</v>
      </c>
      <c r="J254" s="290">
        <f t="shared" si="26"/>
        <v>631</v>
      </c>
      <c r="K254" s="294"/>
      <c r="L254" s="297" t="s">
        <v>898</v>
      </c>
      <c r="M254" s="297"/>
      <c r="N254" s="332" t="str">
        <f t="shared" si="27"/>
        <v>Chapel</v>
      </c>
      <c r="O254" s="3">
        <v>5750</v>
      </c>
      <c r="Q254" s="3">
        <f t="shared" si="28"/>
        <v>5750</v>
      </c>
      <c r="T254" s="42"/>
      <c r="Z254" s="3">
        <f t="shared" si="8"/>
        <v>7</v>
      </c>
    </row>
    <row r="255" spans="2:26" ht="15.75" customHeight="1">
      <c r="B255" s="287" t="s">
        <v>1124</v>
      </c>
      <c r="C255" s="290"/>
      <c r="D255" s="289">
        <v>45438</v>
      </c>
      <c r="E255" s="330">
        <f t="shared" si="22"/>
        <v>45443</v>
      </c>
      <c r="F255" s="331">
        <f t="shared" si="23"/>
        <v>6</v>
      </c>
      <c r="G255" s="289">
        <v>45125</v>
      </c>
      <c r="H255" s="330">
        <f t="shared" si="24"/>
        <v>45138</v>
      </c>
      <c r="I255" s="331">
        <f t="shared" si="25"/>
        <v>2023</v>
      </c>
      <c r="J255" s="290">
        <f t="shared" si="26"/>
        <v>313</v>
      </c>
      <c r="K255" s="294"/>
      <c r="L255" s="297" t="s">
        <v>898</v>
      </c>
      <c r="M255" s="297"/>
      <c r="N255" s="332" t="str">
        <f t="shared" si="27"/>
        <v>Chapel</v>
      </c>
      <c r="O255" s="3">
        <v>7500</v>
      </c>
      <c r="P255" s="332"/>
      <c r="Q255" s="3">
        <f t="shared" si="28"/>
        <v>7500</v>
      </c>
      <c r="T255" s="343">
        <v>3765</v>
      </c>
      <c r="Z255" s="3">
        <f t="shared" si="8"/>
        <v>1</v>
      </c>
    </row>
    <row r="256" spans="2:26" ht="15.75" customHeight="1">
      <c r="B256" s="287" t="s">
        <v>1125</v>
      </c>
      <c r="C256" s="290"/>
      <c r="D256" s="289">
        <v>45440</v>
      </c>
      <c r="E256" s="330">
        <f t="shared" si="22"/>
        <v>45443</v>
      </c>
      <c r="F256" s="331">
        <f t="shared" si="23"/>
        <v>6</v>
      </c>
      <c r="G256" s="289">
        <v>45390</v>
      </c>
      <c r="H256" s="330">
        <f t="shared" si="24"/>
        <v>45412</v>
      </c>
      <c r="I256" s="331">
        <f t="shared" si="25"/>
        <v>2024</v>
      </c>
      <c r="J256" s="290">
        <f t="shared" si="26"/>
        <v>50</v>
      </c>
      <c r="K256" s="294"/>
      <c r="L256" s="297"/>
      <c r="M256" s="297" t="s">
        <v>898</v>
      </c>
      <c r="N256" s="332" t="str">
        <f t="shared" si="27"/>
        <v>Elopement</v>
      </c>
      <c r="O256" s="3">
        <v>1500</v>
      </c>
      <c r="Q256" s="3">
        <f t="shared" si="28"/>
        <v>1500</v>
      </c>
      <c r="T256" s="42"/>
      <c r="Z256" s="3">
        <f t="shared" si="8"/>
        <v>3</v>
      </c>
    </row>
    <row r="257" spans="2:26" ht="15.75" customHeight="1">
      <c r="B257" s="287" t="s">
        <v>1126</v>
      </c>
      <c r="C257" s="290"/>
      <c r="D257" s="289">
        <v>45443</v>
      </c>
      <c r="E257" s="330">
        <f t="shared" si="22"/>
        <v>45443</v>
      </c>
      <c r="F257" s="331">
        <f t="shared" si="23"/>
        <v>6</v>
      </c>
      <c r="G257" s="289">
        <v>45044</v>
      </c>
      <c r="H257" s="330">
        <f t="shared" si="24"/>
        <v>45046</v>
      </c>
      <c r="I257" s="331">
        <f t="shared" si="25"/>
        <v>2023</v>
      </c>
      <c r="J257" s="290">
        <f t="shared" si="26"/>
        <v>399</v>
      </c>
      <c r="K257" s="294"/>
      <c r="L257" s="297" t="s">
        <v>898</v>
      </c>
      <c r="M257" s="297"/>
      <c r="N257" s="332" t="str">
        <f t="shared" si="27"/>
        <v>Chapel</v>
      </c>
      <c r="O257" s="3">
        <v>7250</v>
      </c>
      <c r="Q257" s="3">
        <f t="shared" si="28"/>
        <v>7250</v>
      </c>
      <c r="T257" s="42"/>
      <c r="Z257" s="3">
        <f t="shared" si="8"/>
        <v>6</v>
      </c>
    </row>
    <row r="258" spans="2:26" ht="15.75" customHeight="1">
      <c r="B258" s="287" t="s">
        <v>1127</v>
      </c>
      <c r="C258" s="290"/>
      <c r="D258" s="289">
        <v>45444</v>
      </c>
      <c r="E258" s="330">
        <f t="shared" si="22"/>
        <v>45473</v>
      </c>
      <c r="F258" s="331">
        <f t="shared" si="23"/>
        <v>1</v>
      </c>
      <c r="G258" s="289">
        <v>44929</v>
      </c>
      <c r="H258" s="330">
        <f t="shared" si="24"/>
        <v>44957</v>
      </c>
      <c r="I258" s="331">
        <f t="shared" si="25"/>
        <v>2023</v>
      </c>
      <c r="J258" s="290">
        <f t="shared" si="26"/>
        <v>515</v>
      </c>
      <c r="K258" s="294"/>
      <c r="L258" s="297" t="s">
        <v>898</v>
      </c>
      <c r="M258" s="297"/>
      <c r="N258" s="332" t="str">
        <f t="shared" si="27"/>
        <v>Chapel</v>
      </c>
      <c r="O258" s="3">
        <v>7000</v>
      </c>
      <c r="P258" s="332"/>
      <c r="Q258" s="3">
        <f t="shared" si="28"/>
        <v>7000</v>
      </c>
      <c r="T258" s="343">
        <v>4448</v>
      </c>
      <c r="Z258" s="3">
        <f t="shared" ref="Z258:Z512" si="29">WEEKDAY(D258)</f>
        <v>7</v>
      </c>
    </row>
    <row r="259" spans="2:26" ht="15.75" customHeight="1">
      <c r="B259" s="287" t="s">
        <v>1128</v>
      </c>
      <c r="C259" s="290"/>
      <c r="D259" s="289">
        <v>45445</v>
      </c>
      <c r="E259" s="330">
        <f t="shared" si="22"/>
        <v>45473</v>
      </c>
      <c r="F259" s="331">
        <f t="shared" si="23"/>
        <v>1</v>
      </c>
      <c r="G259" s="289">
        <v>45142</v>
      </c>
      <c r="H259" s="330">
        <f t="shared" si="24"/>
        <v>45169</v>
      </c>
      <c r="I259" s="331">
        <f t="shared" si="25"/>
        <v>2023</v>
      </c>
      <c r="J259" s="290">
        <f t="shared" si="26"/>
        <v>303</v>
      </c>
      <c r="K259" s="294"/>
      <c r="L259" s="297" t="s">
        <v>898</v>
      </c>
      <c r="M259" s="297"/>
      <c r="N259" s="332" t="str">
        <f t="shared" si="27"/>
        <v>Chapel</v>
      </c>
      <c r="O259" s="3">
        <v>7500</v>
      </c>
      <c r="Q259" s="3">
        <f t="shared" si="28"/>
        <v>7500</v>
      </c>
      <c r="T259" s="42"/>
      <c r="Z259" s="3">
        <f t="shared" si="29"/>
        <v>1</v>
      </c>
    </row>
    <row r="260" spans="2:26" ht="15.75" customHeight="1">
      <c r="B260" s="287" t="s">
        <v>1129</v>
      </c>
      <c r="C260" s="290"/>
      <c r="D260" s="289">
        <v>45450</v>
      </c>
      <c r="E260" s="330">
        <f t="shared" si="22"/>
        <v>45473</v>
      </c>
      <c r="F260" s="331">
        <f t="shared" si="23"/>
        <v>1</v>
      </c>
      <c r="G260" s="289">
        <v>45304</v>
      </c>
      <c r="H260" s="330">
        <f t="shared" si="24"/>
        <v>45322</v>
      </c>
      <c r="I260" s="331">
        <f t="shared" si="25"/>
        <v>2024</v>
      </c>
      <c r="J260" s="290">
        <f t="shared" si="26"/>
        <v>146</v>
      </c>
      <c r="K260" s="294"/>
      <c r="L260" s="297" t="s">
        <v>898</v>
      </c>
      <c r="M260" s="297"/>
      <c r="N260" s="332" t="str">
        <f t="shared" si="27"/>
        <v>Chapel</v>
      </c>
      <c r="O260" s="3">
        <v>6500</v>
      </c>
      <c r="Q260" s="3">
        <f t="shared" si="28"/>
        <v>6500</v>
      </c>
      <c r="T260" s="42"/>
      <c r="Z260" s="3">
        <f t="shared" si="29"/>
        <v>6</v>
      </c>
    </row>
    <row r="261" spans="2:26" ht="15.75" customHeight="1">
      <c r="B261" s="287" t="s">
        <v>1130</v>
      </c>
      <c r="C261" s="290"/>
      <c r="D261" s="289">
        <v>45451</v>
      </c>
      <c r="E261" s="330">
        <f t="shared" si="22"/>
        <v>45473</v>
      </c>
      <c r="F261" s="331">
        <f t="shared" si="23"/>
        <v>1</v>
      </c>
      <c r="G261" s="289">
        <v>44984</v>
      </c>
      <c r="H261" s="330">
        <f t="shared" si="24"/>
        <v>44985</v>
      </c>
      <c r="I261" s="331">
        <f t="shared" si="25"/>
        <v>2023</v>
      </c>
      <c r="J261" s="290">
        <f t="shared" si="26"/>
        <v>467</v>
      </c>
      <c r="K261" s="294"/>
      <c r="L261" s="297" t="s">
        <v>898</v>
      </c>
      <c r="M261" s="297"/>
      <c r="N261" s="332" t="str">
        <f t="shared" si="27"/>
        <v>Chapel</v>
      </c>
      <c r="O261" s="3">
        <v>7000</v>
      </c>
      <c r="Q261" s="3">
        <f t="shared" si="28"/>
        <v>7000</v>
      </c>
      <c r="T261" s="42"/>
      <c r="Z261" s="3">
        <f t="shared" si="29"/>
        <v>7</v>
      </c>
    </row>
    <row r="262" spans="2:26" ht="15.75" customHeight="1">
      <c r="B262" s="287" t="s">
        <v>1131</v>
      </c>
      <c r="C262" s="290"/>
      <c r="D262" s="289">
        <v>45452</v>
      </c>
      <c r="E262" s="330">
        <f t="shared" si="22"/>
        <v>45473</v>
      </c>
      <c r="F262" s="331">
        <f t="shared" si="23"/>
        <v>1</v>
      </c>
      <c r="G262" s="289">
        <v>45135</v>
      </c>
      <c r="H262" s="330">
        <f t="shared" si="24"/>
        <v>45138</v>
      </c>
      <c r="I262" s="331">
        <f t="shared" si="25"/>
        <v>2023</v>
      </c>
      <c r="J262" s="290">
        <f t="shared" si="26"/>
        <v>317</v>
      </c>
      <c r="K262" s="294"/>
      <c r="L262" s="297" t="s">
        <v>898</v>
      </c>
      <c r="M262" s="297"/>
      <c r="N262" s="332" t="str">
        <f t="shared" si="27"/>
        <v>Chapel</v>
      </c>
      <c r="O262" s="3">
        <v>7500</v>
      </c>
      <c r="Q262" s="3">
        <f t="shared" si="28"/>
        <v>7500</v>
      </c>
      <c r="T262" s="42"/>
      <c r="Z262" s="3">
        <f t="shared" si="29"/>
        <v>1</v>
      </c>
    </row>
    <row r="263" spans="2:26" ht="15.75" customHeight="1">
      <c r="B263" s="287" t="s">
        <v>1132</v>
      </c>
      <c r="C263" s="290"/>
      <c r="D263" s="289">
        <v>45457</v>
      </c>
      <c r="E263" s="330">
        <f t="shared" si="22"/>
        <v>45473</v>
      </c>
      <c r="F263" s="331">
        <f t="shared" si="23"/>
        <v>1</v>
      </c>
      <c r="G263" s="289">
        <v>45002</v>
      </c>
      <c r="H263" s="330">
        <f t="shared" si="24"/>
        <v>45016</v>
      </c>
      <c r="I263" s="331">
        <f t="shared" si="25"/>
        <v>2023</v>
      </c>
      <c r="J263" s="290">
        <f t="shared" si="26"/>
        <v>455</v>
      </c>
      <c r="K263" s="294"/>
      <c r="L263" s="297" t="s">
        <v>898</v>
      </c>
      <c r="M263" s="297"/>
      <c r="N263" s="332" t="str">
        <f t="shared" si="27"/>
        <v>Chapel</v>
      </c>
      <c r="O263" s="3">
        <v>6500</v>
      </c>
      <c r="Q263" s="3">
        <f t="shared" si="28"/>
        <v>6500</v>
      </c>
      <c r="T263" s="42"/>
      <c r="Z263" s="3">
        <f t="shared" si="29"/>
        <v>6</v>
      </c>
    </row>
    <row r="264" spans="2:26" ht="15.75" customHeight="1">
      <c r="B264" s="287" t="s">
        <v>1133</v>
      </c>
      <c r="C264" s="290"/>
      <c r="D264" s="289">
        <v>45458</v>
      </c>
      <c r="E264" s="330">
        <f t="shared" si="22"/>
        <v>45473</v>
      </c>
      <c r="F264" s="331">
        <f t="shared" si="23"/>
        <v>1</v>
      </c>
      <c r="G264" s="289">
        <v>44984</v>
      </c>
      <c r="H264" s="330">
        <f t="shared" si="24"/>
        <v>44985</v>
      </c>
      <c r="I264" s="331">
        <f t="shared" si="25"/>
        <v>2023</v>
      </c>
      <c r="J264" s="290">
        <f t="shared" si="26"/>
        <v>474</v>
      </c>
      <c r="K264" s="294"/>
      <c r="L264" s="297" t="s">
        <v>898</v>
      </c>
      <c r="M264" s="297"/>
      <c r="N264" s="332" t="str">
        <f t="shared" si="27"/>
        <v>Chapel</v>
      </c>
      <c r="O264" s="3">
        <v>7000</v>
      </c>
      <c r="Q264" s="3">
        <f t="shared" si="28"/>
        <v>7000</v>
      </c>
      <c r="T264" s="42"/>
      <c r="Z264" s="3">
        <f t="shared" si="29"/>
        <v>7</v>
      </c>
    </row>
    <row r="265" spans="2:26" ht="15.75" customHeight="1">
      <c r="B265" s="287" t="s">
        <v>1134</v>
      </c>
      <c r="C265" s="290"/>
      <c r="D265" s="289">
        <v>45464</v>
      </c>
      <c r="E265" s="330">
        <f t="shared" si="22"/>
        <v>45473</v>
      </c>
      <c r="F265" s="331">
        <f t="shared" si="23"/>
        <v>1</v>
      </c>
      <c r="G265" s="289">
        <v>45126</v>
      </c>
      <c r="H265" s="330">
        <f t="shared" si="24"/>
        <v>45138</v>
      </c>
      <c r="I265" s="331">
        <f t="shared" si="25"/>
        <v>2023</v>
      </c>
      <c r="J265" s="290">
        <f t="shared" si="26"/>
        <v>338</v>
      </c>
      <c r="K265" s="294"/>
      <c r="L265" s="297" t="s">
        <v>898</v>
      </c>
      <c r="M265" s="297"/>
      <c r="N265" s="332" t="str">
        <f t="shared" si="27"/>
        <v>Chapel</v>
      </c>
      <c r="O265" s="3">
        <v>7500</v>
      </c>
      <c r="Q265" s="3">
        <f t="shared" si="28"/>
        <v>7500</v>
      </c>
      <c r="T265" s="42"/>
      <c r="Z265" s="3">
        <f t="shared" si="29"/>
        <v>6</v>
      </c>
    </row>
    <row r="266" spans="2:26" ht="15.75" customHeight="1">
      <c r="B266" s="287" t="s">
        <v>1135</v>
      </c>
      <c r="C266" s="290"/>
      <c r="D266" s="289">
        <v>45465</v>
      </c>
      <c r="E266" s="330">
        <f t="shared" si="22"/>
        <v>45473</v>
      </c>
      <c r="F266" s="331">
        <f t="shared" si="23"/>
        <v>1</v>
      </c>
      <c r="G266" s="289">
        <v>45021</v>
      </c>
      <c r="H266" s="330">
        <f t="shared" si="24"/>
        <v>45046</v>
      </c>
      <c r="I266" s="331">
        <f t="shared" si="25"/>
        <v>2023</v>
      </c>
      <c r="J266" s="290">
        <f t="shared" si="26"/>
        <v>444</v>
      </c>
      <c r="K266" s="294"/>
      <c r="L266" s="297" t="s">
        <v>898</v>
      </c>
      <c r="M266" s="297"/>
      <c r="N266" s="332" t="str">
        <f t="shared" si="27"/>
        <v>Chapel</v>
      </c>
      <c r="O266" s="3">
        <v>7500</v>
      </c>
      <c r="Q266" s="3">
        <f t="shared" si="28"/>
        <v>7500</v>
      </c>
      <c r="T266" s="42"/>
      <c r="Z266" s="3">
        <f t="shared" si="29"/>
        <v>7</v>
      </c>
    </row>
    <row r="267" spans="2:26" ht="15.75" customHeight="1">
      <c r="B267" s="287" t="s">
        <v>1136</v>
      </c>
      <c r="C267" s="290"/>
      <c r="D267" s="289">
        <v>45466</v>
      </c>
      <c r="E267" s="330">
        <f t="shared" si="22"/>
        <v>45473</v>
      </c>
      <c r="F267" s="331">
        <f t="shared" si="23"/>
        <v>1</v>
      </c>
      <c r="G267" s="289">
        <v>45230</v>
      </c>
      <c r="H267" s="330">
        <f t="shared" si="24"/>
        <v>45230</v>
      </c>
      <c r="I267" s="331">
        <f t="shared" si="25"/>
        <v>2023</v>
      </c>
      <c r="J267" s="290">
        <f t="shared" si="26"/>
        <v>236</v>
      </c>
      <c r="K267" s="294"/>
      <c r="L267" s="297" t="s">
        <v>898</v>
      </c>
      <c r="M267" s="297"/>
      <c r="N267" s="332" t="str">
        <f t="shared" si="27"/>
        <v>Chapel</v>
      </c>
      <c r="O267" s="3">
        <v>7500</v>
      </c>
      <c r="Q267" s="3">
        <f t="shared" si="28"/>
        <v>7500</v>
      </c>
      <c r="T267" s="42"/>
      <c r="Z267" s="3">
        <f t="shared" si="29"/>
        <v>1</v>
      </c>
    </row>
    <row r="268" spans="2:26" ht="15.75" customHeight="1">
      <c r="B268" s="287" t="s">
        <v>1137</v>
      </c>
      <c r="C268" s="290"/>
      <c r="D268" s="289">
        <v>45468</v>
      </c>
      <c r="E268" s="330">
        <f t="shared" si="22"/>
        <v>45473</v>
      </c>
      <c r="F268" s="331">
        <f t="shared" si="23"/>
        <v>1</v>
      </c>
      <c r="G268" s="289">
        <v>45421</v>
      </c>
      <c r="H268" s="330">
        <f t="shared" si="24"/>
        <v>45443</v>
      </c>
      <c r="I268" s="331">
        <f t="shared" si="25"/>
        <v>2024</v>
      </c>
      <c r="J268" s="290">
        <f t="shared" si="26"/>
        <v>47</v>
      </c>
      <c r="K268" s="294"/>
      <c r="L268" s="297"/>
      <c r="M268" s="297" t="s">
        <v>898</v>
      </c>
      <c r="N268" s="332" t="str">
        <f t="shared" si="27"/>
        <v>Elopement</v>
      </c>
      <c r="O268" s="3">
        <v>1500</v>
      </c>
      <c r="Q268" s="3">
        <f t="shared" si="28"/>
        <v>1500</v>
      </c>
      <c r="T268" s="42"/>
      <c r="Z268" s="3">
        <f t="shared" si="29"/>
        <v>3</v>
      </c>
    </row>
    <row r="269" spans="2:26" ht="15.75" customHeight="1">
      <c r="B269" s="287" t="s">
        <v>1138</v>
      </c>
      <c r="C269" s="290"/>
      <c r="D269" s="289">
        <v>45468</v>
      </c>
      <c r="E269" s="330">
        <f t="shared" si="22"/>
        <v>45473</v>
      </c>
      <c r="F269" s="331">
        <f t="shared" si="23"/>
        <v>1</v>
      </c>
      <c r="G269" s="289">
        <v>45362</v>
      </c>
      <c r="H269" s="330">
        <f t="shared" si="24"/>
        <v>45382</v>
      </c>
      <c r="I269" s="331">
        <f t="shared" si="25"/>
        <v>2024</v>
      </c>
      <c r="J269" s="290">
        <f t="shared" si="26"/>
        <v>106</v>
      </c>
      <c r="K269" s="294"/>
      <c r="L269" s="297"/>
      <c r="M269" s="297" t="s">
        <v>898</v>
      </c>
      <c r="N269" s="332" t="str">
        <f t="shared" si="27"/>
        <v>Elopement</v>
      </c>
      <c r="O269" s="3">
        <v>1500</v>
      </c>
      <c r="Q269" s="3">
        <f t="shared" si="28"/>
        <v>1500</v>
      </c>
      <c r="T269" s="42"/>
      <c r="Z269" s="3">
        <f t="shared" si="29"/>
        <v>3</v>
      </c>
    </row>
    <row r="270" spans="2:26" ht="15.75" customHeight="1">
      <c r="B270" s="287" t="s">
        <v>1139</v>
      </c>
      <c r="C270" s="290"/>
      <c r="D270" s="289">
        <v>45471</v>
      </c>
      <c r="E270" s="330">
        <f t="shared" si="22"/>
        <v>45473</v>
      </c>
      <c r="F270" s="331">
        <f t="shared" si="23"/>
        <v>1</v>
      </c>
      <c r="G270" s="289">
        <v>45054</v>
      </c>
      <c r="H270" s="330">
        <f t="shared" si="24"/>
        <v>45077</v>
      </c>
      <c r="I270" s="331">
        <f t="shared" si="25"/>
        <v>2023</v>
      </c>
      <c r="J270" s="290">
        <f t="shared" si="26"/>
        <v>417</v>
      </c>
      <c r="K270" s="294"/>
      <c r="L270" s="297" t="s">
        <v>898</v>
      </c>
      <c r="M270" s="297"/>
      <c r="N270" s="332" t="str">
        <f t="shared" si="27"/>
        <v>Chapel</v>
      </c>
      <c r="O270" s="3">
        <v>7500</v>
      </c>
      <c r="Q270" s="3">
        <f t="shared" si="28"/>
        <v>7500</v>
      </c>
      <c r="T270" s="42"/>
      <c r="Z270" s="3">
        <f t="shared" si="29"/>
        <v>6</v>
      </c>
    </row>
    <row r="271" spans="2:26" ht="15.75" customHeight="1">
      <c r="B271" s="287" t="s">
        <v>1140</v>
      </c>
      <c r="C271" s="290"/>
      <c r="D271" s="289">
        <v>45472</v>
      </c>
      <c r="E271" s="330">
        <f t="shared" si="22"/>
        <v>45473</v>
      </c>
      <c r="F271" s="331">
        <f t="shared" si="23"/>
        <v>1</v>
      </c>
      <c r="G271" s="289">
        <v>45033</v>
      </c>
      <c r="H271" s="330">
        <f t="shared" si="24"/>
        <v>45046</v>
      </c>
      <c r="I271" s="331">
        <f t="shared" si="25"/>
        <v>2023</v>
      </c>
      <c r="J271" s="290">
        <f t="shared" si="26"/>
        <v>439</v>
      </c>
      <c r="K271" s="294"/>
      <c r="L271" s="297" t="s">
        <v>898</v>
      </c>
      <c r="M271" s="297"/>
      <c r="N271" s="332" t="str">
        <f t="shared" si="27"/>
        <v>Chapel</v>
      </c>
      <c r="O271" s="3">
        <v>7500</v>
      </c>
      <c r="P271" s="332"/>
      <c r="Q271" s="3">
        <f t="shared" si="28"/>
        <v>7500</v>
      </c>
      <c r="T271" s="343">
        <v>5520</v>
      </c>
      <c r="Z271" s="3">
        <f t="shared" si="29"/>
        <v>7</v>
      </c>
    </row>
    <row r="272" spans="2:26" ht="15.75" customHeight="1">
      <c r="B272" s="287" t="s">
        <v>1141</v>
      </c>
      <c r="C272" s="290"/>
      <c r="D272" s="289">
        <v>45473</v>
      </c>
      <c r="E272" s="330">
        <f t="shared" si="22"/>
        <v>45473</v>
      </c>
      <c r="F272" s="331">
        <f t="shared" si="23"/>
        <v>1</v>
      </c>
      <c r="G272" s="289">
        <v>45237</v>
      </c>
      <c r="H272" s="330">
        <f t="shared" si="24"/>
        <v>45260</v>
      </c>
      <c r="I272" s="331">
        <f t="shared" si="25"/>
        <v>2023</v>
      </c>
      <c r="J272" s="290">
        <f t="shared" si="26"/>
        <v>236</v>
      </c>
      <c r="K272" s="294"/>
      <c r="L272" s="297" t="s">
        <v>898</v>
      </c>
      <c r="M272" s="297"/>
      <c r="N272" s="332" t="str">
        <f t="shared" si="27"/>
        <v>Chapel</v>
      </c>
      <c r="O272" s="3">
        <v>7500</v>
      </c>
      <c r="Q272" s="3">
        <f t="shared" si="28"/>
        <v>7500</v>
      </c>
      <c r="T272" s="42"/>
      <c r="Z272" s="3">
        <f t="shared" si="29"/>
        <v>1</v>
      </c>
    </row>
    <row r="273" spans="2:26" ht="15.75" customHeight="1">
      <c r="B273" s="287" t="s">
        <v>1142</v>
      </c>
      <c r="C273" s="290"/>
      <c r="D273" s="289">
        <v>45478</v>
      </c>
      <c r="E273" s="330">
        <f t="shared" si="22"/>
        <v>45504</v>
      </c>
      <c r="F273" s="331">
        <f t="shared" si="23"/>
        <v>4</v>
      </c>
      <c r="G273" s="289">
        <v>45316</v>
      </c>
      <c r="H273" s="330">
        <f t="shared" si="24"/>
        <v>45322</v>
      </c>
      <c r="I273" s="331">
        <f t="shared" si="25"/>
        <v>2024</v>
      </c>
      <c r="J273" s="290">
        <f t="shared" si="26"/>
        <v>162</v>
      </c>
      <c r="K273" s="294"/>
      <c r="L273" s="297" t="s">
        <v>898</v>
      </c>
      <c r="M273" s="297"/>
      <c r="N273" s="332" t="str">
        <f t="shared" si="27"/>
        <v>Chapel</v>
      </c>
      <c r="O273" s="3">
        <v>6500</v>
      </c>
      <c r="Q273" s="3">
        <f t="shared" si="28"/>
        <v>6500</v>
      </c>
      <c r="T273" s="42"/>
      <c r="Z273" s="3">
        <f t="shared" si="29"/>
        <v>6</v>
      </c>
    </row>
    <row r="274" spans="2:26" ht="15.75" customHeight="1">
      <c r="B274" s="287" t="s">
        <v>1143</v>
      </c>
      <c r="C274" s="290"/>
      <c r="D274" s="289">
        <v>45479</v>
      </c>
      <c r="E274" s="330">
        <f t="shared" si="22"/>
        <v>45504</v>
      </c>
      <c r="F274" s="331">
        <f t="shared" si="23"/>
        <v>4</v>
      </c>
      <c r="G274" s="289">
        <v>45202</v>
      </c>
      <c r="H274" s="330">
        <f t="shared" si="24"/>
        <v>45230</v>
      </c>
      <c r="I274" s="331">
        <f t="shared" si="25"/>
        <v>2023</v>
      </c>
      <c r="J274" s="290">
        <f t="shared" si="26"/>
        <v>277</v>
      </c>
      <c r="K274" s="294"/>
      <c r="L274" s="297" t="s">
        <v>898</v>
      </c>
      <c r="M274" s="297"/>
      <c r="N274" s="332" t="str">
        <f t="shared" si="27"/>
        <v>Chapel</v>
      </c>
      <c r="O274" s="3">
        <v>7500</v>
      </c>
      <c r="P274" s="332"/>
      <c r="Q274" s="3">
        <f t="shared" si="28"/>
        <v>7500</v>
      </c>
      <c r="T274" s="343">
        <v>3696</v>
      </c>
      <c r="Z274" s="3">
        <f t="shared" si="29"/>
        <v>7</v>
      </c>
    </row>
    <row r="275" spans="2:26" ht="15.75" customHeight="1">
      <c r="B275" s="287" t="s">
        <v>1144</v>
      </c>
      <c r="C275" s="290"/>
      <c r="D275" s="289">
        <v>45492</v>
      </c>
      <c r="E275" s="330">
        <f t="shared" si="22"/>
        <v>45504</v>
      </c>
      <c r="F275" s="331">
        <f t="shared" si="23"/>
        <v>4</v>
      </c>
      <c r="G275" s="289">
        <v>45273</v>
      </c>
      <c r="H275" s="330">
        <f t="shared" si="24"/>
        <v>45291</v>
      </c>
      <c r="I275" s="331">
        <f t="shared" si="25"/>
        <v>2023</v>
      </c>
      <c r="J275" s="290">
        <f t="shared" si="26"/>
        <v>219</v>
      </c>
      <c r="K275" s="294"/>
      <c r="L275" s="297" t="s">
        <v>898</v>
      </c>
      <c r="M275" s="297"/>
      <c r="N275" s="332" t="str">
        <f t="shared" si="27"/>
        <v>Chapel</v>
      </c>
      <c r="O275" s="3">
        <v>6500</v>
      </c>
      <c r="Q275" s="3">
        <f t="shared" si="28"/>
        <v>6500</v>
      </c>
      <c r="T275" s="42"/>
      <c r="Z275" s="3">
        <f t="shared" si="29"/>
        <v>6</v>
      </c>
    </row>
    <row r="276" spans="2:26" ht="15.75" customHeight="1">
      <c r="B276" s="287" t="s">
        <v>1145</v>
      </c>
      <c r="C276" s="290"/>
      <c r="D276" s="289">
        <v>45493</v>
      </c>
      <c r="E276" s="330">
        <f t="shared" si="22"/>
        <v>45504</v>
      </c>
      <c r="F276" s="331">
        <f t="shared" si="23"/>
        <v>4</v>
      </c>
      <c r="G276" s="289">
        <v>45019</v>
      </c>
      <c r="H276" s="330">
        <f t="shared" si="24"/>
        <v>45046</v>
      </c>
      <c r="I276" s="331">
        <f t="shared" si="25"/>
        <v>2023</v>
      </c>
      <c r="J276" s="290">
        <f t="shared" si="26"/>
        <v>474</v>
      </c>
      <c r="K276" s="294"/>
      <c r="L276" s="297" t="s">
        <v>898</v>
      </c>
      <c r="M276" s="297"/>
      <c r="N276" s="332" t="str">
        <f t="shared" si="27"/>
        <v>Chapel</v>
      </c>
      <c r="O276" s="3">
        <v>7000</v>
      </c>
      <c r="Q276" s="3">
        <f t="shared" si="28"/>
        <v>7000</v>
      </c>
      <c r="T276" s="42"/>
      <c r="Z276" s="3">
        <f t="shared" si="29"/>
        <v>7</v>
      </c>
    </row>
    <row r="277" spans="2:26" ht="15.75" customHeight="1">
      <c r="B277" s="287" t="s">
        <v>1146</v>
      </c>
      <c r="C277" s="290"/>
      <c r="D277" s="289">
        <v>45494</v>
      </c>
      <c r="E277" s="330">
        <f t="shared" si="22"/>
        <v>45504</v>
      </c>
      <c r="F277" s="331">
        <f t="shared" si="23"/>
        <v>4</v>
      </c>
      <c r="G277" s="289">
        <v>45327</v>
      </c>
      <c r="H277" s="330">
        <f t="shared" si="24"/>
        <v>45351</v>
      </c>
      <c r="I277" s="331">
        <f t="shared" si="25"/>
        <v>2024</v>
      </c>
      <c r="J277" s="290">
        <f t="shared" si="26"/>
        <v>167</v>
      </c>
      <c r="K277" s="294"/>
      <c r="L277" s="297" t="s">
        <v>898</v>
      </c>
      <c r="M277" s="297"/>
      <c r="N277" s="332" t="str">
        <f t="shared" si="27"/>
        <v>Chapel</v>
      </c>
      <c r="O277" s="3">
        <v>7500</v>
      </c>
      <c r="Q277" s="3">
        <f t="shared" si="28"/>
        <v>7500</v>
      </c>
      <c r="T277" s="42"/>
      <c r="Z277" s="3">
        <f t="shared" si="29"/>
        <v>1</v>
      </c>
    </row>
    <row r="278" spans="2:26" ht="15.75" customHeight="1">
      <c r="B278" s="287" t="s">
        <v>1147</v>
      </c>
      <c r="C278" s="290"/>
      <c r="D278" s="289">
        <v>45499</v>
      </c>
      <c r="E278" s="330">
        <f t="shared" si="22"/>
        <v>45504</v>
      </c>
      <c r="F278" s="331">
        <f t="shared" si="23"/>
        <v>4</v>
      </c>
      <c r="G278" s="289">
        <v>45308</v>
      </c>
      <c r="H278" s="330">
        <f t="shared" si="24"/>
        <v>45322</v>
      </c>
      <c r="I278" s="331">
        <f t="shared" si="25"/>
        <v>2024</v>
      </c>
      <c r="J278" s="290">
        <f t="shared" si="26"/>
        <v>191</v>
      </c>
      <c r="K278" s="294"/>
      <c r="L278" s="297" t="s">
        <v>898</v>
      </c>
      <c r="M278" s="297"/>
      <c r="N278" s="332" t="str">
        <f t="shared" si="27"/>
        <v>Chapel</v>
      </c>
      <c r="O278" s="3">
        <v>6500</v>
      </c>
      <c r="Q278" s="3">
        <f t="shared" si="28"/>
        <v>6500</v>
      </c>
      <c r="T278" s="42"/>
      <c r="Z278" s="3">
        <f t="shared" si="29"/>
        <v>6</v>
      </c>
    </row>
    <row r="279" spans="2:26" ht="15.75" customHeight="1">
      <c r="B279" s="287" t="s">
        <v>1148</v>
      </c>
      <c r="C279" s="290"/>
      <c r="D279" s="289">
        <v>45500</v>
      </c>
      <c r="E279" s="330">
        <f t="shared" si="22"/>
        <v>45504</v>
      </c>
      <c r="F279" s="331">
        <f t="shared" si="23"/>
        <v>4</v>
      </c>
      <c r="G279" s="289">
        <v>45274</v>
      </c>
      <c r="H279" s="330">
        <f t="shared" si="24"/>
        <v>45291</v>
      </c>
      <c r="I279" s="331">
        <f t="shared" si="25"/>
        <v>2023</v>
      </c>
      <c r="J279" s="290">
        <f t="shared" si="26"/>
        <v>226</v>
      </c>
      <c r="K279" s="294"/>
      <c r="L279" s="297" t="s">
        <v>898</v>
      </c>
      <c r="M279" s="297"/>
      <c r="N279" s="332" t="str">
        <f t="shared" si="27"/>
        <v>Chapel</v>
      </c>
      <c r="O279" s="3">
        <v>7500</v>
      </c>
      <c r="Q279" s="3">
        <f t="shared" si="28"/>
        <v>7500</v>
      </c>
      <c r="T279" s="42"/>
      <c r="Z279" s="3">
        <f t="shared" si="29"/>
        <v>7</v>
      </c>
    </row>
    <row r="280" spans="2:26" ht="15.75" customHeight="1">
      <c r="B280" s="287" t="s">
        <v>1149</v>
      </c>
      <c r="C280" s="290"/>
      <c r="D280" s="289">
        <v>45503</v>
      </c>
      <c r="E280" s="330">
        <f t="shared" si="22"/>
        <v>45504</v>
      </c>
      <c r="F280" s="331">
        <f t="shared" si="23"/>
        <v>4</v>
      </c>
      <c r="G280" s="289">
        <v>45274</v>
      </c>
      <c r="H280" s="330">
        <f t="shared" si="24"/>
        <v>45291</v>
      </c>
      <c r="I280" s="331">
        <f t="shared" si="25"/>
        <v>2023</v>
      </c>
      <c r="J280" s="290">
        <f t="shared" si="26"/>
        <v>229</v>
      </c>
      <c r="K280" s="294"/>
      <c r="L280" s="297"/>
      <c r="M280" s="297" t="s">
        <v>898</v>
      </c>
      <c r="N280" s="332" t="str">
        <f t="shared" si="27"/>
        <v>Elopement</v>
      </c>
      <c r="O280" s="3">
        <v>1500</v>
      </c>
      <c r="Q280" s="3">
        <f t="shared" si="28"/>
        <v>1500</v>
      </c>
      <c r="T280" s="42"/>
      <c r="Z280" s="3">
        <f t="shared" si="29"/>
        <v>3</v>
      </c>
    </row>
    <row r="281" spans="2:26" ht="15.75" customHeight="1">
      <c r="B281" s="287" t="s">
        <v>1150</v>
      </c>
      <c r="C281" s="290"/>
      <c r="D281" s="289">
        <v>45506</v>
      </c>
      <c r="E281" s="330">
        <f t="shared" si="22"/>
        <v>45535</v>
      </c>
      <c r="F281" s="331">
        <f t="shared" si="23"/>
        <v>7</v>
      </c>
      <c r="G281" s="289">
        <v>44955</v>
      </c>
      <c r="H281" s="330">
        <f t="shared" si="24"/>
        <v>44957</v>
      </c>
      <c r="I281" s="331">
        <f t="shared" si="25"/>
        <v>2023</v>
      </c>
      <c r="J281" s="290">
        <f t="shared" si="26"/>
        <v>551</v>
      </c>
      <c r="K281" s="294"/>
      <c r="L281" s="297" t="s">
        <v>898</v>
      </c>
      <c r="M281" s="297"/>
      <c r="N281" s="332" t="str">
        <f t="shared" si="27"/>
        <v>Chapel</v>
      </c>
      <c r="O281" s="3">
        <v>6500</v>
      </c>
      <c r="Q281" s="3">
        <f t="shared" si="28"/>
        <v>6500</v>
      </c>
      <c r="T281" s="42"/>
      <c r="Z281" s="3">
        <f t="shared" si="29"/>
        <v>6</v>
      </c>
    </row>
    <row r="282" spans="2:26" ht="15.75" customHeight="1">
      <c r="B282" s="287" t="s">
        <v>1151</v>
      </c>
      <c r="C282" s="290"/>
      <c r="D282" s="289">
        <v>45507</v>
      </c>
      <c r="E282" s="330">
        <f t="shared" si="22"/>
        <v>45535</v>
      </c>
      <c r="F282" s="331">
        <f t="shared" si="23"/>
        <v>7</v>
      </c>
      <c r="G282" s="289">
        <v>45293</v>
      </c>
      <c r="H282" s="330">
        <f t="shared" si="24"/>
        <v>45322</v>
      </c>
      <c r="I282" s="331">
        <f t="shared" si="25"/>
        <v>2024</v>
      </c>
      <c r="J282" s="290">
        <f t="shared" si="26"/>
        <v>214</v>
      </c>
      <c r="K282" s="294"/>
      <c r="L282" s="297" t="s">
        <v>898</v>
      </c>
      <c r="M282" s="297"/>
      <c r="N282" s="332" t="str">
        <f t="shared" si="27"/>
        <v>Chapel</v>
      </c>
      <c r="O282" s="3">
        <v>7500</v>
      </c>
      <c r="P282" s="344"/>
      <c r="Q282" s="3">
        <f t="shared" si="28"/>
        <v>7500</v>
      </c>
      <c r="T282" s="345">
        <v>2239</v>
      </c>
      <c r="Z282" s="3">
        <f t="shared" si="29"/>
        <v>7</v>
      </c>
    </row>
    <row r="283" spans="2:26" ht="15.75" customHeight="1">
      <c r="B283" s="287" t="s">
        <v>1152</v>
      </c>
      <c r="C283" s="290"/>
      <c r="D283" s="289">
        <v>45508</v>
      </c>
      <c r="E283" s="330">
        <f t="shared" si="22"/>
        <v>45535</v>
      </c>
      <c r="F283" s="331">
        <f t="shared" si="23"/>
        <v>7</v>
      </c>
      <c r="G283" s="289">
        <v>45327</v>
      </c>
      <c r="H283" s="330">
        <f t="shared" si="24"/>
        <v>45351</v>
      </c>
      <c r="I283" s="331">
        <f t="shared" si="25"/>
        <v>2024</v>
      </c>
      <c r="J283" s="290">
        <f t="shared" si="26"/>
        <v>181</v>
      </c>
      <c r="K283" s="294"/>
      <c r="L283" s="297" t="s">
        <v>898</v>
      </c>
      <c r="M283" s="297"/>
      <c r="N283" s="332" t="str">
        <f t="shared" si="27"/>
        <v>Chapel</v>
      </c>
      <c r="O283" s="3">
        <v>7500</v>
      </c>
      <c r="Q283" s="3">
        <f t="shared" si="28"/>
        <v>7500</v>
      </c>
      <c r="T283" s="42"/>
      <c r="Z283" s="3">
        <f t="shared" si="29"/>
        <v>1</v>
      </c>
    </row>
    <row r="284" spans="2:26" ht="15.75" customHeight="1">
      <c r="B284" s="287" t="s">
        <v>1153</v>
      </c>
      <c r="C284" s="290"/>
      <c r="D284" s="289">
        <v>45510</v>
      </c>
      <c r="E284" s="330">
        <f t="shared" si="22"/>
        <v>45535</v>
      </c>
      <c r="F284" s="331">
        <f t="shared" si="23"/>
        <v>7</v>
      </c>
      <c r="G284" s="289">
        <v>45383</v>
      </c>
      <c r="H284" s="330">
        <f t="shared" si="24"/>
        <v>45412</v>
      </c>
      <c r="I284" s="331">
        <f t="shared" si="25"/>
        <v>2024</v>
      </c>
      <c r="J284" s="290">
        <f t="shared" si="26"/>
        <v>127</v>
      </c>
      <c r="K284" s="294"/>
      <c r="L284" s="297"/>
      <c r="M284" s="297" t="s">
        <v>898</v>
      </c>
      <c r="N284" s="332" t="str">
        <f t="shared" si="27"/>
        <v>Elopement</v>
      </c>
      <c r="O284" s="3">
        <v>1500</v>
      </c>
      <c r="Q284" s="3">
        <f t="shared" si="28"/>
        <v>1500</v>
      </c>
      <c r="T284" s="42"/>
      <c r="Z284" s="3">
        <f t="shared" si="29"/>
        <v>3</v>
      </c>
    </row>
    <row r="285" spans="2:26" ht="15.75" customHeight="1">
      <c r="B285" s="287" t="s">
        <v>1154</v>
      </c>
      <c r="C285" s="290"/>
      <c r="D285" s="289">
        <v>45513</v>
      </c>
      <c r="E285" s="330">
        <f t="shared" si="22"/>
        <v>45535</v>
      </c>
      <c r="F285" s="331">
        <f t="shared" si="23"/>
        <v>7</v>
      </c>
      <c r="G285" s="289">
        <v>45324</v>
      </c>
      <c r="H285" s="330">
        <f t="shared" si="24"/>
        <v>45351</v>
      </c>
      <c r="I285" s="331">
        <f t="shared" si="25"/>
        <v>2024</v>
      </c>
      <c r="J285" s="290">
        <f t="shared" si="26"/>
        <v>189</v>
      </c>
      <c r="K285" s="294"/>
      <c r="L285" s="297" t="s">
        <v>898</v>
      </c>
      <c r="M285" s="297"/>
      <c r="N285" s="332" t="str">
        <f t="shared" si="27"/>
        <v>Chapel</v>
      </c>
      <c r="O285" s="3">
        <v>6500</v>
      </c>
      <c r="Q285" s="3">
        <f t="shared" si="28"/>
        <v>6500</v>
      </c>
      <c r="T285" s="42"/>
      <c r="Z285" s="3">
        <f t="shared" si="29"/>
        <v>6</v>
      </c>
    </row>
    <row r="286" spans="2:26" ht="15.75" customHeight="1">
      <c r="B286" s="287" t="s">
        <v>1155</v>
      </c>
      <c r="C286" s="290"/>
      <c r="D286" s="289">
        <v>45514</v>
      </c>
      <c r="E286" s="330">
        <f t="shared" si="22"/>
        <v>45535</v>
      </c>
      <c r="F286" s="331">
        <f t="shared" si="23"/>
        <v>7</v>
      </c>
      <c r="G286" s="289">
        <v>45252</v>
      </c>
      <c r="H286" s="330">
        <f t="shared" si="24"/>
        <v>45260</v>
      </c>
      <c r="I286" s="331">
        <f t="shared" si="25"/>
        <v>2023</v>
      </c>
      <c r="J286" s="290">
        <f t="shared" si="26"/>
        <v>262</v>
      </c>
      <c r="K286" s="294"/>
      <c r="L286" s="297" t="s">
        <v>898</v>
      </c>
      <c r="M286" s="297"/>
      <c r="N286" s="332" t="str">
        <f t="shared" si="27"/>
        <v>Chapel</v>
      </c>
      <c r="O286" s="3">
        <v>7500</v>
      </c>
      <c r="P286" s="344"/>
      <c r="Q286" s="3">
        <f t="shared" si="28"/>
        <v>7500</v>
      </c>
      <c r="T286" s="345">
        <v>4033</v>
      </c>
      <c r="Z286" s="3">
        <f t="shared" si="29"/>
        <v>7</v>
      </c>
    </row>
    <row r="287" spans="2:26" ht="15.75" customHeight="1">
      <c r="B287" s="287" t="s">
        <v>1156</v>
      </c>
      <c r="C287" s="290"/>
      <c r="D287" s="289">
        <v>45520</v>
      </c>
      <c r="E287" s="330">
        <f t="shared" si="22"/>
        <v>45535</v>
      </c>
      <c r="F287" s="331">
        <f t="shared" si="23"/>
        <v>7</v>
      </c>
      <c r="G287" s="289">
        <v>45070</v>
      </c>
      <c r="H287" s="330">
        <f t="shared" si="24"/>
        <v>45077</v>
      </c>
      <c r="I287" s="331">
        <f t="shared" si="25"/>
        <v>2023</v>
      </c>
      <c r="J287" s="290">
        <f t="shared" si="26"/>
        <v>450</v>
      </c>
      <c r="K287" s="294"/>
      <c r="L287" s="297" t="s">
        <v>898</v>
      </c>
      <c r="M287" s="297"/>
      <c r="N287" s="332" t="str">
        <f t="shared" si="27"/>
        <v>Chapel</v>
      </c>
      <c r="O287" s="3">
        <v>7000</v>
      </c>
      <c r="Q287" s="3">
        <f t="shared" si="28"/>
        <v>7000</v>
      </c>
      <c r="T287" s="42"/>
      <c r="Z287" s="3">
        <f t="shared" si="29"/>
        <v>6</v>
      </c>
    </row>
    <row r="288" spans="2:26" ht="15.75" customHeight="1">
      <c r="B288" s="287" t="s">
        <v>1157</v>
      </c>
      <c r="C288" s="290"/>
      <c r="D288" s="289">
        <v>45521</v>
      </c>
      <c r="E288" s="330">
        <f t="shared" si="22"/>
        <v>45535</v>
      </c>
      <c r="F288" s="331">
        <f t="shared" si="23"/>
        <v>7</v>
      </c>
      <c r="G288" s="289">
        <v>45062</v>
      </c>
      <c r="H288" s="330">
        <f t="shared" si="24"/>
        <v>45077</v>
      </c>
      <c r="I288" s="331">
        <f t="shared" si="25"/>
        <v>2023</v>
      </c>
      <c r="J288" s="290">
        <f t="shared" si="26"/>
        <v>459</v>
      </c>
      <c r="K288" s="294"/>
      <c r="L288" s="297" t="s">
        <v>898</v>
      </c>
      <c r="M288" s="297"/>
      <c r="N288" s="332" t="str">
        <f t="shared" si="27"/>
        <v>Chapel</v>
      </c>
      <c r="O288" s="3">
        <v>7500</v>
      </c>
      <c r="Q288" s="3">
        <f t="shared" si="28"/>
        <v>7500</v>
      </c>
      <c r="T288" s="42"/>
      <c r="Z288" s="3">
        <f t="shared" si="29"/>
        <v>7</v>
      </c>
    </row>
    <row r="289" spans="2:26" ht="15.75" customHeight="1">
      <c r="B289" s="287" t="s">
        <v>1158</v>
      </c>
      <c r="C289" s="290"/>
      <c r="D289" s="289">
        <v>45522</v>
      </c>
      <c r="E289" s="330">
        <f t="shared" si="22"/>
        <v>45535</v>
      </c>
      <c r="F289" s="331">
        <f t="shared" si="23"/>
        <v>7</v>
      </c>
      <c r="G289" s="289">
        <v>45233</v>
      </c>
      <c r="H289" s="330">
        <f t="shared" si="24"/>
        <v>45260</v>
      </c>
      <c r="I289" s="331">
        <f t="shared" si="25"/>
        <v>2023</v>
      </c>
      <c r="J289" s="290">
        <f t="shared" si="26"/>
        <v>289</v>
      </c>
      <c r="K289" s="294"/>
      <c r="L289" s="297" t="s">
        <v>898</v>
      </c>
      <c r="M289" s="297"/>
      <c r="N289" s="332" t="str">
        <f t="shared" si="27"/>
        <v>Chapel</v>
      </c>
      <c r="O289" s="3">
        <v>7500</v>
      </c>
      <c r="Q289" s="3">
        <f t="shared" si="28"/>
        <v>7500</v>
      </c>
      <c r="T289" s="42"/>
      <c r="Z289" s="3">
        <f t="shared" si="29"/>
        <v>1</v>
      </c>
    </row>
    <row r="290" spans="2:26" ht="15.75" customHeight="1">
      <c r="B290" s="287" t="s">
        <v>1159</v>
      </c>
      <c r="C290" s="290"/>
      <c r="D290" s="289">
        <v>45527</v>
      </c>
      <c r="E290" s="330">
        <f t="shared" si="22"/>
        <v>45535</v>
      </c>
      <c r="F290" s="331">
        <f t="shared" si="23"/>
        <v>7</v>
      </c>
      <c r="G290" s="289">
        <v>45295</v>
      </c>
      <c r="H290" s="330">
        <f t="shared" si="24"/>
        <v>45322</v>
      </c>
      <c r="I290" s="331">
        <f t="shared" si="25"/>
        <v>2024</v>
      </c>
      <c r="J290" s="290">
        <f t="shared" si="26"/>
        <v>232</v>
      </c>
      <c r="K290" s="294"/>
      <c r="L290" s="297" t="s">
        <v>898</v>
      </c>
      <c r="M290" s="297"/>
      <c r="N290" s="332" t="str">
        <f t="shared" si="27"/>
        <v>Chapel</v>
      </c>
      <c r="O290" s="3">
        <v>6500</v>
      </c>
      <c r="Q290" s="3">
        <f t="shared" si="28"/>
        <v>6500</v>
      </c>
      <c r="T290" s="42"/>
      <c r="Z290" s="3">
        <f t="shared" si="29"/>
        <v>6</v>
      </c>
    </row>
    <row r="291" spans="2:26" ht="15.75" customHeight="1">
      <c r="B291" s="287" t="s">
        <v>1160</v>
      </c>
      <c r="C291" s="290"/>
      <c r="D291" s="289">
        <v>45528</v>
      </c>
      <c r="E291" s="330">
        <f t="shared" si="22"/>
        <v>45535</v>
      </c>
      <c r="F291" s="331">
        <f t="shared" si="23"/>
        <v>7</v>
      </c>
      <c r="G291" s="289">
        <v>45237</v>
      </c>
      <c r="H291" s="330">
        <f t="shared" si="24"/>
        <v>45260</v>
      </c>
      <c r="I291" s="331">
        <f t="shared" si="25"/>
        <v>2023</v>
      </c>
      <c r="J291" s="290">
        <f t="shared" si="26"/>
        <v>291</v>
      </c>
      <c r="K291" s="294"/>
      <c r="L291" s="297" t="s">
        <v>898</v>
      </c>
      <c r="M291" s="297"/>
      <c r="N291" s="332" t="str">
        <f t="shared" si="27"/>
        <v>Chapel</v>
      </c>
      <c r="O291" s="3">
        <v>7500</v>
      </c>
      <c r="Q291" s="3">
        <f t="shared" si="28"/>
        <v>7500</v>
      </c>
      <c r="T291" s="42"/>
      <c r="Z291" s="3">
        <f t="shared" si="29"/>
        <v>7</v>
      </c>
    </row>
    <row r="292" spans="2:26" ht="15.75" customHeight="1">
      <c r="B292" s="287" t="s">
        <v>1161</v>
      </c>
      <c r="C292" s="290"/>
      <c r="D292" s="289">
        <v>45529</v>
      </c>
      <c r="E292" s="330">
        <f t="shared" si="22"/>
        <v>45535</v>
      </c>
      <c r="F292" s="331">
        <f t="shared" si="23"/>
        <v>7</v>
      </c>
      <c r="G292" s="289">
        <v>45303</v>
      </c>
      <c r="H292" s="330">
        <f t="shared" si="24"/>
        <v>45322</v>
      </c>
      <c r="I292" s="331">
        <f t="shared" si="25"/>
        <v>2024</v>
      </c>
      <c r="J292" s="290">
        <f t="shared" si="26"/>
        <v>226</v>
      </c>
      <c r="K292" s="294"/>
      <c r="L292" s="297" t="s">
        <v>898</v>
      </c>
      <c r="M292" s="297"/>
      <c r="N292" s="332" t="str">
        <f t="shared" si="27"/>
        <v>Chapel</v>
      </c>
      <c r="O292" s="3">
        <v>7500</v>
      </c>
      <c r="P292" s="344"/>
      <c r="Q292" s="3">
        <f t="shared" si="28"/>
        <v>7500</v>
      </c>
      <c r="T292" s="345">
        <v>4007</v>
      </c>
      <c r="Z292" s="3">
        <f t="shared" si="29"/>
        <v>1</v>
      </c>
    </row>
    <row r="293" spans="2:26" ht="15.75" customHeight="1">
      <c r="B293" s="287" t="s">
        <v>1162</v>
      </c>
      <c r="C293" s="290"/>
      <c r="D293" s="289">
        <v>45534</v>
      </c>
      <c r="E293" s="330">
        <f t="shared" si="22"/>
        <v>45535</v>
      </c>
      <c r="F293" s="331">
        <f t="shared" si="23"/>
        <v>7</v>
      </c>
      <c r="G293" s="289">
        <v>45257</v>
      </c>
      <c r="H293" s="330">
        <f t="shared" si="24"/>
        <v>45260</v>
      </c>
      <c r="I293" s="331">
        <f t="shared" si="25"/>
        <v>2023</v>
      </c>
      <c r="J293" s="290">
        <f t="shared" si="26"/>
        <v>277</v>
      </c>
      <c r="K293" s="294"/>
      <c r="L293" s="297" t="s">
        <v>898</v>
      </c>
      <c r="M293" s="297"/>
      <c r="N293" s="332" t="str">
        <f t="shared" si="27"/>
        <v>Chapel</v>
      </c>
      <c r="O293" s="3">
        <v>6250</v>
      </c>
      <c r="Q293" s="3">
        <f t="shared" si="28"/>
        <v>6250</v>
      </c>
      <c r="T293" s="42"/>
      <c r="Z293" s="3">
        <f t="shared" si="29"/>
        <v>6</v>
      </c>
    </row>
    <row r="294" spans="2:26" ht="15.75" customHeight="1">
      <c r="B294" s="287" t="s">
        <v>1163</v>
      </c>
      <c r="C294" s="290"/>
      <c r="D294" s="289">
        <v>45535</v>
      </c>
      <c r="E294" s="330">
        <f t="shared" si="22"/>
        <v>45535</v>
      </c>
      <c r="F294" s="331">
        <f t="shared" si="23"/>
        <v>7</v>
      </c>
      <c r="G294" s="289">
        <v>45199</v>
      </c>
      <c r="H294" s="330">
        <f t="shared" si="24"/>
        <v>45199</v>
      </c>
      <c r="I294" s="331">
        <f t="shared" si="25"/>
        <v>2023</v>
      </c>
      <c r="J294" s="290">
        <f t="shared" si="26"/>
        <v>336</v>
      </c>
      <c r="K294" s="294"/>
      <c r="L294" s="297" t="s">
        <v>898</v>
      </c>
      <c r="M294" s="297"/>
      <c r="N294" s="332" t="str">
        <f t="shared" si="27"/>
        <v>Chapel</v>
      </c>
      <c r="O294" s="3">
        <v>7500</v>
      </c>
      <c r="Q294" s="3">
        <f t="shared" si="28"/>
        <v>7500</v>
      </c>
      <c r="T294" s="42"/>
      <c r="Z294" s="3">
        <f t="shared" si="29"/>
        <v>7</v>
      </c>
    </row>
    <row r="295" spans="2:26" ht="15.75" customHeight="1">
      <c r="B295" s="287" t="s">
        <v>1164</v>
      </c>
      <c r="C295" s="290"/>
      <c r="D295" s="289">
        <v>45536</v>
      </c>
      <c r="E295" s="330">
        <f t="shared" si="22"/>
        <v>45565</v>
      </c>
      <c r="F295" s="331">
        <f t="shared" si="23"/>
        <v>2</v>
      </c>
      <c r="G295" s="289">
        <v>45237</v>
      </c>
      <c r="H295" s="330">
        <f t="shared" si="24"/>
        <v>45260</v>
      </c>
      <c r="I295" s="331">
        <f t="shared" si="25"/>
        <v>2023</v>
      </c>
      <c r="J295" s="290">
        <f t="shared" si="26"/>
        <v>299</v>
      </c>
      <c r="K295" s="294"/>
      <c r="L295" s="297" t="s">
        <v>898</v>
      </c>
      <c r="M295" s="297"/>
      <c r="N295" s="332" t="str">
        <f t="shared" si="27"/>
        <v>Chapel</v>
      </c>
      <c r="O295" s="3">
        <v>7500</v>
      </c>
      <c r="Q295" s="3">
        <f t="shared" si="28"/>
        <v>7500</v>
      </c>
      <c r="T295" s="42"/>
      <c r="Z295" s="3">
        <f t="shared" si="29"/>
        <v>1</v>
      </c>
    </row>
    <row r="296" spans="2:26" ht="15.75" customHeight="1">
      <c r="B296" s="287" t="s">
        <v>1165</v>
      </c>
      <c r="C296" s="290"/>
      <c r="D296" s="289">
        <v>45541</v>
      </c>
      <c r="E296" s="330">
        <f t="shared" si="22"/>
        <v>45565</v>
      </c>
      <c r="F296" s="331">
        <f t="shared" si="23"/>
        <v>2</v>
      </c>
      <c r="G296" s="289">
        <v>45225</v>
      </c>
      <c r="H296" s="330">
        <f t="shared" si="24"/>
        <v>45230</v>
      </c>
      <c r="I296" s="331">
        <f t="shared" si="25"/>
        <v>2023</v>
      </c>
      <c r="J296" s="290">
        <f t="shared" si="26"/>
        <v>316</v>
      </c>
      <c r="K296" s="294"/>
      <c r="L296" s="297" t="s">
        <v>898</v>
      </c>
      <c r="M296" s="297"/>
      <c r="N296" s="332" t="str">
        <f t="shared" si="27"/>
        <v>Chapel</v>
      </c>
      <c r="O296" s="3">
        <v>7500</v>
      </c>
      <c r="Q296" s="3">
        <f t="shared" si="28"/>
        <v>7500</v>
      </c>
      <c r="T296" s="42"/>
      <c r="Z296" s="3">
        <f t="shared" si="29"/>
        <v>6</v>
      </c>
    </row>
    <row r="297" spans="2:26" ht="15.75" customHeight="1">
      <c r="B297" s="287" t="s">
        <v>1166</v>
      </c>
      <c r="C297" s="290"/>
      <c r="D297" s="289">
        <v>45542</v>
      </c>
      <c r="E297" s="330">
        <f t="shared" si="22"/>
        <v>45565</v>
      </c>
      <c r="F297" s="331">
        <f t="shared" si="23"/>
        <v>2</v>
      </c>
      <c r="G297" s="289">
        <v>45096</v>
      </c>
      <c r="H297" s="330">
        <f t="shared" si="24"/>
        <v>45107</v>
      </c>
      <c r="I297" s="331">
        <f t="shared" si="25"/>
        <v>2023</v>
      </c>
      <c r="J297" s="290">
        <f t="shared" si="26"/>
        <v>446</v>
      </c>
      <c r="K297" s="294"/>
      <c r="L297" s="297" t="s">
        <v>898</v>
      </c>
      <c r="M297" s="297"/>
      <c r="N297" s="332" t="str">
        <f t="shared" si="27"/>
        <v>Chapel</v>
      </c>
      <c r="O297" s="3">
        <v>7500</v>
      </c>
      <c r="Q297" s="3">
        <f t="shared" si="28"/>
        <v>7500</v>
      </c>
      <c r="T297" s="42"/>
      <c r="Z297" s="3">
        <f t="shared" si="29"/>
        <v>7</v>
      </c>
    </row>
    <row r="298" spans="2:26" ht="15.75" customHeight="1">
      <c r="B298" s="287" t="s">
        <v>1167</v>
      </c>
      <c r="C298" s="290"/>
      <c r="D298" s="289">
        <v>45543</v>
      </c>
      <c r="E298" s="330">
        <f t="shared" si="22"/>
        <v>45565</v>
      </c>
      <c r="F298" s="331">
        <f t="shared" si="23"/>
        <v>2</v>
      </c>
      <c r="G298" s="289">
        <v>45257</v>
      </c>
      <c r="H298" s="330">
        <f t="shared" si="24"/>
        <v>45260</v>
      </c>
      <c r="I298" s="331">
        <f t="shared" si="25"/>
        <v>2023</v>
      </c>
      <c r="J298" s="290">
        <f t="shared" si="26"/>
        <v>286</v>
      </c>
      <c r="K298" s="294"/>
      <c r="L298" s="297" t="s">
        <v>898</v>
      </c>
      <c r="M298" s="297"/>
      <c r="N298" s="332" t="str">
        <f t="shared" si="27"/>
        <v>Chapel</v>
      </c>
      <c r="O298" s="3">
        <v>7500</v>
      </c>
      <c r="Q298" s="3">
        <f t="shared" si="28"/>
        <v>7500</v>
      </c>
      <c r="T298" s="42"/>
      <c r="Z298" s="3">
        <f t="shared" si="29"/>
        <v>1</v>
      </c>
    </row>
    <row r="299" spans="2:26" ht="15.75" customHeight="1">
      <c r="B299" s="287" t="s">
        <v>1168</v>
      </c>
      <c r="C299" s="290"/>
      <c r="D299" s="289">
        <v>45545</v>
      </c>
      <c r="E299" s="330">
        <f t="shared" si="22"/>
        <v>45565</v>
      </c>
      <c r="F299" s="331">
        <f t="shared" si="23"/>
        <v>2</v>
      </c>
      <c r="G299" s="289">
        <v>45397</v>
      </c>
      <c r="H299" s="330">
        <f t="shared" si="24"/>
        <v>45412</v>
      </c>
      <c r="I299" s="331">
        <f t="shared" si="25"/>
        <v>2024</v>
      </c>
      <c r="J299" s="290">
        <f t="shared" si="26"/>
        <v>148</v>
      </c>
      <c r="K299" s="294"/>
      <c r="L299" s="297"/>
      <c r="M299" s="297" t="s">
        <v>898</v>
      </c>
      <c r="N299" s="332" t="str">
        <f t="shared" si="27"/>
        <v>Elopement</v>
      </c>
      <c r="O299" s="3">
        <v>1500</v>
      </c>
      <c r="Q299" s="3">
        <f t="shared" si="28"/>
        <v>1500</v>
      </c>
      <c r="T299" s="42"/>
      <c r="Z299" s="3">
        <f t="shared" si="29"/>
        <v>3</v>
      </c>
    </row>
    <row r="300" spans="2:26" ht="15.75" customHeight="1">
      <c r="B300" s="287" t="s">
        <v>1169</v>
      </c>
      <c r="C300" s="290"/>
      <c r="D300" s="289">
        <v>45548</v>
      </c>
      <c r="E300" s="330">
        <f t="shared" si="22"/>
        <v>45565</v>
      </c>
      <c r="F300" s="331">
        <f t="shared" si="23"/>
        <v>2</v>
      </c>
      <c r="G300" s="289">
        <v>45327</v>
      </c>
      <c r="H300" s="330">
        <f t="shared" si="24"/>
        <v>45351</v>
      </c>
      <c r="I300" s="331">
        <f t="shared" si="25"/>
        <v>2024</v>
      </c>
      <c r="J300" s="290">
        <f t="shared" si="26"/>
        <v>221</v>
      </c>
      <c r="K300" s="294"/>
      <c r="L300" s="297" t="s">
        <v>898</v>
      </c>
      <c r="M300" s="297"/>
      <c r="N300" s="332" t="str">
        <f t="shared" si="27"/>
        <v>Chapel</v>
      </c>
      <c r="O300" s="3">
        <v>6500</v>
      </c>
      <c r="Q300" s="3">
        <f t="shared" si="28"/>
        <v>6500</v>
      </c>
      <c r="T300" s="42"/>
      <c r="Z300" s="3">
        <f t="shared" si="29"/>
        <v>6</v>
      </c>
    </row>
    <row r="301" spans="2:26" ht="15.75" customHeight="1">
      <c r="B301" s="287" t="s">
        <v>1170</v>
      </c>
      <c r="C301" s="290"/>
      <c r="D301" s="289">
        <v>45549</v>
      </c>
      <c r="E301" s="330">
        <f t="shared" si="22"/>
        <v>45565</v>
      </c>
      <c r="F301" s="331">
        <f t="shared" si="23"/>
        <v>2</v>
      </c>
      <c r="G301" s="289">
        <v>44987</v>
      </c>
      <c r="H301" s="330">
        <f t="shared" si="24"/>
        <v>45016</v>
      </c>
      <c r="I301" s="331">
        <f t="shared" si="25"/>
        <v>2023</v>
      </c>
      <c r="J301" s="290">
        <f t="shared" si="26"/>
        <v>562</v>
      </c>
      <c r="K301" s="294"/>
      <c r="L301" s="297" t="s">
        <v>898</v>
      </c>
      <c r="M301" s="297"/>
      <c r="N301" s="332" t="str">
        <f t="shared" si="27"/>
        <v>Chapel</v>
      </c>
      <c r="O301" s="3">
        <v>7000</v>
      </c>
      <c r="Q301" s="3">
        <f t="shared" si="28"/>
        <v>7000</v>
      </c>
      <c r="T301" s="42"/>
      <c r="Z301" s="3">
        <f t="shared" si="29"/>
        <v>7</v>
      </c>
    </row>
    <row r="302" spans="2:26" ht="15.75" customHeight="1">
      <c r="B302" s="287" t="s">
        <v>1171</v>
      </c>
      <c r="C302" s="290"/>
      <c r="D302" s="289">
        <v>45550</v>
      </c>
      <c r="E302" s="330">
        <f t="shared" si="22"/>
        <v>45565</v>
      </c>
      <c r="F302" s="331">
        <f t="shared" si="23"/>
        <v>2</v>
      </c>
      <c r="G302" s="289">
        <v>45259</v>
      </c>
      <c r="H302" s="330">
        <f t="shared" si="24"/>
        <v>45260</v>
      </c>
      <c r="I302" s="331">
        <f t="shared" si="25"/>
        <v>2023</v>
      </c>
      <c r="J302" s="290">
        <f t="shared" si="26"/>
        <v>291</v>
      </c>
      <c r="K302" s="294"/>
      <c r="L302" s="297" t="s">
        <v>898</v>
      </c>
      <c r="M302" s="297"/>
      <c r="N302" s="332" t="str">
        <f t="shared" si="27"/>
        <v>Chapel</v>
      </c>
      <c r="O302" s="3">
        <v>7500</v>
      </c>
      <c r="Q302" s="3">
        <f t="shared" si="28"/>
        <v>7500</v>
      </c>
      <c r="T302" s="42"/>
      <c r="Z302" s="3">
        <f t="shared" si="29"/>
        <v>1</v>
      </c>
    </row>
    <row r="303" spans="2:26" ht="15.75" customHeight="1">
      <c r="B303" s="287" t="s">
        <v>1172</v>
      </c>
      <c r="C303" s="290"/>
      <c r="D303" s="289">
        <v>45552</v>
      </c>
      <c r="E303" s="330">
        <f t="shared" si="22"/>
        <v>45565</v>
      </c>
      <c r="F303" s="331">
        <f t="shared" si="23"/>
        <v>2</v>
      </c>
      <c r="G303" s="289">
        <v>45506</v>
      </c>
      <c r="H303" s="330">
        <f t="shared" si="24"/>
        <v>45535</v>
      </c>
      <c r="I303" s="331">
        <f t="shared" si="25"/>
        <v>2024</v>
      </c>
      <c r="J303" s="290">
        <f t="shared" si="26"/>
        <v>46</v>
      </c>
      <c r="K303" s="294"/>
      <c r="L303" s="297"/>
      <c r="M303" s="297" t="s">
        <v>898</v>
      </c>
      <c r="N303" s="332" t="str">
        <f t="shared" si="27"/>
        <v>Elopement</v>
      </c>
      <c r="O303" s="3">
        <v>1500</v>
      </c>
      <c r="P303" s="344"/>
      <c r="Q303" s="3">
        <f t="shared" si="28"/>
        <v>1500</v>
      </c>
      <c r="T303" s="345">
        <v>550</v>
      </c>
      <c r="Z303" s="3">
        <f t="shared" si="29"/>
        <v>3</v>
      </c>
    </row>
    <row r="304" spans="2:26" ht="15.75" customHeight="1">
      <c r="B304" s="287" t="s">
        <v>1173</v>
      </c>
      <c r="C304" s="290"/>
      <c r="D304" s="289">
        <v>45556</v>
      </c>
      <c r="E304" s="330">
        <f t="shared" si="22"/>
        <v>45565</v>
      </c>
      <c r="F304" s="331">
        <f t="shared" si="23"/>
        <v>2</v>
      </c>
      <c r="G304" s="289">
        <v>45035</v>
      </c>
      <c r="H304" s="330">
        <f t="shared" si="24"/>
        <v>45046</v>
      </c>
      <c r="I304" s="331">
        <f t="shared" si="25"/>
        <v>2023</v>
      </c>
      <c r="J304" s="290">
        <f t="shared" si="26"/>
        <v>521</v>
      </c>
      <c r="K304" s="294"/>
      <c r="L304" s="297" t="s">
        <v>898</v>
      </c>
      <c r="M304" s="297"/>
      <c r="N304" s="332" t="str">
        <f t="shared" si="27"/>
        <v>Chapel</v>
      </c>
      <c r="O304" s="3">
        <v>7000</v>
      </c>
      <c r="Q304" s="3">
        <f t="shared" si="28"/>
        <v>7000</v>
      </c>
      <c r="T304" s="42"/>
      <c r="Z304" s="3">
        <f t="shared" si="29"/>
        <v>7</v>
      </c>
    </row>
    <row r="305" spans="2:26" ht="15.75" customHeight="1">
      <c r="B305" s="287" t="s">
        <v>1174</v>
      </c>
      <c r="C305" s="290"/>
      <c r="D305" s="289">
        <v>45557</v>
      </c>
      <c r="E305" s="330">
        <f t="shared" si="22"/>
        <v>45565</v>
      </c>
      <c r="F305" s="331">
        <f t="shared" si="23"/>
        <v>2</v>
      </c>
      <c r="G305" s="289">
        <v>45243</v>
      </c>
      <c r="H305" s="330">
        <f t="shared" si="24"/>
        <v>45260</v>
      </c>
      <c r="I305" s="331">
        <f t="shared" si="25"/>
        <v>2023</v>
      </c>
      <c r="J305" s="290">
        <f t="shared" si="26"/>
        <v>314</v>
      </c>
      <c r="K305" s="294"/>
      <c r="L305" s="297" t="s">
        <v>898</v>
      </c>
      <c r="M305" s="297"/>
      <c r="N305" s="332" t="str">
        <f t="shared" si="27"/>
        <v>Chapel</v>
      </c>
      <c r="O305" s="3">
        <v>7500</v>
      </c>
      <c r="Q305" s="3">
        <f t="shared" si="28"/>
        <v>7500</v>
      </c>
      <c r="T305" s="42"/>
      <c r="Z305" s="3">
        <f t="shared" si="29"/>
        <v>1</v>
      </c>
    </row>
    <row r="306" spans="2:26" ht="15.75" customHeight="1">
      <c r="B306" s="287" t="s">
        <v>1175</v>
      </c>
      <c r="C306" s="290"/>
      <c r="D306" s="289">
        <v>45559</v>
      </c>
      <c r="E306" s="330">
        <f t="shared" si="22"/>
        <v>45565</v>
      </c>
      <c r="F306" s="331">
        <f t="shared" si="23"/>
        <v>2</v>
      </c>
      <c r="G306" s="289">
        <v>45423</v>
      </c>
      <c r="H306" s="330">
        <f t="shared" si="24"/>
        <v>45443</v>
      </c>
      <c r="I306" s="331">
        <f t="shared" si="25"/>
        <v>2024</v>
      </c>
      <c r="J306" s="290">
        <f t="shared" si="26"/>
        <v>136</v>
      </c>
      <c r="K306" s="294"/>
      <c r="L306" s="297"/>
      <c r="M306" s="297" t="s">
        <v>898</v>
      </c>
      <c r="N306" s="332" t="str">
        <f t="shared" si="27"/>
        <v>Elopement</v>
      </c>
      <c r="O306" s="3">
        <v>1500</v>
      </c>
      <c r="Q306" s="3">
        <f t="shared" si="28"/>
        <v>1500</v>
      </c>
      <c r="T306" s="42"/>
      <c r="Z306" s="3">
        <f t="shared" si="29"/>
        <v>3</v>
      </c>
    </row>
    <row r="307" spans="2:26" ht="15.75" customHeight="1">
      <c r="B307" s="287" t="s">
        <v>1176</v>
      </c>
      <c r="C307" s="290"/>
      <c r="D307" s="289">
        <v>45559</v>
      </c>
      <c r="E307" s="330">
        <f t="shared" si="22"/>
        <v>45565</v>
      </c>
      <c r="F307" s="331">
        <f t="shared" si="23"/>
        <v>2</v>
      </c>
      <c r="G307" s="289">
        <v>45520</v>
      </c>
      <c r="H307" s="330">
        <f t="shared" si="24"/>
        <v>45535</v>
      </c>
      <c r="I307" s="331">
        <f t="shared" si="25"/>
        <v>2024</v>
      </c>
      <c r="J307" s="290">
        <f t="shared" si="26"/>
        <v>39</v>
      </c>
      <c r="K307" s="294"/>
      <c r="L307" s="297"/>
      <c r="M307" s="297" t="s">
        <v>898</v>
      </c>
      <c r="N307" s="332" t="str">
        <f t="shared" si="27"/>
        <v>Elopement</v>
      </c>
      <c r="O307" s="3">
        <v>1500</v>
      </c>
      <c r="Q307" s="3">
        <f t="shared" si="28"/>
        <v>1500</v>
      </c>
      <c r="T307" s="42"/>
      <c r="Z307" s="3">
        <f t="shared" si="29"/>
        <v>3</v>
      </c>
    </row>
    <row r="308" spans="2:26" ht="15.75" customHeight="1">
      <c r="B308" s="287" t="s">
        <v>1177</v>
      </c>
      <c r="C308" s="290"/>
      <c r="D308" s="289">
        <v>45562</v>
      </c>
      <c r="E308" s="330">
        <f t="shared" si="22"/>
        <v>45565</v>
      </c>
      <c r="F308" s="331">
        <f t="shared" si="23"/>
        <v>2</v>
      </c>
      <c r="G308" s="289">
        <v>45161</v>
      </c>
      <c r="H308" s="330">
        <f t="shared" si="24"/>
        <v>45169</v>
      </c>
      <c r="I308" s="331">
        <f t="shared" si="25"/>
        <v>2023</v>
      </c>
      <c r="J308" s="290">
        <f t="shared" si="26"/>
        <v>401</v>
      </c>
      <c r="K308" s="294"/>
      <c r="L308" s="297" t="s">
        <v>898</v>
      </c>
      <c r="M308" s="297"/>
      <c r="N308" s="332" t="str">
        <f t="shared" si="27"/>
        <v>Chapel</v>
      </c>
      <c r="O308" s="3">
        <v>7500</v>
      </c>
      <c r="Q308" s="3">
        <f t="shared" si="28"/>
        <v>7500</v>
      </c>
      <c r="T308" s="42"/>
      <c r="Z308" s="3">
        <f t="shared" si="29"/>
        <v>6</v>
      </c>
    </row>
    <row r="309" spans="2:26" ht="15.75" customHeight="1">
      <c r="B309" s="287" t="s">
        <v>1178</v>
      </c>
      <c r="C309" s="290"/>
      <c r="D309" s="289">
        <v>45563</v>
      </c>
      <c r="E309" s="330">
        <f t="shared" si="22"/>
        <v>45565</v>
      </c>
      <c r="F309" s="331">
        <f t="shared" si="23"/>
        <v>2</v>
      </c>
      <c r="G309" s="289">
        <v>45030</v>
      </c>
      <c r="H309" s="330">
        <f t="shared" si="24"/>
        <v>45046</v>
      </c>
      <c r="I309" s="331">
        <f t="shared" si="25"/>
        <v>2023</v>
      </c>
      <c r="J309" s="290">
        <f t="shared" si="26"/>
        <v>533</v>
      </c>
      <c r="K309" s="294"/>
      <c r="L309" s="297" t="s">
        <v>898</v>
      </c>
      <c r="M309" s="297"/>
      <c r="N309" s="332" t="str">
        <f t="shared" si="27"/>
        <v>Chapel</v>
      </c>
      <c r="O309" s="3">
        <v>7500</v>
      </c>
      <c r="Q309" s="3">
        <f t="shared" si="28"/>
        <v>7500</v>
      </c>
      <c r="T309" s="42"/>
      <c r="Z309" s="3">
        <f t="shared" si="29"/>
        <v>7</v>
      </c>
    </row>
    <row r="310" spans="2:26" ht="15.75" customHeight="1">
      <c r="B310" s="287" t="s">
        <v>1179</v>
      </c>
      <c r="C310" s="290"/>
      <c r="D310" s="289">
        <v>45564</v>
      </c>
      <c r="E310" s="330">
        <f t="shared" si="22"/>
        <v>45565</v>
      </c>
      <c r="F310" s="331">
        <f t="shared" si="23"/>
        <v>2</v>
      </c>
      <c r="G310" s="289">
        <v>45238</v>
      </c>
      <c r="H310" s="330">
        <f t="shared" si="24"/>
        <v>45260</v>
      </c>
      <c r="I310" s="331">
        <f t="shared" si="25"/>
        <v>2023</v>
      </c>
      <c r="J310" s="290">
        <f t="shared" si="26"/>
        <v>326</v>
      </c>
      <c r="K310" s="294"/>
      <c r="L310" s="297" t="s">
        <v>898</v>
      </c>
      <c r="M310" s="297"/>
      <c r="N310" s="332" t="str">
        <f t="shared" si="27"/>
        <v>Chapel</v>
      </c>
      <c r="O310" s="3">
        <v>7500</v>
      </c>
      <c r="Q310" s="3">
        <f t="shared" si="28"/>
        <v>7500</v>
      </c>
      <c r="T310" s="42"/>
      <c r="Z310" s="3">
        <f t="shared" si="29"/>
        <v>1</v>
      </c>
    </row>
    <row r="311" spans="2:26" ht="15.75" customHeight="1">
      <c r="B311" s="287" t="s">
        <v>1180</v>
      </c>
      <c r="C311" s="290"/>
      <c r="D311" s="289">
        <v>45566</v>
      </c>
      <c r="E311" s="330">
        <f t="shared" si="22"/>
        <v>45596</v>
      </c>
      <c r="F311" s="331">
        <f t="shared" si="23"/>
        <v>5</v>
      </c>
      <c r="G311" s="289">
        <v>45357</v>
      </c>
      <c r="H311" s="330">
        <f t="shared" si="24"/>
        <v>45382</v>
      </c>
      <c r="I311" s="331">
        <f t="shared" si="25"/>
        <v>2024</v>
      </c>
      <c r="J311" s="290">
        <f t="shared" si="26"/>
        <v>209</v>
      </c>
      <c r="K311" s="294"/>
      <c r="L311" s="297"/>
      <c r="M311" s="297" t="s">
        <v>898</v>
      </c>
      <c r="N311" s="332" t="str">
        <f t="shared" si="27"/>
        <v>Elopement</v>
      </c>
      <c r="O311" s="3">
        <v>1500</v>
      </c>
      <c r="Q311" s="3">
        <f t="shared" si="28"/>
        <v>1500</v>
      </c>
      <c r="T311" s="42"/>
      <c r="Z311" s="3">
        <f t="shared" si="29"/>
        <v>3</v>
      </c>
    </row>
    <row r="312" spans="2:26" ht="15.75" customHeight="1">
      <c r="B312" s="287" t="s">
        <v>1181</v>
      </c>
      <c r="C312" s="290"/>
      <c r="D312" s="289">
        <v>45569</v>
      </c>
      <c r="E312" s="330">
        <f t="shared" si="22"/>
        <v>45596</v>
      </c>
      <c r="F312" s="331">
        <f t="shared" si="23"/>
        <v>5</v>
      </c>
      <c r="G312" s="289">
        <v>45132</v>
      </c>
      <c r="H312" s="330">
        <f t="shared" si="24"/>
        <v>45138</v>
      </c>
      <c r="I312" s="331">
        <f t="shared" si="25"/>
        <v>2023</v>
      </c>
      <c r="J312" s="290">
        <f t="shared" si="26"/>
        <v>437</v>
      </c>
      <c r="K312" s="294"/>
      <c r="L312" s="297" t="s">
        <v>898</v>
      </c>
      <c r="M312" s="297"/>
      <c r="N312" s="332" t="str">
        <f t="shared" si="27"/>
        <v>Chapel</v>
      </c>
      <c r="O312" s="3">
        <v>7500</v>
      </c>
      <c r="Q312" s="3">
        <f t="shared" si="28"/>
        <v>7500</v>
      </c>
      <c r="T312" s="42"/>
      <c r="Z312" s="3">
        <f t="shared" si="29"/>
        <v>6</v>
      </c>
    </row>
    <row r="313" spans="2:26" ht="15.75" customHeight="1">
      <c r="B313" s="287" t="s">
        <v>1182</v>
      </c>
      <c r="C313" s="290"/>
      <c r="D313" s="289">
        <v>45570</v>
      </c>
      <c r="E313" s="330">
        <f t="shared" si="22"/>
        <v>45596</v>
      </c>
      <c r="F313" s="331">
        <f t="shared" si="23"/>
        <v>5</v>
      </c>
      <c r="G313" s="289">
        <v>44985</v>
      </c>
      <c r="H313" s="330">
        <f t="shared" si="24"/>
        <v>44985</v>
      </c>
      <c r="I313" s="331">
        <f t="shared" si="25"/>
        <v>2023</v>
      </c>
      <c r="J313" s="290">
        <f t="shared" si="26"/>
        <v>585</v>
      </c>
      <c r="K313" s="294"/>
      <c r="L313" s="297" t="s">
        <v>898</v>
      </c>
      <c r="M313" s="297"/>
      <c r="N313" s="332" t="str">
        <f t="shared" si="27"/>
        <v>Chapel</v>
      </c>
      <c r="O313" s="3">
        <v>7000</v>
      </c>
      <c r="Q313" s="3">
        <f t="shared" si="28"/>
        <v>7000</v>
      </c>
      <c r="T313" s="42"/>
      <c r="Z313" s="3">
        <f t="shared" si="29"/>
        <v>7</v>
      </c>
    </row>
    <row r="314" spans="2:26" ht="15.75" customHeight="1">
      <c r="B314" s="287" t="s">
        <v>1183</v>
      </c>
      <c r="C314" s="290"/>
      <c r="D314" s="289">
        <v>45571</v>
      </c>
      <c r="E314" s="330">
        <f t="shared" si="22"/>
        <v>45596</v>
      </c>
      <c r="F314" s="331">
        <f t="shared" si="23"/>
        <v>5</v>
      </c>
      <c r="G314" s="289">
        <v>45222</v>
      </c>
      <c r="H314" s="330">
        <f t="shared" si="24"/>
        <v>45230</v>
      </c>
      <c r="I314" s="331">
        <f t="shared" si="25"/>
        <v>2023</v>
      </c>
      <c r="J314" s="290">
        <f t="shared" si="26"/>
        <v>349</v>
      </c>
      <c r="K314" s="294"/>
      <c r="L314" s="297" t="s">
        <v>898</v>
      </c>
      <c r="M314" s="297"/>
      <c r="N314" s="332" t="str">
        <f t="shared" si="27"/>
        <v>Chapel</v>
      </c>
      <c r="O314" s="3">
        <v>7500</v>
      </c>
      <c r="Q314" s="3">
        <f t="shared" si="28"/>
        <v>7500</v>
      </c>
      <c r="T314" s="42"/>
      <c r="Z314" s="3">
        <f t="shared" si="29"/>
        <v>1</v>
      </c>
    </row>
    <row r="315" spans="2:26" ht="15.75" customHeight="1">
      <c r="B315" s="287" t="s">
        <v>1184</v>
      </c>
      <c r="C315" s="290"/>
      <c r="D315" s="289">
        <v>45573</v>
      </c>
      <c r="E315" s="330">
        <f t="shared" si="22"/>
        <v>45596</v>
      </c>
      <c r="F315" s="331">
        <f t="shared" si="23"/>
        <v>5</v>
      </c>
      <c r="G315" s="289">
        <v>45496</v>
      </c>
      <c r="H315" s="330">
        <f t="shared" si="24"/>
        <v>45504</v>
      </c>
      <c r="I315" s="331">
        <f t="shared" si="25"/>
        <v>2024</v>
      </c>
      <c r="J315" s="290">
        <f t="shared" si="26"/>
        <v>77</v>
      </c>
      <c r="K315" s="294"/>
      <c r="L315" s="297"/>
      <c r="M315" s="297" t="s">
        <v>898</v>
      </c>
      <c r="N315" s="332" t="str">
        <f t="shared" si="27"/>
        <v>Elopement</v>
      </c>
      <c r="O315" s="3">
        <v>1500</v>
      </c>
      <c r="Q315" s="3">
        <f t="shared" si="28"/>
        <v>1500</v>
      </c>
      <c r="T315" s="42"/>
      <c r="Z315" s="3">
        <f t="shared" si="29"/>
        <v>3</v>
      </c>
    </row>
    <row r="316" spans="2:26" ht="15.75" customHeight="1">
      <c r="B316" s="287" t="s">
        <v>1185</v>
      </c>
      <c r="C316" s="290"/>
      <c r="D316" s="289">
        <v>45576</v>
      </c>
      <c r="E316" s="330">
        <f t="shared" si="22"/>
        <v>45596</v>
      </c>
      <c r="F316" s="331">
        <f t="shared" si="23"/>
        <v>5</v>
      </c>
      <c r="G316" s="289">
        <v>45188</v>
      </c>
      <c r="H316" s="330">
        <f t="shared" si="24"/>
        <v>45199</v>
      </c>
      <c r="I316" s="331">
        <f t="shared" si="25"/>
        <v>2023</v>
      </c>
      <c r="J316" s="290">
        <f t="shared" si="26"/>
        <v>388</v>
      </c>
      <c r="K316" s="294"/>
      <c r="L316" s="297" t="s">
        <v>898</v>
      </c>
      <c r="M316" s="297"/>
      <c r="N316" s="332" t="str">
        <f t="shared" si="27"/>
        <v>Chapel</v>
      </c>
      <c r="O316" s="3">
        <v>7500</v>
      </c>
      <c r="Q316" s="3">
        <f t="shared" si="28"/>
        <v>7500</v>
      </c>
      <c r="T316" s="42"/>
      <c r="Z316" s="3">
        <f t="shared" si="29"/>
        <v>6</v>
      </c>
    </row>
    <row r="317" spans="2:26" ht="15.75" customHeight="1">
      <c r="B317" s="287" t="s">
        <v>1186</v>
      </c>
      <c r="C317" s="290"/>
      <c r="D317" s="289">
        <v>45578</v>
      </c>
      <c r="E317" s="330">
        <f t="shared" si="22"/>
        <v>45596</v>
      </c>
      <c r="F317" s="331">
        <f t="shared" si="23"/>
        <v>5</v>
      </c>
      <c r="G317" s="289">
        <v>45236</v>
      </c>
      <c r="H317" s="330">
        <f t="shared" si="24"/>
        <v>45260</v>
      </c>
      <c r="I317" s="331">
        <f t="shared" si="25"/>
        <v>2023</v>
      </c>
      <c r="J317" s="290">
        <f t="shared" si="26"/>
        <v>342</v>
      </c>
      <c r="K317" s="294"/>
      <c r="L317" s="297" t="s">
        <v>898</v>
      </c>
      <c r="M317" s="297"/>
      <c r="N317" s="332" t="str">
        <f t="shared" si="27"/>
        <v>Chapel</v>
      </c>
      <c r="O317" s="3">
        <v>7500</v>
      </c>
      <c r="Q317" s="3">
        <f t="shared" si="28"/>
        <v>7500</v>
      </c>
      <c r="T317" s="42"/>
      <c r="Z317" s="3">
        <f t="shared" si="29"/>
        <v>1</v>
      </c>
    </row>
    <row r="318" spans="2:26" ht="15.75" customHeight="1">
      <c r="B318" s="287" t="s">
        <v>1187</v>
      </c>
      <c r="C318" s="290"/>
      <c r="D318" s="289">
        <v>45580</v>
      </c>
      <c r="E318" s="330">
        <f t="shared" si="22"/>
        <v>45596</v>
      </c>
      <c r="F318" s="331">
        <f t="shared" si="23"/>
        <v>5</v>
      </c>
      <c r="G318" s="289">
        <v>45436</v>
      </c>
      <c r="H318" s="330">
        <f t="shared" si="24"/>
        <v>45443</v>
      </c>
      <c r="I318" s="331">
        <f t="shared" si="25"/>
        <v>2024</v>
      </c>
      <c r="J318" s="290">
        <f t="shared" si="26"/>
        <v>144</v>
      </c>
      <c r="K318" s="294"/>
      <c r="L318" s="297"/>
      <c r="M318" s="297" t="s">
        <v>898</v>
      </c>
      <c r="N318" s="332" t="str">
        <f t="shared" si="27"/>
        <v>Elopement</v>
      </c>
      <c r="O318" s="3">
        <v>1500</v>
      </c>
      <c r="Q318" s="3">
        <f t="shared" si="28"/>
        <v>1500</v>
      </c>
      <c r="T318" s="42"/>
      <c r="Z318" s="3">
        <f t="shared" si="29"/>
        <v>3</v>
      </c>
    </row>
    <row r="319" spans="2:26" ht="15.75" customHeight="1">
      <c r="B319" s="287" t="s">
        <v>1188</v>
      </c>
      <c r="C319" s="290"/>
      <c r="D319" s="289">
        <v>45580</v>
      </c>
      <c r="E319" s="330">
        <f t="shared" si="22"/>
        <v>45596</v>
      </c>
      <c r="F319" s="331">
        <f t="shared" si="23"/>
        <v>5</v>
      </c>
      <c r="G319" s="289">
        <v>45568</v>
      </c>
      <c r="H319" s="330">
        <f t="shared" si="24"/>
        <v>45596</v>
      </c>
      <c r="I319" s="331">
        <f t="shared" si="25"/>
        <v>2024</v>
      </c>
      <c r="J319" s="290">
        <f t="shared" si="26"/>
        <v>12</v>
      </c>
      <c r="K319" s="294"/>
      <c r="L319" s="297"/>
      <c r="M319" s="297" t="s">
        <v>898</v>
      </c>
      <c r="N319" s="332" t="str">
        <f t="shared" si="27"/>
        <v>Elopement</v>
      </c>
      <c r="O319" s="3">
        <v>1500</v>
      </c>
      <c r="Q319" s="3">
        <f t="shared" si="28"/>
        <v>1500</v>
      </c>
      <c r="T319" s="42"/>
      <c r="Z319" s="3">
        <f t="shared" si="29"/>
        <v>3</v>
      </c>
    </row>
    <row r="320" spans="2:26" ht="15.75" customHeight="1">
      <c r="B320" s="287" t="s">
        <v>1189</v>
      </c>
      <c r="C320" s="290"/>
      <c r="D320" s="289">
        <v>45583</v>
      </c>
      <c r="E320" s="330">
        <f t="shared" si="22"/>
        <v>45596</v>
      </c>
      <c r="F320" s="331">
        <f t="shared" si="23"/>
        <v>5</v>
      </c>
      <c r="G320" s="289">
        <v>45191</v>
      </c>
      <c r="H320" s="330">
        <f t="shared" si="24"/>
        <v>45199</v>
      </c>
      <c r="I320" s="331">
        <f t="shared" si="25"/>
        <v>2023</v>
      </c>
      <c r="J320" s="290">
        <f t="shared" si="26"/>
        <v>392</v>
      </c>
      <c r="K320" s="294"/>
      <c r="L320" s="297" t="s">
        <v>898</v>
      </c>
      <c r="M320" s="297"/>
      <c r="N320" s="332" t="str">
        <f t="shared" si="27"/>
        <v>Chapel</v>
      </c>
      <c r="O320" s="3">
        <v>7500</v>
      </c>
      <c r="P320" s="344"/>
      <c r="Q320" s="3">
        <f t="shared" si="28"/>
        <v>7500</v>
      </c>
      <c r="T320" s="345">
        <v>2800</v>
      </c>
      <c r="Z320" s="3">
        <f t="shared" si="29"/>
        <v>6</v>
      </c>
    </row>
    <row r="321" spans="2:26" ht="15.75" customHeight="1">
      <c r="B321" s="287" t="s">
        <v>1190</v>
      </c>
      <c r="C321" s="290"/>
      <c r="D321" s="289">
        <v>45584</v>
      </c>
      <c r="E321" s="330">
        <f t="shared" si="22"/>
        <v>45596</v>
      </c>
      <c r="F321" s="331">
        <f t="shared" si="23"/>
        <v>5</v>
      </c>
      <c r="G321" s="289">
        <v>45099</v>
      </c>
      <c r="H321" s="330">
        <f t="shared" si="24"/>
        <v>45107</v>
      </c>
      <c r="I321" s="331">
        <f t="shared" si="25"/>
        <v>2023</v>
      </c>
      <c r="J321" s="290">
        <f t="shared" si="26"/>
        <v>485</v>
      </c>
      <c r="K321" s="294"/>
      <c r="L321" s="297" t="s">
        <v>898</v>
      </c>
      <c r="M321" s="297"/>
      <c r="N321" s="332" t="str">
        <f t="shared" si="27"/>
        <v>Chapel</v>
      </c>
      <c r="O321" s="3">
        <v>7500</v>
      </c>
      <c r="Q321" s="3">
        <f t="shared" si="28"/>
        <v>7500</v>
      </c>
      <c r="T321" s="42"/>
      <c r="Z321" s="3">
        <f t="shared" si="29"/>
        <v>7</v>
      </c>
    </row>
    <row r="322" spans="2:26" ht="15.75" customHeight="1">
      <c r="B322" s="287" t="s">
        <v>1191</v>
      </c>
      <c r="C322" s="290"/>
      <c r="D322" s="289">
        <v>45585</v>
      </c>
      <c r="E322" s="330">
        <f t="shared" si="22"/>
        <v>45596</v>
      </c>
      <c r="F322" s="331">
        <f t="shared" si="23"/>
        <v>5</v>
      </c>
      <c r="G322" s="289">
        <v>45205</v>
      </c>
      <c r="H322" s="330">
        <f t="shared" si="24"/>
        <v>45230</v>
      </c>
      <c r="I322" s="331">
        <f t="shared" si="25"/>
        <v>2023</v>
      </c>
      <c r="J322" s="290">
        <f t="shared" si="26"/>
        <v>380</v>
      </c>
      <c r="K322" s="294"/>
      <c r="L322" s="297" t="s">
        <v>898</v>
      </c>
      <c r="M322" s="297"/>
      <c r="N322" s="332" t="str">
        <f t="shared" si="27"/>
        <v>Chapel</v>
      </c>
      <c r="O322" s="3">
        <v>7500</v>
      </c>
      <c r="Q322" s="3">
        <f t="shared" si="28"/>
        <v>7500</v>
      </c>
      <c r="T322" s="42"/>
      <c r="Z322" s="3">
        <f t="shared" si="29"/>
        <v>1</v>
      </c>
    </row>
    <row r="323" spans="2:26" ht="15.75" customHeight="1">
      <c r="B323" s="287" t="s">
        <v>1192</v>
      </c>
      <c r="C323" s="290"/>
      <c r="D323" s="289">
        <v>45587</v>
      </c>
      <c r="E323" s="330">
        <f t="shared" si="22"/>
        <v>45596</v>
      </c>
      <c r="F323" s="331">
        <f t="shared" si="23"/>
        <v>5</v>
      </c>
      <c r="G323" s="289">
        <v>45301</v>
      </c>
      <c r="H323" s="330">
        <f t="shared" si="24"/>
        <v>45322</v>
      </c>
      <c r="I323" s="331">
        <f t="shared" si="25"/>
        <v>2024</v>
      </c>
      <c r="J323" s="290">
        <f t="shared" si="26"/>
        <v>286</v>
      </c>
      <c r="K323" s="294"/>
      <c r="L323" s="297"/>
      <c r="M323" s="297" t="s">
        <v>898</v>
      </c>
      <c r="N323" s="332" t="str">
        <f t="shared" si="27"/>
        <v>Elopement</v>
      </c>
      <c r="O323" s="3">
        <v>1500</v>
      </c>
      <c r="Q323" s="3">
        <f t="shared" si="28"/>
        <v>1500</v>
      </c>
      <c r="T323" s="42"/>
      <c r="Z323" s="3">
        <f t="shared" si="29"/>
        <v>3</v>
      </c>
    </row>
    <row r="324" spans="2:26" ht="15.75" customHeight="1">
      <c r="B324" s="287" t="s">
        <v>1193</v>
      </c>
      <c r="C324" s="290"/>
      <c r="D324" s="289">
        <v>45590</v>
      </c>
      <c r="E324" s="330">
        <f t="shared" si="22"/>
        <v>45596</v>
      </c>
      <c r="F324" s="331">
        <f t="shared" si="23"/>
        <v>5</v>
      </c>
      <c r="G324" s="289">
        <v>45197</v>
      </c>
      <c r="H324" s="330">
        <f t="shared" si="24"/>
        <v>45199</v>
      </c>
      <c r="I324" s="331">
        <f t="shared" si="25"/>
        <v>2023</v>
      </c>
      <c r="J324" s="290">
        <f t="shared" si="26"/>
        <v>393</v>
      </c>
      <c r="K324" s="294"/>
      <c r="L324" s="297" t="s">
        <v>898</v>
      </c>
      <c r="M324" s="297"/>
      <c r="N324" s="332" t="str">
        <f t="shared" si="27"/>
        <v>Chapel</v>
      </c>
      <c r="O324" s="3">
        <v>7500</v>
      </c>
      <c r="P324" s="344"/>
      <c r="Q324" s="3">
        <f t="shared" si="28"/>
        <v>7500</v>
      </c>
      <c r="T324" s="345">
        <v>2700</v>
      </c>
      <c r="Z324" s="3">
        <f t="shared" si="29"/>
        <v>6</v>
      </c>
    </row>
    <row r="325" spans="2:26" ht="15.75" customHeight="1">
      <c r="B325" s="287" t="s">
        <v>1194</v>
      </c>
      <c r="C325" s="290"/>
      <c r="D325" s="289">
        <v>45591</v>
      </c>
      <c r="E325" s="330">
        <f t="shared" si="22"/>
        <v>45596</v>
      </c>
      <c r="F325" s="331">
        <f t="shared" si="23"/>
        <v>5</v>
      </c>
      <c r="G325" s="289">
        <v>45160</v>
      </c>
      <c r="H325" s="330">
        <f t="shared" si="24"/>
        <v>45169</v>
      </c>
      <c r="I325" s="331">
        <f t="shared" si="25"/>
        <v>2023</v>
      </c>
      <c r="J325" s="290">
        <f t="shared" si="26"/>
        <v>431</v>
      </c>
      <c r="K325" s="294"/>
      <c r="L325" s="297" t="s">
        <v>898</v>
      </c>
      <c r="M325" s="297"/>
      <c r="N325" s="332" t="str">
        <f t="shared" si="27"/>
        <v>Chapel</v>
      </c>
      <c r="O325" s="3">
        <v>7500</v>
      </c>
      <c r="Q325" s="3">
        <f t="shared" si="28"/>
        <v>7500</v>
      </c>
      <c r="T325" s="42"/>
      <c r="Z325" s="3">
        <f t="shared" si="29"/>
        <v>7</v>
      </c>
    </row>
    <row r="326" spans="2:26" ht="15.75" customHeight="1">
      <c r="B326" s="287" t="s">
        <v>1195</v>
      </c>
      <c r="C326" s="290"/>
      <c r="D326" s="289">
        <v>45592</v>
      </c>
      <c r="E326" s="330">
        <f t="shared" si="22"/>
        <v>45596</v>
      </c>
      <c r="F326" s="331">
        <f t="shared" si="23"/>
        <v>5</v>
      </c>
      <c r="G326" s="289">
        <v>45216</v>
      </c>
      <c r="H326" s="330">
        <f t="shared" si="24"/>
        <v>45230</v>
      </c>
      <c r="I326" s="331">
        <f t="shared" si="25"/>
        <v>2023</v>
      </c>
      <c r="J326" s="290">
        <f t="shared" si="26"/>
        <v>376</v>
      </c>
      <c r="K326" s="294"/>
      <c r="L326" s="297" t="s">
        <v>898</v>
      </c>
      <c r="M326" s="297"/>
      <c r="N326" s="332" t="str">
        <f t="shared" si="27"/>
        <v>Chapel</v>
      </c>
      <c r="O326" s="3">
        <v>7500</v>
      </c>
      <c r="P326" s="344"/>
      <c r="Q326" s="3">
        <f t="shared" si="28"/>
        <v>7500</v>
      </c>
      <c r="T326" s="345">
        <v>2532</v>
      </c>
      <c r="Z326" s="3">
        <f t="shared" si="29"/>
        <v>1</v>
      </c>
    </row>
    <row r="327" spans="2:26" ht="15.75" customHeight="1">
      <c r="B327" s="287" t="s">
        <v>1196</v>
      </c>
      <c r="C327" s="290"/>
      <c r="D327" s="289">
        <v>45594</v>
      </c>
      <c r="E327" s="330">
        <f t="shared" si="22"/>
        <v>45596</v>
      </c>
      <c r="F327" s="331">
        <f t="shared" si="23"/>
        <v>5</v>
      </c>
      <c r="G327" s="289">
        <v>45358</v>
      </c>
      <c r="H327" s="330">
        <f t="shared" si="24"/>
        <v>45382</v>
      </c>
      <c r="I327" s="331">
        <f t="shared" si="25"/>
        <v>2024</v>
      </c>
      <c r="J327" s="290">
        <f t="shared" si="26"/>
        <v>236</v>
      </c>
      <c r="K327" s="294"/>
      <c r="L327" s="297"/>
      <c r="M327" s="297" t="s">
        <v>898</v>
      </c>
      <c r="N327" s="332" t="str">
        <f t="shared" si="27"/>
        <v>Elopement</v>
      </c>
      <c r="O327" s="3">
        <v>1500</v>
      </c>
      <c r="Q327" s="3">
        <f t="shared" si="28"/>
        <v>1500</v>
      </c>
      <c r="T327" s="42"/>
      <c r="Z327" s="3">
        <f t="shared" si="29"/>
        <v>3</v>
      </c>
    </row>
    <row r="328" spans="2:26" ht="15.75" customHeight="1">
      <c r="B328" s="287" t="s">
        <v>1197</v>
      </c>
      <c r="C328" s="290"/>
      <c r="D328" s="289">
        <v>45597</v>
      </c>
      <c r="E328" s="330">
        <f t="shared" si="22"/>
        <v>45626</v>
      </c>
      <c r="F328" s="331">
        <f t="shared" si="23"/>
        <v>7</v>
      </c>
      <c r="G328" s="289">
        <v>45391</v>
      </c>
      <c r="H328" s="330">
        <f t="shared" si="24"/>
        <v>45412</v>
      </c>
      <c r="I328" s="331">
        <f t="shared" si="25"/>
        <v>2024</v>
      </c>
      <c r="J328" s="290">
        <f t="shared" si="26"/>
        <v>206</v>
      </c>
      <c r="K328" s="294"/>
      <c r="L328" s="297" t="s">
        <v>898</v>
      </c>
      <c r="M328" s="297"/>
      <c r="N328" s="332" t="str">
        <f t="shared" si="27"/>
        <v>Chapel</v>
      </c>
      <c r="O328" s="3">
        <v>7500</v>
      </c>
      <c r="Q328" s="3">
        <f t="shared" si="28"/>
        <v>7500</v>
      </c>
      <c r="T328" s="42"/>
      <c r="Z328" s="3">
        <f t="shared" si="29"/>
        <v>6</v>
      </c>
    </row>
    <row r="329" spans="2:26" ht="15.75" customHeight="1">
      <c r="B329" s="287" t="s">
        <v>1198</v>
      </c>
      <c r="C329" s="290"/>
      <c r="D329" s="289">
        <v>45598</v>
      </c>
      <c r="E329" s="330">
        <f t="shared" si="22"/>
        <v>45626</v>
      </c>
      <c r="F329" s="331">
        <f t="shared" si="23"/>
        <v>7</v>
      </c>
      <c r="G329" s="289">
        <v>45049</v>
      </c>
      <c r="H329" s="330">
        <f t="shared" si="24"/>
        <v>45077</v>
      </c>
      <c r="I329" s="331">
        <f t="shared" si="25"/>
        <v>2023</v>
      </c>
      <c r="J329" s="290">
        <f t="shared" si="26"/>
        <v>549</v>
      </c>
      <c r="K329" s="294"/>
      <c r="L329" s="297" t="s">
        <v>898</v>
      </c>
      <c r="M329" s="297"/>
      <c r="N329" s="332" t="str">
        <f t="shared" si="27"/>
        <v>Chapel</v>
      </c>
      <c r="O329" s="3">
        <v>7250</v>
      </c>
      <c r="Q329" s="3">
        <f t="shared" si="28"/>
        <v>7250</v>
      </c>
      <c r="T329" s="42"/>
      <c r="Z329" s="3">
        <f t="shared" si="29"/>
        <v>7</v>
      </c>
    </row>
    <row r="330" spans="2:26" ht="15.75" customHeight="1">
      <c r="B330" s="287" t="s">
        <v>1199</v>
      </c>
      <c r="C330" s="290"/>
      <c r="D330" s="289">
        <v>45599</v>
      </c>
      <c r="E330" s="330">
        <f t="shared" si="22"/>
        <v>45626</v>
      </c>
      <c r="F330" s="331">
        <f t="shared" si="23"/>
        <v>7</v>
      </c>
      <c r="G330" s="289">
        <v>45239</v>
      </c>
      <c r="H330" s="330">
        <f t="shared" si="24"/>
        <v>45260</v>
      </c>
      <c r="I330" s="331">
        <f t="shared" si="25"/>
        <v>2023</v>
      </c>
      <c r="J330" s="290">
        <f t="shared" si="26"/>
        <v>360</v>
      </c>
      <c r="K330" s="294"/>
      <c r="L330" s="297" t="s">
        <v>898</v>
      </c>
      <c r="M330" s="297"/>
      <c r="N330" s="332" t="str">
        <f t="shared" si="27"/>
        <v>Chapel</v>
      </c>
      <c r="O330" s="3">
        <v>7500</v>
      </c>
      <c r="P330" s="344"/>
      <c r="Q330" s="3">
        <f t="shared" si="28"/>
        <v>7500</v>
      </c>
      <c r="T330" s="345">
        <v>4550</v>
      </c>
      <c r="Z330" s="3">
        <f t="shared" si="29"/>
        <v>1</v>
      </c>
    </row>
    <row r="331" spans="2:26" ht="15.75" customHeight="1">
      <c r="B331" s="287" t="s">
        <v>1200</v>
      </c>
      <c r="C331" s="290"/>
      <c r="D331" s="289">
        <v>45604</v>
      </c>
      <c r="E331" s="330">
        <f t="shared" si="22"/>
        <v>45626</v>
      </c>
      <c r="F331" s="331">
        <f t="shared" si="23"/>
        <v>7</v>
      </c>
      <c r="G331" s="289">
        <v>45243</v>
      </c>
      <c r="H331" s="330">
        <f t="shared" si="24"/>
        <v>45260</v>
      </c>
      <c r="I331" s="331">
        <f t="shared" si="25"/>
        <v>2023</v>
      </c>
      <c r="J331" s="290">
        <f t="shared" si="26"/>
        <v>361</v>
      </c>
      <c r="K331" s="294"/>
      <c r="L331" s="297" t="s">
        <v>898</v>
      </c>
      <c r="M331" s="297"/>
      <c r="N331" s="332" t="str">
        <f t="shared" si="27"/>
        <v>Chapel</v>
      </c>
      <c r="O331" s="3">
        <v>6500</v>
      </c>
      <c r="Q331" s="3">
        <f t="shared" si="28"/>
        <v>6500</v>
      </c>
      <c r="T331" s="42"/>
      <c r="Z331" s="3">
        <f t="shared" si="29"/>
        <v>6</v>
      </c>
    </row>
    <row r="332" spans="2:26" ht="15.75" customHeight="1">
      <c r="B332" s="287" t="s">
        <v>1201</v>
      </c>
      <c r="C332" s="290"/>
      <c r="D332" s="289">
        <v>45605</v>
      </c>
      <c r="E332" s="330">
        <f t="shared" si="22"/>
        <v>45626</v>
      </c>
      <c r="F332" s="331">
        <f t="shared" si="23"/>
        <v>7</v>
      </c>
      <c r="G332" s="289">
        <v>45203</v>
      </c>
      <c r="H332" s="330">
        <f t="shared" si="24"/>
        <v>45230</v>
      </c>
      <c r="I332" s="331">
        <f t="shared" si="25"/>
        <v>2023</v>
      </c>
      <c r="J332" s="290">
        <f t="shared" si="26"/>
        <v>402</v>
      </c>
      <c r="K332" s="294"/>
      <c r="L332" s="297" t="s">
        <v>898</v>
      </c>
      <c r="M332" s="297"/>
      <c r="N332" s="332" t="str">
        <f t="shared" si="27"/>
        <v>Chapel</v>
      </c>
      <c r="O332" s="3">
        <v>7500</v>
      </c>
      <c r="Q332" s="3">
        <f t="shared" si="28"/>
        <v>7500</v>
      </c>
      <c r="T332" s="42"/>
      <c r="Z332" s="3">
        <f t="shared" si="29"/>
        <v>7</v>
      </c>
    </row>
    <row r="333" spans="2:26" ht="15.75" customHeight="1">
      <c r="B333" s="287" t="s">
        <v>1202</v>
      </c>
      <c r="C333" s="290"/>
      <c r="D333" s="289">
        <v>45606</v>
      </c>
      <c r="E333" s="330">
        <f t="shared" si="22"/>
        <v>45626</v>
      </c>
      <c r="F333" s="331">
        <f t="shared" si="23"/>
        <v>7</v>
      </c>
      <c r="G333" s="289">
        <v>45246</v>
      </c>
      <c r="H333" s="330">
        <f t="shared" si="24"/>
        <v>45260</v>
      </c>
      <c r="I333" s="331">
        <f t="shared" si="25"/>
        <v>2023</v>
      </c>
      <c r="J333" s="290">
        <f t="shared" si="26"/>
        <v>360</v>
      </c>
      <c r="K333" s="294"/>
      <c r="L333" s="297" t="s">
        <v>898</v>
      </c>
      <c r="M333" s="297"/>
      <c r="N333" s="332" t="str">
        <f t="shared" si="27"/>
        <v>Chapel</v>
      </c>
      <c r="O333" s="3">
        <v>7500</v>
      </c>
      <c r="Q333" s="3">
        <f t="shared" si="28"/>
        <v>7500</v>
      </c>
      <c r="T333" s="42"/>
      <c r="Z333" s="3">
        <f t="shared" si="29"/>
        <v>1</v>
      </c>
    </row>
    <row r="334" spans="2:26" ht="15.75" customHeight="1">
      <c r="B334" s="287" t="s">
        <v>1203</v>
      </c>
      <c r="C334" s="290"/>
      <c r="D334" s="289">
        <v>45608</v>
      </c>
      <c r="E334" s="330">
        <f t="shared" si="22"/>
        <v>45626</v>
      </c>
      <c r="F334" s="331">
        <f t="shared" si="23"/>
        <v>7</v>
      </c>
      <c r="G334" s="289">
        <v>45352</v>
      </c>
      <c r="H334" s="330">
        <f t="shared" si="24"/>
        <v>45382</v>
      </c>
      <c r="I334" s="331">
        <f t="shared" si="25"/>
        <v>2024</v>
      </c>
      <c r="J334" s="290">
        <f t="shared" si="26"/>
        <v>256</v>
      </c>
      <c r="K334" s="294"/>
      <c r="L334" s="297"/>
      <c r="M334" s="297" t="s">
        <v>898</v>
      </c>
      <c r="N334" s="332" t="str">
        <f t="shared" si="27"/>
        <v>Elopement</v>
      </c>
      <c r="O334" s="3">
        <v>1500</v>
      </c>
      <c r="Q334" s="3">
        <f t="shared" si="28"/>
        <v>1500</v>
      </c>
      <c r="T334" s="42"/>
      <c r="Z334" s="3">
        <f t="shared" si="29"/>
        <v>3</v>
      </c>
    </row>
    <row r="335" spans="2:26" ht="15.75" customHeight="1">
      <c r="B335" s="287" t="s">
        <v>1204</v>
      </c>
      <c r="C335" s="290"/>
      <c r="D335" s="289">
        <v>45611</v>
      </c>
      <c r="E335" s="330">
        <f t="shared" si="22"/>
        <v>45626</v>
      </c>
      <c r="F335" s="331">
        <f t="shared" si="23"/>
        <v>7</v>
      </c>
      <c r="G335" s="289">
        <v>45264</v>
      </c>
      <c r="H335" s="330">
        <f t="shared" si="24"/>
        <v>45291</v>
      </c>
      <c r="I335" s="331">
        <f t="shared" si="25"/>
        <v>2023</v>
      </c>
      <c r="J335" s="290">
        <f t="shared" si="26"/>
        <v>347</v>
      </c>
      <c r="K335" s="294"/>
      <c r="L335" s="297" t="s">
        <v>898</v>
      </c>
      <c r="M335" s="297"/>
      <c r="N335" s="332" t="str">
        <f t="shared" si="27"/>
        <v>Chapel</v>
      </c>
      <c r="O335" s="3">
        <v>6500</v>
      </c>
      <c r="Q335" s="3">
        <f t="shared" si="28"/>
        <v>6500</v>
      </c>
      <c r="T335" s="42"/>
      <c r="Z335" s="3">
        <f t="shared" si="29"/>
        <v>6</v>
      </c>
    </row>
    <row r="336" spans="2:26" ht="15.75" customHeight="1">
      <c r="B336" s="287" t="s">
        <v>1205</v>
      </c>
      <c r="C336" s="290"/>
      <c r="D336" s="289">
        <v>45613</v>
      </c>
      <c r="E336" s="330">
        <f t="shared" si="22"/>
        <v>45626</v>
      </c>
      <c r="F336" s="331">
        <f t="shared" si="23"/>
        <v>7</v>
      </c>
      <c r="G336" s="289">
        <v>45246</v>
      </c>
      <c r="H336" s="330">
        <f t="shared" si="24"/>
        <v>45260</v>
      </c>
      <c r="I336" s="331">
        <f t="shared" si="25"/>
        <v>2023</v>
      </c>
      <c r="J336" s="290">
        <f t="shared" si="26"/>
        <v>367</v>
      </c>
      <c r="K336" s="294"/>
      <c r="L336" s="297" t="s">
        <v>898</v>
      </c>
      <c r="M336" s="297"/>
      <c r="N336" s="332" t="str">
        <f t="shared" si="27"/>
        <v>Chapel</v>
      </c>
      <c r="O336" s="3">
        <v>7500</v>
      </c>
      <c r="Q336" s="3">
        <f t="shared" si="28"/>
        <v>7500</v>
      </c>
      <c r="T336" s="42"/>
      <c r="Z336" s="3">
        <f t="shared" si="29"/>
        <v>1</v>
      </c>
    </row>
    <row r="337" spans="2:26" ht="15.75" customHeight="1">
      <c r="B337" s="287" t="s">
        <v>1096</v>
      </c>
      <c r="C337" s="290"/>
      <c r="D337" s="289">
        <v>45612</v>
      </c>
      <c r="E337" s="330">
        <f t="shared" si="22"/>
        <v>45626</v>
      </c>
      <c r="F337" s="331">
        <f t="shared" si="23"/>
        <v>7</v>
      </c>
      <c r="G337" s="289">
        <v>45238</v>
      </c>
      <c r="H337" s="330">
        <f t="shared" si="24"/>
        <v>45260</v>
      </c>
      <c r="I337" s="331">
        <f t="shared" si="25"/>
        <v>2023</v>
      </c>
      <c r="J337" s="290">
        <f t="shared" si="26"/>
        <v>374</v>
      </c>
      <c r="K337" s="294"/>
      <c r="L337" s="297" t="s">
        <v>898</v>
      </c>
      <c r="M337" s="297"/>
      <c r="N337" s="332" t="str">
        <f t="shared" si="27"/>
        <v>Chapel</v>
      </c>
      <c r="O337" s="3">
        <v>7000</v>
      </c>
      <c r="P337" s="344"/>
      <c r="Q337" s="3">
        <f t="shared" si="28"/>
        <v>7000</v>
      </c>
      <c r="T337" s="345">
        <v>5432</v>
      </c>
      <c r="Z337" s="3">
        <f t="shared" si="29"/>
        <v>7</v>
      </c>
    </row>
    <row r="338" spans="2:26" ht="15.75" customHeight="1">
      <c r="B338" s="287" t="s">
        <v>1206</v>
      </c>
      <c r="C338" s="290"/>
      <c r="D338" s="289">
        <v>45615</v>
      </c>
      <c r="E338" s="330">
        <f t="shared" si="22"/>
        <v>45626</v>
      </c>
      <c r="F338" s="331">
        <f t="shared" si="23"/>
        <v>7</v>
      </c>
      <c r="G338" s="289">
        <v>45524</v>
      </c>
      <c r="H338" s="330">
        <f t="shared" si="24"/>
        <v>45535</v>
      </c>
      <c r="I338" s="331">
        <f t="shared" si="25"/>
        <v>2024</v>
      </c>
      <c r="J338" s="290">
        <f t="shared" si="26"/>
        <v>91</v>
      </c>
      <c r="K338" s="294"/>
      <c r="L338" s="297"/>
      <c r="M338" s="297" t="s">
        <v>898</v>
      </c>
      <c r="N338" s="332" t="str">
        <f t="shared" si="27"/>
        <v>Elopement</v>
      </c>
      <c r="O338" s="3">
        <v>1500</v>
      </c>
      <c r="Q338" s="3">
        <f t="shared" si="28"/>
        <v>1500</v>
      </c>
      <c r="T338" s="42"/>
      <c r="Z338" s="3">
        <f t="shared" si="29"/>
        <v>3</v>
      </c>
    </row>
    <row r="339" spans="2:26" ht="15.75" customHeight="1">
      <c r="B339" s="287" t="s">
        <v>1207</v>
      </c>
      <c r="C339" s="290"/>
      <c r="D339" s="289">
        <v>45618</v>
      </c>
      <c r="E339" s="330">
        <f t="shared" si="22"/>
        <v>45626</v>
      </c>
      <c r="F339" s="331">
        <f t="shared" si="23"/>
        <v>7</v>
      </c>
      <c r="G339" s="289">
        <v>45291</v>
      </c>
      <c r="H339" s="330">
        <f t="shared" si="24"/>
        <v>45291</v>
      </c>
      <c r="I339" s="331">
        <f t="shared" si="25"/>
        <v>2023</v>
      </c>
      <c r="J339" s="290">
        <f t="shared" si="26"/>
        <v>327</v>
      </c>
      <c r="K339" s="294"/>
      <c r="L339" s="297" t="s">
        <v>898</v>
      </c>
      <c r="M339" s="297"/>
      <c r="N339" s="332" t="str">
        <f t="shared" si="27"/>
        <v>Chapel</v>
      </c>
      <c r="O339" s="3">
        <v>6500</v>
      </c>
      <c r="Q339" s="3">
        <f t="shared" si="28"/>
        <v>6500</v>
      </c>
      <c r="T339" s="42"/>
      <c r="Z339" s="3">
        <f t="shared" si="29"/>
        <v>6</v>
      </c>
    </row>
    <row r="340" spans="2:26" ht="15.75" customHeight="1">
      <c r="B340" s="287" t="s">
        <v>1208</v>
      </c>
      <c r="C340" s="290"/>
      <c r="D340" s="289">
        <v>45619</v>
      </c>
      <c r="E340" s="330">
        <f t="shared" si="22"/>
        <v>45626</v>
      </c>
      <c r="F340" s="331">
        <f t="shared" si="23"/>
        <v>7</v>
      </c>
      <c r="G340" s="289">
        <v>45418</v>
      </c>
      <c r="H340" s="330">
        <f t="shared" si="24"/>
        <v>45443</v>
      </c>
      <c r="I340" s="331">
        <f t="shared" si="25"/>
        <v>2024</v>
      </c>
      <c r="J340" s="290">
        <f t="shared" si="26"/>
        <v>201</v>
      </c>
      <c r="K340" s="294"/>
      <c r="L340" s="297" t="s">
        <v>898</v>
      </c>
      <c r="M340" s="297"/>
      <c r="N340" s="332" t="str">
        <f t="shared" si="27"/>
        <v>Chapel</v>
      </c>
      <c r="O340" s="3">
        <v>7000</v>
      </c>
      <c r="Q340" s="3">
        <f t="shared" si="28"/>
        <v>7000</v>
      </c>
      <c r="T340" s="42"/>
      <c r="Z340" s="3">
        <f t="shared" si="29"/>
        <v>7</v>
      </c>
    </row>
    <row r="341" spans="2:26" ht="15.75" customHeight="1">
      <c r="B341" s="287" t="s">
        <v>1209</v>
      </c>
      <c r="C341" s="290"/>
      <c r="D341" s="289">
        <v>45620</v>
      </c>
      <c r="E341" s="330">
        <f t="shared" si="22"/>
        <v>45626</v>
      </c>
      <c r="F341" s="331">
        <f t="shared" si="23"/>
        <v>7</v>
      </c>
      <c r="G341" s="289">
        <v>45303</v>
      </c>
      <c r="H341" s="330">
        <f t="shared" si="24"/>
        <v>45322</v>
      </c>
      <c r="I341" s="331">
        <f t="shared" si="25"/>
        <v>2024</v>
      </c>
      <c r="J341" s="290">
        <f t="shared" si="26"/>
        <v>317</v>
      </c>
      <c r="K341" s="294"/>
      <c r="L341" s="297" t="s">
        <v>898</v>
      </c>
      <c r="M341" s="297"/>
      <c r="N341" s="332" t="str">
        <f t="shared" si="27"/>
        <v>Chapel</v>
      </c>
      <c r="O341" s="3">
        <v>7500</v>
      </c>
      <c r="Q341" s="3">
        <f t="shared" si="28"/>
        <v>7500</v>
      </c>
      <c r="T341" s="42"/>
      <c r="Z341" s="3">
        <f t="shared" si="29"/>
        <v>1</v>
      </c>
    </row>
    <row r="342" spans="2:26" ht="15.75" customHeight="1">
      <c r="B342" s="287" t="s">
        <v>1210</v>
      </c>
      <c r="C342" s="290"/>
      <c r="D342" s="289">
        <v>45629</v>
      </c>
      <c r="E342" s="330">
        <f t="shared" si="22"/>
        <v>45657</v>
      </c>
      <c r="F342" s="331">
        <f t="shared" si="23"/>
        <v>3</v>
      </c>
      <c r="G342" s="289">
        <v>45509</v>
      </c>
      <c r="H342" s="330">
        <f t="shared" si="24"/>
        <v>45535</v>
      </c>
      <c r="I342" s="331">
        <f t="shared" si="25"/>
        <v>2024</v>
      </c>
      <c r="J342" s="290">
        <f t="shared" si="26"/>
        <v>120</v>
      </c>
      <c r="K342" s="294"/>
      <c r="L342" s="297"/>
      <c r="M342" s="297" t="s">
        <v>898</v>
      </c>
      <c r="N342" s="332" t="str">
        <f t="shared" si="27"/>
        <v>Elopement</v>
      </c>
      <c r="O342" s="3">
        <v>1500</v>
      </c>
      <c r="Q342" s="3">
        <f t="shared" si="28"/>
        <v>1500</v>
      </c>
      <c r="T342" s="42"/>
      <c r="Z342" s="3">
        <f t="shared" si="29"/>
        <v>3</v>
      </c>
    </row>
    <row r="343" spans="2:26" ht="15.75" customHeight="1">
      <c r="B343" s="287" t="s">
        <v>1211</v>
      </c>
      <c r="C343" s="290"/>
      <c r="D343" s="289">
        <v>45632</v>
      </c>
      <c r="E343" s="330">
        <f t="shared" si="22"/>
        <v>45657</v>
      </c>
      <c r="F343" s="331">
        <f t="shared" si="23"/>
        <v>3</v>
      </c>
      <c r="G343" s="289">
        <v>45443</v>
      </c>
      <c r="H343" s="330">
        <f t="shared" si="24"/>
        <v>45443</v>
      </c>
      <c r="I343" s="331">
        <f t="shared" si="25"/>
        <v>2024</v>
      </c>
      <c r="J343" s="290">
        <f t="shared" si="26"/>
        <v>189</v>
      </c>
      <c r="K343" s="294"/>
      <c r="L343" s="297" t="s">
        <v>898</v>
      </c>
      <c r="M343" s="297"/>
      <c r="N343" s="332" t="str">
        <f t="shared" si="27"/>
        <v>Chapel</v>
      </c>
      <c r="O343" s="3">
        <v>6000</v>
      </c>
      <c r="Q343" s="3">
        <f t="shared" si="28"/>
        <v>6000</v>
      </c>
      <c r="T343" s="42"/>
      <c r="Z343" s="3">
        <f t="shared" si="29"/>
        <v>6</v>
      </c>
    </row>
    <row r="344" spans="2:26" ht="15.75" customHeight="1">
      <c r="B344" s="287" t="s">
        <v>1212</v>
      </c>
      <c r="C344" s="290"/>
      <c r="D344" s="289">
        <v>45633</v>
      </c>
      <c r="E344" s="330">
        <f t="shared" si="22"/>
        <v>45657</v>
      </c>
      <c r="F344" s="331">
        <f t="shared" si="23"/>
        <v>3</v>
      </c>
      <c r="G344" s="289">
        <v>45085</v>
      </c>
      <c r="H344" s="330">
        <f t="shared" si="24"/>
        <v>45107</v>
      </c>
      <c r="I344" s="331">
        <f t="shared" si="25"/>
        <v>2023</v>
      </c>
      <c r="J344" s="290">
        <f t="shared" si="26"/>
        <v>548</v>
      </c>
      <c r="K344" s="294"/>
      <c r="L344" s="297" t="s">
        <v>898</v>
      </c>
      <c r="M344" s="297"/>
      <c r="N344" s="332" t="str">
        <f t="shared" si="27"/>
        <v>Chapel</v>
      </c>
      <c r="O344" s="3">
        <v>7500</v>
      </c>
      <c r="P344" s="344"/>
      <c r="Q344" s="3">
        <f t="shared" si="28"/>
        <v>7500</v>
      </c>
      <c r="T344" s="345">
        <v>4850</v>
      </c>
      <c r="Z344" s="3">
        <f t="shared" si="29"/>
        <v>7</v>
      </c>
    </row>
    <row r="345" spans="2:26" ht="15.75" customHeight="1">
      <c r="B345" s="287" t="s">
        <v>1213</v>
      </c>
      <c r="C345" s="290"/>
      <c r="D345" s="289">
        <v>45634</v>
      </c>
      <c r="E345" s="330">
        <f t="shared" si="22"/>
        <v>45657</v>
      </c>
      <c r="F345" s="331">
        <f t="shared" si="23"/>
        <v>3</v>
      </c>
      <c r="G345" s="289">
        <v>45462</v>
      </c>
      <c r="H345" s="330">
        <f t="shared" si="24"/>
        <v>45473</v>
      </c>
      <c r="I345" s="331">
        <f t="shared" si="25"/>
        <v>2024</v>
      </c>
      <c r="J345" s="290">
        <f t="shared" si="26"/>
        <v>172</v>
      </c>
      <c r="K345" s="294"/>
      <c r="L345" s="297" t="s">
        <v>898</v>
      </c>
      <c r="M345" s="297"/>
      <c r="N345" s="332" t="str">
        <f t="shared" si="27"/>
        <v>Chapel</v>
      </c>
      <c r="O345" s="3">
        <v>7500</v>
      </c>
      <c r="Q345" s="3">
        <f t="shared" si="28"/>
        <v>7500</v>
      </c>
      <c r="T345" s="42"/>
      <c r="Z345" s="3">
        <f t="shared" si="29"/>
        <v>1</v>
      </c>
    </row>
    <row r="346" spans="2:26" ht="15.75" customHeight="1">
      <c r="B346" s="287" t="s">
        <v>1214</v>
      </c>
      <c r="C346" s="290"/>
      <c r="D346" s="289">
        <v>45636</v>
      </c>
      <c r="E346" s="330">
        <f t="shared" si="22"/>
        <v>45657</v>
      </c>
      <c r="F346" s="331">
        <f t="shared" si="23"/>
        <v>3</v>
      </c>
      <c r="G346" s="289">
        <v>45593</v>
      </c>
      <c r="H346" s="330">
        <f t="shared" si="24"/>
        <v>45596</v>
      </c>
      <c r="I346" s="331">
        <f t="shared" si="25"/>
        <v>2024</v>
      </c>
      <c r="J346" s="290">
        <f t="shared" si="26"/>
        <v>43</v>
      </c>
      <c r="K346" s="294"/>
      <c r="L346" s="297"/>
      <c r="M346" s="297" t="s">
        <v>898</v>
      </c>
      <c r="N346" s="332" t="str">
        <f t="shared" si="27"/>
        <v>Elopement</v>
      </c>
      <c r="O346" s="3">
        <v>1500</v>
      </c>
      <c r="Q346" s="3">
        <f t="shared" si="28"/>
        <v>1500</v>
      </c>
      <c r="T346" s="42"/>
      <c r="Z346" s="3">
        <f t="shared" si="29"/>
        <v>3</v>
      </c>
    </row>
    <row r="347" spans="2:26" ht="15.75" customHeight="1">
      <c r="B347" s="287" t="s">
        <v>1215</v>
      </c>
      <c r="C347" s="290"/>
      <c r="D347" s="289">
        <v>45639</v>
      </c>
      <c r="E347" s="330">
        <f t="shared" si="22"/>
        <v>45657</v>
      </c>
      <c r="F347" s="331">
        <f t="shared" si="23"/>
        <v>3</v>
      </c>
      <c r="G347" s="289">
        <v>45517</v>
      </c>
      <c r="H347" s="330">
        <f t="shared" si="24"/>
        <v>45535</v>
      </c>
      <c r="I347" s="331">
        <f t="shared" si="25"/>
        <v>2024</v>
      </c>
      <c r="J347" s="290">
        <f t="shared" si="26"/>
        <v>122</v>
      </c>
      <c r="K347" s="294"/>
      <c r="L347" s="297" t="s">
        <v>898</v>
      </c>
      <c r="M347" s="297"/>
      <c r="N347" s="332" t="str">
        <f t="shared" si="27"/>
        <v>Chapel</v>
      </c>
      <c r="O347" s="3">
        <v>6000</v>
      </c>
      <c r="Q347" s="3">
        <f t="shared" si="28"/>
        <v>6000</v>
      </c>
      <c r="T347" s="42"/>
      <c r="Z347" s="3">
        <f t="shared" si="29"/>
        <v>6</v>
      </c>
    </row>
    <row r="348" spans="2:26" ht="15.75" customHeight="1">
      <c r="B348" s="287" t="s">
        <v>1216</v>
      </c>
      <c r="C348" s="290"/>
      <c r="D348" s="289">
        <v>45640</v>
      </c>
      <c r="E348" s="330">
        <f t="shared" si="22"/>
        <v>45657</v>
      </c>
      <c r="F348" s="331">
        <f t="shared" si="23"/>
        <v>3</v>
      </c>
      <c r="G348" s="289">
        <v>45100</v>
      </c>
      <c r="H348" s="330">
        <f t="shared" si="24"/>
        <v>45107</v>
      </c>
      <c r="I348" s="331">
        <f t="shared" si="25"/>
        <v>2023</v>
      </c>
      <c r="J348" s="290">
        <f t="shared" si="26"/>
        <v>540</v>
      </c>
      <c r="K348" s="294"/>
      <c r="L348" s="297" t="s">
        <v>898</v>
      </c>
      <c r="M348" s="297"/>
      <c r="N348" s="332" t="str">
        <f t="shared" si="27"/>
        <v>Chapel</v>
      </c>
      <c r="O348" s="3">
        <v>7500</v>
      </c>
      <c r="Q348" s="3">
        <f t="shared" si="28"/>
        <v>7500</v>
      </c>
      <c r="T348" s="42"/>
      <c r="Z348" s="3">
        <f t="shared" si="29"/>
        <v>7</v>
      </c>
    </row>
    <row r="349" spans="2:26" ht="15.75" customHeight="1">
      <c r="B349" s="287" t="s">
        <v>1217</v>
      </c>
      <c r="C349" s="290"/>
      <c r="D349" s="289">
        <v>45643</v>
      </c>
      <c r="E349" s="330">
        <f t="shared" si="22"/>
        <v>45657</v>
      </c>
      <c r="F349" s="331">
        <f t="shared" si="23"/>
        <v>3</v>
      </c>
      <c r="G349" s="289">
        <v>45604</v>
      </c>
      <c r="H349" s="330">
        <f t="shared" si="24"/>
        <v>45626</v>
      </c>
      <c r="I349" s="331">
        <f t="shared" si="25"/>
        <v>2024</v>
      </c>
      <c r="J349" s="290">
        <f t="shared" si="26"/>
        <v>39</v>
      </c>
      <c r="K349" s="294"/>
      <c r="L349" s="297"/>
      <c r="M349" s="297" t="s">
        <v>898</v>
      </c>
      <c r="N349" s="332" t="str">
        <f t="shared" si="27"/>
        <v>Elopement</v>
      </c>
      <c r="O349" s="3">
        <v>1500</v>
      </c>
      <c r="P349" s="344"/>
      <c r="Q349" s="3">
        <f t="shared" si="28"/>
        <v>1500</v>
      </c>
      <c r="T349" s="345">
        <v>550</v>
      </c>
      <c r="Z349" s="3">
        <f t="shared" si="29"/>
        <v>3</v>
      </c>
    </row>
    <row r="350" spans="2:26" ht="15.75" customHeight="1">
      <c r="B350" s="287" t="s">
        <v>1218</v>
      </c>
      <c r="C350" s="290"/>
      <c r="D350" s="289">
        <v>45643</v>
      </c>
      <c r="E350" s="330">
        <f t="shared" si="22"/>
        <v>45657</v>
      </c>
      <c r="F350" s="331">
        <f t="shared" si="23"/>
        <v>3</v>
      </c>
      <c r="G350" s="289">
        <v>45518</v>
      </c>
      <c r="H350" s="330">
        <f t="shared" si="24"/>
        <v>45535</v>
      </c>
      <c r="I350" s="331">
        <f t="shared" si="25"/>
        <v>2024</v>
      </c>
      <c r="J350" s="290">
        <f t="shared" si="26"/>
        <v>125</v>
      </c>
      <c r="K350" s="294"/>
      <c r="L350" s="297"/>
      <c r="M350" s="297" t="s">
        <v>898</v>
      </c>
      <c r="N350" s="332" t="str">
        <f t="shared" si="27"/>
        <v>Elopement</v>
      </c>
      <c r="O350" s="3">
        <v>1500</v>
      </c>
      <c r="Q350" s="3">
        <f t="shared" si="28"/>
        <v>1500</v>
      </c>
      <c r="T350" s="42"/>
      <c r="Z350" s="3">
        <f t="shared" si="29"/>
        <v>3</v>
      </c>
    </row>
    <row r="351" spans="2:26" ht="15.75" customHeight="1">
      <c r="B351" s="287" t="s">
        <v>1219</v>
      </c>
      <c r="C351" s="290"/>
      <c r="D351" s="289">
        <v>45646</v>
      </c>
      <c r="E351" s="330">
        <f t="shared" si="22"/>
        <v>45657</v>
      </c>
      <c r="F351" s="331">
        <f t="shared" si="23"/>
        <v>3</v>
      </c>
      <c r="G351" s="289">
        <v>45314</v>
      </c>
      <c r="H351" s="330">
        <f t="shared" si="24"/>
        <v>45322</v>
      </c>
      <c r="I351" s="331">
        <f t="shared" si="25"/>
        <v>2024</v>
      </c>
      <c r="J351" s="290">
        <f t="shared" si="26"/>
        <v>332</v>
      </c>
      <c r="K351" s="294"/>
      <c r="L351" s="297" t="s">
        <v>898</v>
      </c>
      <c r="M351" s="297"/>
      <c r="N351" s="332" t="str">
        <f t="shared" si="27"/>
        <v>Chapel</v>
      </c>
      <c r="O351" s="3">
        <v>6500</v>
      </c>
      <c r="Q351" s="3">
        <f t="shared" si="28"/>
        <v>6500</v>
      </c>
      <c r="T351" s="42"/>
      <c r="Z351" s="3">
        <f t="shared" si="29"/>
        <v>6</v>
      </c>
    </row>
    <row r="352" spans="2:26" ht="15.75" customHeight="1">
      <c r="B352" s="287" t="s">
        <v>1220</v>
      </c>
      <c r="C352" s="290"/>
      <c r="D352" s="289">
        <v>45647</v>
      </c>
      <c r="E352" s="330">
        <f t="shared" si="22"/>
        <v>45657</v>
      </c>
      <c r="F352" s="331">
        <f t="shared" si="23"/>
        <v>3</v>
      </c>
      <c r="G352" s="289">
        <v>45295</v>
      </c>
      <c r="H352" s="330">
        <f t="shared" si="24"/>
        <v>45322</v>
      </c>
      <c r="I352" s="331">
        <f t="shared" si="25"/>
        <v>2024</v>
      </c>
      <c r="J352" s="290">
        <f t="shared" si="26"/>
        <v>352</v>
      </c>
      <c r="K352" s="294"/>
      <c r="L352" s="297" t="s">
        <v>898</v>
      </c>
      <c r="M352" s="297"/>
      <c r="N352" s="332" t="str">
        <f t="shared" si="27"/>
        <v>Chapel</v>
      </c>
      <c r="O352" s="3">
        <v>7500</v>
      </c>
      <c r="Q352" s="3">
        <f t="shared" si="28"/>
        <v>7500</v>
      </c>
      <c r="T352" s="42"/>
      <c r="Z352" s="3">
        <f t="shared" si="29"/>
        <v>7</v>
      </c>
    </row>
    <row r="353" spans="2:26" ht="15.75" customHeight="1">
      <c r="B353" s="287"/>
      <c r="C353" s="290"/>
      <c r="D353" s="289"/>
      <c r="E353" s="330"/>
      <c r="F353" s="330"/>
      <c r="G353" s="289"/>
      <c r="H353" s="330"/>
      <c r="I353" s="331"/>
      <c r="J353" s="290"/>
      <c r="K353" s="294"/>
      <c r="L353" s="297"/>
      <c r="M353" s="297"/>
      <c r="N353" s="332"/>
      <c r="T353" s="42"/>
      <c r="Z353" s="3">
        <f t="shared" si="29"/>
        <v>7</v>
      </c>
    </row>
    <row r="354" spans="2:26" ht="15.75" customHeight="1">
      <c r="B354" s="287" t="s">
        <v>652</v>
      </c>
      <c r="C354" s="290"/>
      <c r="D354" s="289">
        <v>46088</v>
      </c>
      <c r="E354" s="330">
        <f t="shared" ref="E354:E501" si="30">EOMONTH(D354,0)</f>
        <v>46112</v>
      </c>
      <c r="F354" s="331">
        <f t="shared" ref="F354:F501" si="31">WEEKDAY(E354)</f>
        <v>3</v>
      </c>
      <c r="G354" s="289">
        <v>45741</v>
      </c>
      <c r="H354" s="330">
        <f t="shared" ref="H354:H501" si="32">EOMONTH(G354,0)</f>
        <v>45747</v>
      </c>
      <c r="I354" s="331">
        <f t="shared" ref="I354:I501" si="33">YEAR(H354)</f>
        <v>2025</v>
      </c>
      <c r="J354" s="290">
        <f t="shared" ref="J354:J501" si="34">(D354-G354)</f>
        <v>347</v>
      </c>
      <c r="K354" s="294"/>
      <c r="L354" s="297"/>
      <c r="M354" s="297"/>
      <c r="N354" s="332" t="s">
        <v>248</v>
      </c>
      <c r="O354" s="3">
        <v>7400</v>
      </c>
      <c r="P354" s="298"/>
      <c r="Q354" s="3">
        <f t="shared" ref="Q354:Q501" si="35">SUM(O354:P354)</f>
        <v>7400</v>
      </c>
      <c r="R354" s="346">
        <f t="shared" ref="R354:R374" si="36">Q354</f>
        <v>7400</v>
      </c>
      <c r="S354" s="346"/>
      <c r="T354" s="329"/>
      <c r="Z354" s="3">
        <f t="shared" si="29"/>
        <v>7</v>
      </c>
    </row>
    <row r="355" spans="2:26" ht="15.75" customHeight="1">
      <c r="B355" s="287" t="s">
        <v>1221</v>
      </c>
      <c r="C355" s="290"/>
      <c r="D355" s="289">
        <v>46095</v>
      </c>
      <c r="E355" s="330">
        <f t="shared" si="30"/>
        <v>46112</v>
      </c>
      <c r="F355" s="331">
        <f t="shared" si="31"/>
        <v>3</v>
      </c>
      <c r="G355" s="289">
        <v>45720</v>
      </c>
      <c r="H355" s="330">
        <f t="shared" si="32"/>
        <v>45747</v>
      </c>
      <c r="I355" s="331">
        <f t="shared" si="33"/>
        <v>2025</v>
      </c>
      <c r="J355" s="290">
        <f t="shared" si="34"/>
        <v>375</v>
      </c>
      <c r="K355" s="294"/>
      <c r="L355" s="297"/>
      <c r="M355" s="297"/>
      <c r="N355" s="332" t="s">
        <v>248</v>
      </c>
      <c r="O355" s="3">
        <v>8000</v>
      </c>
      <c r="P355" s="298"/>
      <c r="Q355" s="3">
        <f t="shared" si="35"/>
        <v>8000</v>
      </c>
      <c r="R355" s="346">
        <f t="shared" si="36"/>
        <v>8000</v>
      </c>
      <c r="S355" s="346"/>
      <c r="T355" s="329"/>
      <c r="Z355" s="3">
        <f t="shared" si="29"/>
        <v>7</v>
      </c>
    </row>
    <row r="356" spans="2:26" ht="15.75" customHeight="1">
      <c r="B356" s="287" t="s">
        <v>655</v>
      </c>
      <c r="C356" s="290"/>
      <c r="D356" s="289">
        <v>46101</v>
      </c>
      <c r="E356" s="330">
        <f t="shared" si="30"/>
        <v>46112</v>
      </c>
      <c r="F356" s="331">
        <f t="shared" si="31"/>
        <v>3</v>
      </c>
      <c r="G356" s="289">
        <v>45849</v>
      </c>
      <c r="H356" s="330">
        <f t="shared" si="32"/>
        <v>45869</v>
      </c>
      <c r="I356" s="331">
        <f t="shared" si="33"/>
        <v>2025</v>
      </c>
      <c r="J356" s="290">
        <f t="shared" si="34"/>
        <v>252</v>
      </c>
      <c r="K356" s="294"/>
      <c r="L356" s="297"/>
      <c r="M356" s="297"/>
      <c r="N356" s="332" t="s">
        <v>248</v>
      </c>
      <c r="O356" s="3">
        <v>7500</v>
      </c>
      <c r="P356" s="298"/>
      <c r="Q356" s="3">
        <f t="shared" si="35"/>
        <v>7500</v>
      </c>
      <c r="R356" s="346">
        <f t="shared" si="36"/>
        <v>7500</v>
      </c>
      <c r="S356" s="346"/>
      <c r="T356" s="329"/>
      <c r="Z356" s="3">
        <f t="shared" si="29"/>
        <v>6</v>
      </c>
    </row>
    <row r="357" spans="2:26" ht="15.75" customHeight="1">
      <c r="B357" s="287" t="s">
        <v>657</v>
      </c>
      <c r="C357" s="290"/>
      <c r="D357" s="289">
        <v>46102</v>
      </c>
      <c r="E357" s="330">
        <f t="shared" si="30"/>
        <v>46112</v>
      </c>
      <c r="F357" s="331">
        <f t="shared" si="31"/>
        <v>3</v>
      </c>
      <c r="G357" s="289">
        <v>45758</v>
      </c>
      <c r="H357" s="330">
        <f t="shared" si="32"/>
        <v>45777</v>
      </c>
      <c r="I357" s="331">
        <f t="shared" si="33"/>
        <v>2025</v>
      </c>
      <c r="J357" s="290">
        <f t="shared" si="34"/>
        <v>344</v>
      </c>
      <c r="K357" s="294"/>
      <c r="L357" s="297"/>
      <c r="M357" s="297"/>
      <c r="N357" s="332" t="s">
        <v>248</v>
      </c>
      <c r="O357" s="3">
        <v>8000</v>
      </c>
      <c r="P357" s="298"/>
      <c r="Q357" s="3">
        <f t="shared" si="35"/>
        <v>8000</v>
      </c>
      <c r="R357" s="346">
        <f t="shared" si="36"/>
        <v>8000</v>
      </c>
      <c r="S357" s="346"/>
      <c r="T357" s="329"/>
      <c r="Z357" s="3">
        <f t="shared" si="29"/>
        <v>7</v>
      </c>
    </row>
    <row r="358" spans="2:26" ht="15.75" customHeight="1">
      <c r="B358" s="287" t="s">
        <v>1222</v>
      </c>
      <c r="C358" s="290"/>
      <c r="D358" s="289">
        <v>46108</v>
      </c>
      <c r="E358" s="330">
        <f t="shared" si="30"/>
        <v>46112</v>
      </c>
      <c r="F358" s="331">
        <f t="shared" si="31"/>
        <v>3</v>
      </c>
      <c r="G358" s="289">
        <v>45681</v>
      </c>
      <c r="H358" s="330">
        <f t="shared" si="32"/>
        <v>45688</v>
      </c>
      <c r="I358" s="331">
        <f t="shared" si="33"/>
        <v>2025</v>
      </c>
      <c r="J358" s="290">
        <f t="shared" si="34"/>
        <v>427</v>
      </c>
      <c r="K358" s="294"/>
      <c r="L358" s="297"/>
      <c r="M358" s="297"/>
      <c r="N358" s="332" t="s">
        <v>248</v>
      </c>
      <c r="O358" s="3">
        <v>7500</v>
      </c>
      <c r="P358" s="298"/>
      <c r="Q358" s="3">
        <f t="shared" si="35"/>
        <v>7500</v>
      </c>
      <c r="R358" s="346">
        <f t="shared" si="36"/>
        <v>7500</v>
      </c>
      <c r="S358" s="346"/>
      <c r="T358" s="329"/>
      <c r="Z358" s="3">
        <f t="shared" si="29"/>
        <v>6</v>
      </c>
    </row>
    <row r="359" spans="2:26" ht="15.75" customHeight="1">
      <c r="B359" s="287" t="s">
        <v>659</v>
      </c>
      <c r="C359" s="290"/>
      <c r="D359" s="289">
        <v>46109</v>
      </c>
      <c r="E359" s="330">
        <f t="shared" si="30"/>
        <v>46112</v>
      </c>
      <c r="F359" s="331">
        <f t="shared" si="31"/>
        <v>3</v>
      </c>
      <c r="G359" s="289">
        <v>45665</v>
      </c>
      <c r="H359" s="330">
        <f t="shared" si="32"/>
        <v>45688</v>
      </c>
      <c r="I359" s="331">
        <f t="shared" si="33"/>
        <v>2025</v>
      </c>
      <c r="J359" s="290">
        <f t="shared" si="34"/>
        <v>444</v>
      </c>
      <c r="K359" s="294"/>
      <c r="L359" s="297"/>
      <c r="M359" s="297"/>
      <c r="N359" s="332" t="s">
        <v>248</v>
      </c>
      <c r="O359" s="3">
        <v>8000</v>
      </c>
      <c r="P359" s="298"/>
      <c r="Q359" s="3">
        <f t="shared" si="35"/>
        <v>8000</v>
      </c>
      <c r="R359" s="346">
        <f t="shared" si="36"/>
        <v>8000</v>
      </c>
      <c r="S359" s="346"/>
      <c r="T359" s="329"/>
      <c r="Z359" s="3">
        <f t="shared" si="29"/>
        <v>7</v>
      </c>
    </row>
    <row r="360" spans="2:26" ht="15.75" customHeight="1">
      <c r="B360" s="287" t="s">
        <v>660</v>
      </c>
      <c r="C360" s="290"/>
      <c r="D360" s="289">
        <v>46110</v>
      </c>
      <c r="E360" s="330">
        <f t="shared" si="30"/>
        <v>46112</v>
      </c>
      <c r="F360" s="331">
        <f t="shared" si="31"/>
        <v>3</v>
      </c>
      <c r="G360" s="289">
        <v>45936</v>
      </c>
      <c r="H360" s="330">
        <f t="shared" si="32"/>
        <v>45961</v>
      </c>
      <c r="I360" s="331">
        <f t="shared" si="33"/>
        <v>2025</v>
      </c>
      <c r="J360" s="290">
        <f t="shared" si="34"/>
        <v>174</v>
      </c>
      <c r="K360" s="294"/>
      <c r="L360" s="297"/>
      <c r="M360" s="297"/>
      <c r="N360" s="332" t="s">
        <v>248</v>
      </c>
      <c r="O360" s="3">
        <v>8250</v>
      </c>
      <c r="P360" s="298"/>
      <c r="Q360" s="3">
        <f t="shared" si="35"/>
        <v>8250</v>
      </c>
      <c r="R360" s="346">
        <f t="shared" si="36"/>
        <v>8250</v>
      </c>
      <c r="S360" s="346"/>
      <c r="T360" s="329"/>
      <c r="Z360" s="3">
        <f t="shared" si="29"/>
        <v>1</v>
      </c>
    </row>
    <row r="361" spans="2:26" ht="15.75" customHeight="1">
      <c r="B361" s="287" t="s">
        <v>661</v>
      </c>
      <c r="C361" s="290"/>
      <c r="D361" s="289">
        <v>46115</v>
      </c>
      <c r="E361" s="330">
        <f t="shared" si="30"/>
        <v>46142</v>
      </c>
      <c r="F361" s="331">
        <f t="shared" si="31"/>
        <v>5</v>
      </c>
      <c r="G361" s="289">
        <v>45902</v>
      </c>
      <c r="H361" s="330">
        <f t="shared" si="32"/>
        <v>45930</v>
      </c>
      <c r="I361" s="331">
        <f t="shared" si="33"/>
        <v>2025</v>
      </c>
      <c r="J361" s="290">
        <f t="shared" si="34"/>
        <v>213</v>
      </c>
      <c r="K361" s="294"/>
      <c r="L361" s="297"/>
      <c r="M361" s="297"/>
      <c r="N361" s="332" t="s">
        <v>248</v>
      </c>
      <c r="O361" s="3">
        <v>7500</v>
      </c>
      <c r="P361" s="298"/>
      <c r="Q361" s="3">
        <f t="shared" si="35"/>
        <v>7500</v>
      </c>
      <c r="R361" s="346">
        <f t="shared" si="36"/>
        <v>7500</v>
      </c>
      <c r="S361" s="346"/>
      <c r="T361" s="329"/>
      <c r="Z361" s="3">
        <f t="shared" si="29"/>
        <v>6</v>
      </c>
    </row>
    <row r="362" spans="2:26" ht="15.75" customHeight="1">
      <c r="B362" s="287" t="s">
        <v>662</v>
      </c>
      <c r="C362" s="290"/>
      <c r="D362" s="289">
        <v>46116</v>
      </c>
      <c r="E362" s="330">
        <f t="shared" si="30"/>
        <v>46142</v>
      </c>
      <c r="F362" s="331">
        <f t="shared" si="31"/>
        <v>5</v>
      </c>
      <c r="G362" s="289">
        <v>45661</v>
      </c>
      <c r="H362" s="330">
        <f t="shared" si="32"/>
        <v>45688</v>
      </c>
      <c r="I362" s="331">
        <f t="shared" si="33"/>
        <v>2025</v>
      </c>
      <c r="J362" s="290">
        <f t="shared" si="34"/>
        <v>455</v>
      </c>
      <c r="K362" s="294"/>
      <c r="L362" s="297"/>
      <c r="M362" s="297"/>
      <c r="N362" s="332" t="s">
        <v>248</v>
      </c>
      <c r="O362" s="3">
        <v>8000</v>
      </c>
      <c r="P362" s="298"/>
      <c r="Q362" s="3">
        <f t="shared" si="35"/>
        <v>8000</v>
      </c>
      <c r="R362" s="346">
        <f t="shared" si="36"/>
        <v>8000</v>
      </c>
      <c r="S362" s="346"/>
      <c r="T362" s="329"/>
      <c r="Z362" s="3">
        <f t="shared" si="29"/>
        <v>7</v>
      </c>
    </row>
    <row r="363" spans="2:26" ht="15.75" customHeight="1">
      <c r="B363" s="287" t="s">
        <v>665</v>
      </c>
      <c r="C363" s="290"/>
      <c r="D363" s="289">
        <v>46123</v>
      </c>
      <c r="E363" s="330">
        <f t="shared" si="30"/>
        <v>46142</v>
      </c>
      <c r="F363" s="331">
        <f t="shared" si="31"/>
        <v>5</v>
      </c>
      <c r="G363" s="289">
        <v>45918</v>
      </c>
      <c r="H363" s="330">
        <f t="shared" si="32"/>
        <v>45930</v>
      </c>
      <c r="I363" s="331">
        <f t="shared" si="33"/>
        <v>2025</v>
      </c>
      <c r="J363" s="290">
        <f t="shared" si="34"/>
        <v>205</v>
      </c>
      <c r="K363" s="294"/>
      <c r="L363" s="297"/>
      <c r="M363" s="297"/>
      <c r="N363" s="332" t="s">
        <v>248</v>
      </c>
      <c r="O363" s="3">
        <v>7250</v>
      </c>
      <c r="P363" s="298"/>
      <c r="Q363" s="3">
        <f t="shared" si="35"/>
        <v>7250</v>
      </c>
      <c r="R363" s="346">
        <f t="shared" si="36"/>
        <v>7250</v>
      </c>
      <c r="S363" s="346"/>
      <c r="T363" s="329"/>
      <c r="Z363" s="3">
        <f t="shared" si="29"/>
        <v>7</v>
      </c>
    </row>
    <row r="364" spans="2:26" ht="15.75" customHeight="1">
      <c r="B364" s="287" t="s">
        <v>670</v>
      </c>
      <c r="C364" s="290"/>
      <c r="D364" s="289">
        <v>46130</v>
      </c>
      <c r="E364" s="330">
        <f t="shared" si="30"/>
        <v>46142</v>
      </c>
      <c r="F364" s="331">
        <f t="shared" si="31"/>
        <v>5</v>
      </c>
      <c r="G364" s="289">
        <v>45743</v>
      </c>
      <c r="H364" s="330">
        <f t="shared" si="32"/>
        <v>45747</v>
      </c>
      <c r="I364" s="331">
        <f t="shared" si="33"/>
        <v>2025</v>
      </c>
      <c r="J364" s="290">
        <f t="shared" si="34"/>
        <v>387</v>
      </c>
      <c r="K364" s="294"/>
      <c r="L364" s="297"/>
      <c r="M364" s="297"/>
      <c r="N364" s="332" t="s">
        <v>248</v>
      </c>
      <c r="O364" s="3">
        <v>7000</v>
      </c>
      <c r="P364" s="298"/>
      <c r="Q364" s="3">
        <f t="shared" si="35"/>
        <v>7000</v>
      </c>
      <c r="R364" s="346">
        <f t="shared" si="36"/>
        <v>7000</v>
      </c>
      <c r="S364" s="346"/>
      <c r="T364" s="329"/>
      <c r="Z364" s="3">
        <f t="shared" si="29"/>
        <v>7</v>
      </c>
    </row>
    <row r="365" spans="2:26" ht="15.75" customHeight="1">
      <c r="B365" s="287" t="s">
        <v>675</v>
      </c>
      <c r="C365" s="290"/>
      <c r="D365" s="289">
        <v>46136</v>
      </c>
      <c r="E365" s="330">
        <f t="shared" si="30"/>
        <v>46142</v>
      </c>
      <c r="F365" s="331">
        <f t="shared" si="31"/>
        <v>5</v>
      </c>
      <c r="G365" s="289">
        <v>45868</v>
      </c>
      <c r="H365" s="330">
        <f t="shared" si="32"/>
        <v>45869</v>
      </c>
      <c r="I365" s="331">
        <f t="shared" si="33"/>
        <v>2025</v>
      </c>
      <c r="J365" s="290">
        <f t="shared" si="34"/>
        <v>268</v>
      </c>
      <c r="K365" s="294"/>
      <c r="L365" s="297"/>
      <c r="M365" s="297"/>
      <c r="N365" s="332" t="s">
        <v>248</v>
      </c>
      <c r="O365" s="3">
        <v>0</v>
      </c>
      <c r="P365" s="298"/>
      <c r="Q365" s="3">
        <f t="shared" si="35"/>
        <v>0</v>
      </c>
      <c r="R365" s="346">
        <f t="shared" si="36"/>
        <v>0</v>
      </c>
      <c r="S365" s="346"/>
      <c r="T365" s="329"/>
      <c r="Z365" s="3">
        <f t="shared" si="29"/>
        <v>6</v>
      </c>
    </row>
    <row r="366" spans="2:26" ht="15.75" customHeight="1">
      <c r="B366" s="287" t="s">
        <v>677</v>
      </c>
      <c r="C366" s="290"/>
      <c r="D366" s="289">
        <v>46137</v>
      </c>
      <c r="E366" s="330">
        <f t="shared" si="30"/>
        <v>46142</v>
      </c>
      <c r="F366" s="331">
        <f t="shared" si="31"/>
        <v>5</v>
      </c>
      <c r="G366" s="289">
        <v>45749</v>
      </c>
      <c r="H366" s="330">
        <f t="shared" si="32"/>
        <v>45777</v>
      </c>
      <c r="I366" s="331">
        <f t="shared" si="33"/>
        <v>2025</v>
      </c>
      <c r="J366" s="290">
        <f t="shared" si="34"/>
        <v>388</v>
      </c>
      <c r="K366" s="294"/>
      <c r="L366" s="297"/>
      <c r="M366" s="297"/>
      <c r="N366" s="332" t="s">
        <v>248</v>
      </c>
      <c r="O366" s="3">
        <v>7000</v>
      </c>
      <c r="P366" s="298"/>
      <c r="Q366" s="3">
        <f t="shared" si="35"/>
        <v>7000</v>
      </c>
      <c r="R366" s="346">
        <f t="shared" si="36"/>
        <v>7000</v>
      </c>
      <c r="S366" s="346"/>
      <c r="T366" s="329"/>
      <c r="Z366" s="3">
        <f t="shared" si="29"/>
        <v>7</v>
      </c>
    </row>
    <row r="367" spans="2:26" ht="15.75" customHeight="1">
      <c r="B367" s="287" t="s">
        <v>681</v>
      </c>
      <c r="C367" s="290"/>
      <c r="D367" s="289">
        <v>46143</v>
      </c>
      <c r="E367" s="330">
        <f t="shared" si="30"/>
        <v>46173</v>
      </c>
      <c r="F367" s="331">
        <f t="shared" si="31"/>
        <v>1</v>
      </c>
      <c r="G367" s="289">
        <v>45587</v>
      </c>
      <c r="H367" s="330">
        <f t="shared" si="32"/>
        <v>45596</v>
      </c>
      <c r="I367" s="331">
        <f t="shared" si="33"/>
        <v>2024</v>
      </c>
      <c r="J367" s="290">
        <f t="shared" si="34"/>
        <v>556</v>
      </c>
      <c r="K367" s="294"/>
      <c r="L367" s="297"/>
      <c r="M367" s="297"/>
      <c r="N367" s="332" t="s">
        <v>248</v>
      </c>
      <c r="O367" s="3">
        <v>5000</v>
      </c>
      <c r="P367" s="298"/>
      <c r="Q367" s="3">
        <f t="shared" si="35"/>
        <v>5000</v>
      </c>
      <c r="R367" s="346">
        <f t="shared" si="36"/>
        <v>5000</v>
      </c>
      <c r="S367" s="346"/>
      <c r="T367" s="329"/>
      <c r="Z367" s="3">
        <f t="shared" si="29"/>
        <v>6</v>
      </c>
    </row>
    <row r="368" spans="2:26" ht="15.75" customHeight="1">
      <c r="B368" s="287" t="s">
        <v>681</v>
      </c>
      <c r="C368" s="290"/>
      <c r="D368" s="289">
        <v>46144</v>
      </c>
      <c r="E368" s="330">
        <f t="shared" si="30"/>
        <v>46173</v>
      </c>
      <c r="F368" s="331">
        <f t="shared" si="31"/>
        <v>1</v>
      </c>
      <c r="G368" s="289">
        <v>45587</v>
      </c>
      <c r="H368" s="330">
        <f t="shared" si="32"/>
        <v>45596</v>
      </c>
      <c r="I368" s="331">
        <f t="shared" si="33"/>
        <v>2024</v>
      </c>
      <c r="J368" s="290">
        <f t="shared" si="34"/>
        <v>557</v>
      </c>
      <c r="K368" s="294"/>
      <c r="L368" s="297"/>
      <c r="M368" s="297"/>
      <c r="N368" s="332" t="s">
        <v>248</v>
      </c>
      <c r="O368" s="3">
        <v>6750</v>
      </c>
      <c r="P368" s="298"/>
      <c r="Q368" s="3">
        <f t="shared" si="35"/>
        <v>6750</v>
      </c>
      <c r="R368" s="346">
        <f t="shared" si="36"/>
        <v>6750</v>
      </c>
      <c r="S368" s="346"/>
      <c r="T368" s="329"/>
      <c r="Z368" s="3">
        <f t="shared" si="29"/>
        <v>7</v>
      </c>
    </row>
    <row r="369" spans="1:26" ht="15.75" customHeight="1">
      <c r="B369" s="287" t="s">
        <v>909</v>
      </c>
      <c r="C369" s="290"/>
      <c r="D369" s="289">
        <v>46146</v>
      </c>
      <c r="E369" s="330">
        <f t="shared" si="30"/>
        <v>46173</v>
      </c>
      <c r="F369" s="331">
        <f t="shared" si="31"/>
        <v>1</v>
      </c>
      <c r="G369" s="289">
        <v>45985</v>
      </c>
      <c r="H369" s="330">
        <f t="shared" si="32"/>
        <v>45991</v>
      </c>
      <c r="I369" s="331">
        <f t="shared" si="33"/>
        <v>2025</v>
      </c>
      <c r="J369" s="290">
        <f t="shared" si="34"/>
        <v>161</v>
      </c>
      <c r="K369" s="294"/>
      <c r="L369" s="297"/>
      <c r="M369" s="297"/>
      <c r="N369" s="332" t="s">
        <v>249</v>
      </c>
      <c r="O369" s="3">
        <v>0</v>
      </c>
      <c r="P369" s="298"/>
      <c r="Q369" s="3">
        <f t="shared" si="35"/>
        <v>0</v>
      </c>
      <c r="R369" s="346">
        <f t="shared" si="36"/>
        <v>0</v>
      </c>
      <c r="S369" s="346"/>
      <c r="T369" s="329"/>
      <c r="Z369" s="3">
        <f t="shared" si="29"/>
        <v>2</v>
      </c>
    </row>
    <row r="370" spans="1:26" ht="15.75" customHeight="1">
      <c r="B370" s="287" t="s">
        <v>1223</v>
      </c>
      <c r="C370" s="290"/>
      <c r="D370" s="289">
        <v>46151</v>
      </c>
      <c r="E370" s="330">
        <f t="shared" si="30"/>
        <v>46173</v>
      </c>
      <c r="F370" s="331">
        <f t="shared" si="31"/>
        <v>1</v>
      </c>
      <c r="G370" s="289">
        <v>45775</v>
      </c>
      <c r="H370" s="330">
        <f t="shared" si="32"/>
        <v>45777</v>
      </c>
      <c r="I370" s="331">
        <f t="shared" si="33"/>
        <v>2025</v>
      </c>
      <c r="J370" s="290">
        <f t="shared" si="34"/>
        <v>376</v>
      </c>
      <c r="K370" s="294"/>
      <c r="L370" s="297"/>
      <c r="M370" s="297"/>
      <c r="N370" s="332" t="s">
        <v>248</v>
      </c>
      <c r="O370" s="3">
        <v>7000</v>
      </c>
      <c r="P370" s="298"/>
      <c r="Q370" s="3">
        <f t="shared" si="35"/>
        <v>7000</v>
      </c>
      <c r="R370" s="346">
        <f t="shared" si="36"/>
        <v>7000</v>
      </c>
      <c r="S370" s="346"/>
      <c r="T370" s="329"/>
      <c r="Z370" s="3">
        <f t="shared" si="29"/>
        <v>7</v>
      </c>
    </row>
    <row r="371" spans="1:26" ht="15.75" customHeight="1">
      <c r="A371" s="3">
        <v>1</v>
      </c>
      <c r="B371" s="287" t="s">
        <v>693</v>
      </c>
      <c r="C371" s="290"/>
      <c r="D371" s="289">
        <v>46158</v>
      </c>
      <c r="E371" s="330">
        <f t="shared" si="30"/>
        <v>46173</v>
      </c>
      <c r="F371" s="331">
        <f t="shared" si="31"/>
        <v>1</v>
      </c>
      <c r="G371" s="289">
        <v>45817</v>
      </c>
      <c r="H371" s="330">
        <f t="shared" si="32"/>
        <v>45838</v>
      </c>
      <c r="I371" s="331">
        <f t="shared" si="33"/>
        <v>2025</v>
      </c>
      <c r="J371" s="290">
        <f t="shared" si="34"/>
        <v>341</v>
      </c>
      <c r="K371" s="294"/>
      <c r="L371" s="297"/>
      <c r="M371" s="297"/>
      <c r="N371" s="332" t="s">
        <v>248</v>
      </c>
      <c r="O371" s="3">
        <v>7000</v>
      </c>
      <c r="P371" s="298"/>
      <c r="Q371" s="3">
        <f t="shared" si="35"/>
        <v>7000</v>
      </c>
      <c r="R371" s="346">
        <f t="shared" si="36"/>
        <v>7000</v>
      </c>
      <c r="S371" s="346"/>
      <c r="T371" s="329"/>
      <c r="Z371" s="3">
        <f t="shared" si="29"/>
        <v>7</v>
      </c>
    </row>
    <row r="372" spans="1:26" ht="15.75" customHeight="1">
      <c r="A372" s="3">
        <v>1</v>
      </c>
      <c r="B372" s="287" t="s">
        <v>1224</v>
      </c>
      <c r="C372" s="290"/>
      <c r="D372" s="289">
        <v>46165</v>
      </c>
      <c r="E372" s="330">
        <f t="shared" si="30"/>
        <v>46173</v>
      </c>
      <c r="F372" s="331">
        <f t="shared" si="31"/>
        <v>1</v>
      </c>
      <c r="G372" s="289">
        <v>45746</v>
      </c>
      <c r="H372" s="330">
        <f t="shared" si="32"/>
        <v>45747</v>
      </c>
      <c r="I372" s="331">
        <f t="shared" si="33"/>
        <v>2025</v>
      </c>
      <c r="J372" s="290">
        <f t="shared" si="34"/>
        <v>419</v>
      </c>
      <c r="K372" s="294"/>
      <c r="L372" s="297"/>
      <c r="M372" s="297"/>
      <c r="N372" s="332" t="s">
        <v>248</v>
      </c>
      <c r="O372" s="3">
        <v>6650</v>
      </c>
      <c r="P372" s="298"/>
      <c r="Q372" s="3">
        <f t="shared" si="35"/>
        <v>6650</v>
      </c>
      <c r="R372" s="346">
        <f t="shared" si="36"/>
        <v>6650</v>
      </c>
      <c r="S372" s="346"/>
      <c r="T372" s="329"/>
      <c r="Z372" s="3">
        <f t="shared" si="29"/>
        <v>7</v>
      </c>
    </row>
    <row r="373" spans="1:26" ht="15.75" customHeight="1">
      <c r="A373" s="3">
        <v>1</v>
      </c>
      <c r="B373" s="287" t="s">
        <v>708</v>
      </c>
      <c r="C373" s="290"/>
      <c r="D373" s="289">
        <v>46171</v>
      </c>
      <c r="E373" s="330">
        <f t="shared" si="30"/>
        <v>46173</v>
      </c>
      <c r="F373" s="331">
        <f t="shared" si="31"/>
        <v>1</v>
      </c>
      <c r="G373" s="289">
        <v>45986</v>
      </c>
      <c r="H373" s="330">
        <f t="shared" si="32"/>
        <v>45991</v>
      </c>
      <c r="I373" s="331">
        <f t="shared" si="33"/>
        <v>2025</v>
      </c>
      <c r="J373" s="290">
        <f t="shared" si="34"/>
        <v>185</v>
      </c>
      <c r="K373" s="294"/>
      <c r="L373" s="297"/>
      <c r="M373" s="297"/>
      <c r="N373" s="332" t="s">
        <v>248</v>
      </c>
      <c r="O373" s="3">
        <v>7500</v>
      </c>
      <c r="P373" s="298"/>
      <c r="Q373" s="3">
        <f t="shared" si="35"/>
        <v>7500</v>
      </c>
      <c r="R373" s="346">
        <f t="shared" si="36"/>
        <v>7500</v>
      </c>
      <c r="S373" s="346"/>
      <c r="T373" s="329"/>
      <c r="Z373" s="3">
        <f t="shared" si="29"/>
        <v>6</v>
      </c>
    </row>
    <row r="374" spans="1:26" ht="15.75" customHeight="1">
      <c r="A374" s="3">
        <v>1</v>
      </c>
      <c r="B374" s="287" t="s">
        <v>712</v>
      </c>
      <c r="C374" s="290"/>
      <c r="D374" s="289">
        <v>46172</v>
      </c>
      <c r="E374" s="330">
        <f t="shared" si="30"/>
        <v>46173</v>
      </c>
      <c r="F374" s="331">
        <f t="shared" si="31"/>
        <v>1</v>
      </c>
      <c r="G374" s="289">
        <v>45753</v>
      </c>
      <c r="H374" s="330">
        <f t="shared" si="32"/>
        <v>45777</v>
      </c>
      <c r="I374" s="331">
        <f t="shared" si="33"/>
        <v>2025</v>
      </c>
      <c r="J374" s="290">
        <f t="shared" si="34"/>
        <v>419</v>
      </c>
      <c r="K374" s="294"/>
      <c r="L374" s="297"/>
      <c r="M374" s="297"/>
      <c r="N374" s="332" t="s">
        <v>248</v>
      </c>
      <c r="O374" s="3">
        <v>7000</v>
      </c>
      <c r="P374" s="298"/>
      <c r="Q374" s="3">
        <f t="shared" si="35"/>
        <v>7000</v>
      </c>
      <c r="R374" s="346">
        <f t="shared" si="36"/>
        <v>7000</v>
      </c>
      <c r="S374" s="346"/>
      <c r="T374" s="329"/>
      <c r="Z374" s="3">
        <f t="shared" si="29"/>
        <v>7</v>
      </c>
    </row>
    <row r="375" spans="1:26" ht="15.75" customHeight="1">
      <c r="A375" s="3">
        <v>1</v>
      </c>
      <c r="B375" s="287" t="s">
        <v>717</v>
      </c>
      <c r="C375" s="290"/>
      <c r="D375" s="289">
        <v>46179</v>
      </c>
      <c r="E375" s="330">
        <f t="shared" si="30"/>
        <v>46203</v>
      </c>
      <c r="F375" s="331">
        <f t="shared" si="31"/>
        <v>3</v>
      </c>
      <c r="G375" s="289">
        <v>45891</v>
      </c>
      <c r="H375" s="330">
        <f t="shared" si="32"/>
        <v>45900</v>
      </c>
      <c r="I375" s="331">
        <f t="shared" si="33"/>
        <v>2025</v>
      </c>
      <c r="J375" s="290">
        <f t="shared" si="34"/>
        <v>288</v>
      </c>
      <c r="K375" s="294"/>
      <c r="L375" s="297"/>
      <c r="M375" s="297"/>
      <c r="N375" s="332" t="s">
        <v>248</v>
      </c>
      <c r="O375" s="3">
        <v>7250</v>
      </c>
      <c r="P375" s="298"/>
      <c r="Q375" s="3">
        <f t="shared" si="35"/>
        <v>7250</v>
      </c>
      <c r="R375" s="3">
        <v>7250</v>
      </c>
      <c r="T375" s="329"/>
      <c r="Z375" s="3">
        <f t="shared" si="29"/>
        <v>7</v>
      </c>
    </row>
    <row r="376" spans="1:26" ht="15.75" customHeight="1">
      <c r="A376" s="3">
        <v>1</v>
      </c>
      <c r="B376" s="287" t="s">
        <v>723</v>
      </c>
      <c r="C376" s="290"/>
      <c r="D376" s="289">
        <v>46186</v>
      </c>
      <c r="E376" s="330">
        <f t="shared" si="30"/>
        <v>46203</v>
      </c>
      <c r="F376" s="331">
        <f t="shared" si="31"/>
        <v>3</v>
      </c>
      <c r="G376" s="289">
        <v>45801</v>
      </c>
      <c r="H376" s="330">
        <f t="shared" si="32"/>
        <v>45808</v>
      </c>
      <c r="I376" s="331">
        <f t="shared" si="33"/>
        <v>2025</v>
      </c>
      <c r="J376" s="290">
        <f t="shared" si="34"/>
        <v>385</v>
      </c>
      <c r="K376" s="294"/>
      <c r="L376" s="297"/>
      <c r="M376" s="297"/>
      <c r="N376" s="332" t="s">
        <v>248</v>
      </c>
      <c r="O376" s="3">
        <v>7000</v>
      </c>
      <c r="P376" s="298"/>
      <c r="Q376" s="3">
        <f t="shared" si="35"/>
        <v>7000</v>
      </c>
      <c r="R376" s="3">
        <v>5340</v>
      </c>
      <c r="T376" s="329"/>
      <c r="Z376" s="3">
        <f t="shared" si="29"/>
        <v>7</v>
      </c>
    </row>
    <row r="377" spans="1:26" ht="15.75" customHeight="1">
      <c r="A377" s="3">
        <v>1</v>
      </c>
      <c r="B377" s="287" t="s">
        <v>739</v>
      </c>
      <c r="C377" s="290"/>
      <c r="D377" s="289">
        <v>46228</v>
      </c>
      <c r="E377" s="330">
        <f t="shared" si="30"/>
        <v>46234</v>
      </c>
      <c r="F377" s="331">
        <f t="shared" si="31"/>
        <v>6</v>
      </c>
      <c r="G377" s="289">
        <v>45992</v>
      </c>
      <c r="H377" s="330">
        <f t="shared" si="32"/>
        <v>46022</v>
      </c>
      <c r="I377" s="331">
        <f t="shared" si="33"/>
        <v>2025</v>
      </c>
      <c r="J377" s="290">
        <f t="shared" si="34"/>
        <v>236</v>
      </c>
      <c r="K377" s="294"/>
      <c r="L377" s="297"/>
      <c r="M377" s="297"/>
      <c r="N377" s="332" t="s">
        <v>248</v>
      </c>
      <c r="O377" s="3">
        <v>7250</v>
      </c>
      <c r="P377" s="298"/>
      <c r="Q377" s="3">
        <f t="shared" si="35"/>
        <v>7250</v>
      </c>
      <c r="R377" s="3">
        <v>3750</v>
      </c>
      <c r="T377" s="329"/>
      <c r="Z377" s="3">
        <f t="shared" si="29"/>
        <v>7</v>
      </c>
    </row>
    <row r="378" spans="1:26" ht="15.75" customHeight="1">
      <c r="A378" s="3">
        <v>1</v>
      </c>
      <c r="B378" s="287" t="s">
        <v>744</v>
      </c>
      <c r="C378" s="290"/>
      <c r="D378" s="289">
        <v>46235</v>
      </c>
      <c r="E378" s="330">
        <f t="shared" si="30"/>
        <v>46265</v>
      </c>
      <c r="F378" s="331">
        <f t="shared" si="31"/>
        <v>2</v>
      </c>
      <c r="G378" s="289">
        <v>45996</v>
      </c>
      <c r="H378" s="330">
        <f t="shared" si="32"/>
        <v>46022</v>
      </c>
      <c r="I378" s="331">
        <f t="shared" si="33"/>
        <v>2025</v>
      </c>
      <c r="J378" s="290">
        <f t="shared" si="34"/>
        <v>239</v>
      </c>
      <c r="K378" s="294"/>
      <c r="L378" s="297"/>
      <c r="M378" s="297"/>
      <c r="N378" s="332" t="s">
        <v>248</v>
      </c>
      <c r="O378" s="3">
        <v>7000</v>
      </c>
      <c r="P378" s="298"/>
      <c r="Q378" s="3">
        <f t="shared" si="35"/>
        <v>7000</v>
      </c>
      <c r="R378" s="3">
        <v>3666</v>
      </c>
      <c r="T378" s="329"/>
      <c r="Z378" s="3">
        <f t="shared" si="29"/>
        <v>7</v>
      </c>
    </row>
    <row r="379" spans="1:26" ht="15.75" customHeight="1">
      <c r="A379" s="3">
        <v>1</v>
      </c>
      <c r="B379" s="287" t="s">
        <v>755</v>
      </c>
      <c r="C379" s="290"/>
      <c r="D379" s="289">
        <v>46263</v>
      </c>
      <c r="E379" s="330">
        <f t="shared" si="30"/>
        <v>46265</v>
      </c>
      <c r="F379" s="331">
        <f t="shared" si="31"/>
        <v>2</v>
      </c>
      <c r="G379" s="289">
        <v>46069</v>
      </c>
      <c r="H379" s="330">
        <f t="shared" si="32"/>
        <v>46081</v>
      </c>
      <c r="I379" s="331">
        <f t="shared" si="33"/>
        <v>2026</v>
      </c>
      <c r="J379" s="290">
        <f t="shared" si="34"/>
        <v>194</v>
      </c>
      <c r="K379" s="294"/>
      <c r="L379" s="297"/>
      <c r="M379" s="297"/>
      <c r="N379" s="332" t="s">
        <v>248</v>
      </c>
      <c r="O379" s="3">
        <v>7250</v>
      </c>
      <c r="P379" s="298"/>
      <c r="Q379" s="3">
        <f t="shared" si="35"/>
        <v>7250</v>
      </c>
      <c r="R379" s="3">
        <v>2000</v>
      </c>
      <c r="T379" s="329"/>
      <c r="Z379" s="3">
        <f t="shared" si="29"/>
        <v>7</v>
      </c>
    </row>
    <row r="380" spans="1:26" ht="15.75" customHeight="1">
      <c r="A380" s="3">
        <v>1</v>
      </c>
      <c r="B380" s="287" t="s">
        <v>763</v>
      </c>
      <c r="C380" s="290"/>
      <c r="D380" s="289">
        <v>46270</v>
      </c>
      <c r="E380" s="330">
        <f t="shared" si="30"/>
        <v>46295</v>
      </c>
      <c r="F380" s="331">
        <f t="shared" si="31"/>
        <v>4</v>
      </c>
      <c r="G380" s="289">
        <v>45621</v>
      </c>
      <c r="H380" s="330">
        <f t="shared" si="32"/>
        <v>45626</v>
      </c>
      <c r="I380" s="331">
        <f t="shared" si="33"/>
        <v>2024</v>
      </c>
      <c r="J380" s="290">
        <f t="shared" si="34"/>
        <v>649</v>
      </c>
      <c r="K380" s="294"/>
      <c r="L380" s="297"/>
      <c r="M380" s="297"/>
      <c r="N380" s="332" t="s">
        <v>248</v>
      </c>
      <c r="O380" s="3">
        <v>6650</v>
      </c>
      <c r="P380" s="298"/>
      <c r="Q380" s="3">
        <f t="shared" si="35"/>
        <v>6650</v>
      </c>
      <c r="R380" s="3">
        <v>6650</v>
      </c>
      <c r="T380" s="329"/>
      <c r="Z380" s="3">
        <f t="shared" si="29"/>
        <v>7</v>
      </c>
    </row>
    <row r="381" spans="1:26" ht="15.75" customHeight="1">
      <c r="A381" s="3">
        <v>1</v>
      </c>
      <c r="B381" s="287" t="s">
        <v>770</v>
      </c>
      <c r="C381" s="290"/>
      <c r="D381" s="289">
        <v>46277</v>
      </c>
      <c r="E381" s="330">
        <f t="shared" si="30"/>
        <v>46295</v>
      </c>
      <c r="F381" s="331">
        <f t="shared" si="31"/>
        <v>4</v>
      </c>
      <c r="G381" s="289">
        <v>45850</v>
      </c>
      <c r="H381" s="330">
        <f t="shared" si="32"/>
        <v>45869</v>
      </c>
      <c r="I381" s="331">
        <f t="shared" si="33"/>
        <v>2025</v>
      </c>
      <c r="J381" s="290">
        <f t="shared" si="34"/>
        <v>427</v>
      </c>
      <c r="K381" s="294"/>
      <c r="L381" s="297"/>
      <c r="M381" s="297"/>
      <c r="N381" s="332" t="s">
        <v>248</v>
      </c>
      <c r="O381" s="3">
        <v>7000</v>
      </c>
      <c r="P381" s="298"/>
      <c r="Q381" s="3">
        <f t="shared" si="35"/>
        <v>7000</v>
      </c>
      <c r="R381" s="3">
        <v>3670</v>
      </c>
      <c r="T381" s="329"/>
      <c r="Z381" s="3">
        <f t="shared" si="29"/>
        <v>7</v>
      </c>
    </row>
    <row r="382" spans="1:26" ht="15.75" customHeight="1">
      <c r="A382" s="3">
        <v>1</v>
      </c>
      <c r="B382" s="287" t="s">
        <v>773</v>
      </c>
      <c r="C382" s="290"/>
      <c r="D382" s="289">
        <v>46283</v>
      </c>
      <c r="E382" s="330">
        <f t="shared" si="30"/>
        <v>46295</v>
      </c>
      <c r="F382" s="331">
        <f t="shared" si="31"/>
        <v>4</v>
      </c>
      <c r="G382" s="289">
        <v>45916</v>
      </c>
      <c r="H382" s="330">
        <f t="shared" si="32"/>
        <v>45930</v>
      </c>
      <c r="I382" s="331">
        <f t="shared" si="33"/>
        <v>2025</v>
      </c>
      <c r="J382" s="290">
        <f t="shared" si="34"/>
        <v>367</v>
      </c>
      <c r="K382" s="294"/>
      <c r="L382" s="297"/>
      <c r="M382" s="297"/>
      <c r="N382" s="332" t="s">
        <v>248</v>
      </c>
      <c r="O382" s="3">
        <v>6500</v>
      </c>
      <c r="P382" s="298"/>
      <c r="Q382" s="3">
        <f t="shared" si="35"/>
        <v>6500</v>
      </c>
      <c r="R382" s="3">
        <v>3500</v>
      </c>
      <c r="T382" s="329"/>
      <c r="Z382" s="3">
        <f t="shared" si="29"/>
        <v>6</v>
      </c>
    </row>
    <row r="383" spans="1:26" ht="15.75" customHeight="1">
      <c r="A383" s="3">
        <v>1</v>
      </c>
      <c r="B383" s="287" t="s">
        <v>616</v>
      </c>
      <c r="C383" s="290"/>
      <c r="D383" s="289">
        <v>46284</v>
      </c>
      <c r="E383" s="330">
        <f t="shared" si="30"/>
        <v>46295</v>
      </c>
      <c r="F383" s="331">
        <f t="shared" si="31"/>
        <v>4</v>
      </c>
      <c r="G383" s="289">
        <v>45868</v>
      </c>
      <c r="H383" s="330">
        <f t="shared" si="32"/>
        <v>45869</v>
      </c>
      <c r="I383" s="331">
        <f t="shared" si="33"/>
        <v>2025</v>
      </c>
      <c r="J383" s="290">
        <f t="shared" si="34"/>
        <v>416</v>
      </c>
      <c r="K383" s="294"/>
      <c r="L383" s="297"/>
      <c r="M383" s="297"/>
      <c r="N383" s="332" t="s">
        <v>248</v>
      </c>
      <c r="O383" s="3">
        <v>7000</v>
      </c>
      <c r="P383" s="298"/>
      <c r="Q383" s="3">
        <f t="shared" si="35"/>
        <v>7000</v>
      </c>
      <c r="R383" s="3" t="s">
        <v>1225</v>
      </c>
      <c r="T383" s="329"/>
      <c r="Z383" s="3">
        <f t="shared" si="29"/>
        <v>7</v>
      </c>
    </row>
    <row r="384" spans="1:26" ht="15.75" customHeight="1">
      <c r="A384" s="3">
        <v>1</v>
      </c>
      <c r="B384" s="287" t="s">
        <v>780</v>
      </c>
      <c r="C384" s="290"/>
      <c r="D384" s="289">
        <v>46291</v>
      </c>
      <c r="E384" s="330">
        <f t="shared" si="30"/>
        <v>46295</v>
      </c>
      <c r="F384" s="331">
        <f t="shared" si="31"/>
        <v>4</v>
      </c>
      <c r="G384" s="289">
        <v>45869</v>
      </c>
      <c r="H384" s="330">
        <f t="shared" si="32"/>
        <v>45869</v>
      </c>
      <c r="I384" s="331">
        <f t="shared" si="33"/>
        <v>2025</v>
      </c>
      <c r="J384" s="290">
        <f t="shared" si="34"/>
        <v>422</v>
      </c>
      <c r="K384" s="294"/>
      <c r="L384" s="297"/>
      <c r="M384" s="297"/>
      <c r="N384" s="332" t="s">
        <v>248</v>
      </c>
      <c r="O384" s="3">
        <v>7000</v>
      </c>
      <c r="P384" s="298"/>
      <c r="Q384" s="3">
        <f t="shared" si="35"/>
        <v>7000</v>
      </c>
      <c r="R384" s="3">
        <v>3665</v>
      </c>
      <c r="T384" s="329"/>
      <c r="Z384" s="3">
        <f t="shared" si="29"/>
        <v>7</v>
      </c>
    </row>
    <row r="385" spans="1:26" ht="15.75" customHeight="1">
      <c r="A385" s="3">
        <v>1</v>
      </c>
      <c r="B385" s="287" t="s">
        <v>782</v>
      </c>
      <c r="C385" s="290"/>
      <c r="D385" s="289">
        <v>46292</v>
      </c>
      <c r="E385" s="330">
        <f t="shared" si="30"/>
        <v>46295</v>
      </c>
      <c r="F385" s="331">
        <f t="shared" si="31"/>
        <v>4</v>
      </c>
      <c r="G385" s="289">
        <v>45973</v>
      </c>
      <c r="H385" s="330">
        <f t="shared" si="32"/>
        <v>45991</v>
      </c>
      <c r="I385" s="331">
        <f t="shared" si="33"/>
        <v>2025</v>
      </c>
      <c r="J385" s="290">
        <f t="shared" si="34"/>
        <v>319</v>
      </c>
      <c r="K385" s="294"/>
      <c r="L385" s="297"/>
      <c r="M385" s="297"/>
      <c r="N385" s="332" t="s">
        <v>248</v>
      </c>
      <c r="O385" s="3">
        <v>7250</v>
      </c>
      <c r="P385" s="298"/>
      <c r="Q385" s="3">
        <f t="shared" si="35"/>
        <v>7250</v>
      </c>
      <c r="R385" s="3">
        <v>5450</v>
      </c>
      <c r="T385" s="329"/>
      <c r="Z385" s="3">
        <f t="shared" si="29"/>
        <v>1</v>
      </c>
    </row>
    <row r="386" spans="1:26" ht="15.75" customHeight="1">
      <c r="A386" s="3">
        <v>1</v>
      </c>
      <c r="B386" s="287" t="s">
        <v>786</v>
      </c>
      <c r="C386" s="290"/>
      <c r="D386" s="289">
        <v>46297</v>
      </c>
      <c r="E386" s="330">
        <f t="shared" si="30"/>
        <v>46326</v>
      </c>
      <c r="F386" s="331">
        <f t="shared" si="31"/>
        <v>7</v>
      </c>
      <c r="G386" s="289">
        <v>45856</v>
      </c>
      <c r="H386" s="330">
        <f t="shared" si="32"/>
        <v>45869</v>
      </c>
      <c r="I386" s="331">
        <f t="shared" si="33"/>
        <v>2025</v>
      </c>
      <c r="J386" s="290">
        <f t="shared" si="34"/>
        <v>441</v>
      </c>
      <c r="K386" s="294"/>
      <c r="L386" s="297"/>
      <c r="M386" s="297"/>
      <c r="N386" s="332" t="s">
        <v>248</v>
      </c>
      <c r="O386" s="3">
        <v>5225</v>
      </c>
      <c r="P386" s="298"/>
      <c r="Q386" s="3">
        <f t="shared" si="35"/>
        <v>5225</v>
      </c>
      <c r="R386" s="3">
        <v>5225</v>
      </c>
      <c r="T386" s="329"/>
      <c r="Z386" s="3">
        <f t="shared" si="29"/>
        <v>6</v>
      </c>
    </row>
    <row r="387" spans="1:26" ht="15.75" customHeight="1">
      <c r="A387" s="3">
        <v>1</v>
      </c>
      <c r="B387" s="287" t="s">
        <v>788</v>
      </c>
      <c r="C387" s="290"/>
      <c r="D387" s="289">
        <v>46298</v>
      </c>
      <c r="E387" s="330">
        <f t="shared" si="30"/>
        <v>46326</v>
      </c>
      <c r="F387" s="331">
        <f t="shared" si="31"/>
        <v>7</v>
      </c>
      <c r="G387" s="289">
        <v>45687</v>
      </c>
      <c r="H387" s="330">
        <f t="shared" si="32"/>
        <v>45688</v>
      </c>
      <c r="I387" s="331">
        <f t="shared" si="33"/>
        <v>2025</v>
      </c>
      <c r="J387" s="290">
        <f t="shared" si="34"/>
        <v>611</v>
      </c>
      <c r="K387" s="294"/>
      <c r="L387" s="297"/>
      <c r="M387" s="297"/>
      <c r="N387" s="332" t="s">
        <v>248</v>
      </c>
      <c r="O387" s="3">
        <v>7000</v>
      </c>
      <c r="P387" s="298"/>
      <c r="Q387" s="3">
        <f t="shared" si="35"/>
        <v>7000</v>
      </c>
      <c r="R387" s="3">
        <v>3670</v>
      </c>
      <c r="T387" s="329"/>
      <c r="Z387" s="3">
        <f t="shared" si="29"/>
        <v>7</v>
      </c>
    </row>
    <row r="388" spans="1:26" ht="15.75" customHeight="1">
      <c r="A388" s="3">
        <v>1</v>
      </c>
      <c r="B388" s="287" t="s">
        <v>1226</v>
      </c>
      <c r="C388" s="290"/>
      <c r="D388" s="289">
        <v>46304</v>
      </c>
      <c r="E388" s="330">
        <f t="shared" si="30"/>
        <v>46326</v>
      </c>
      <c r="F388" s="331">
        <f t="shared" si="31"/>
        <v>7</v>
      </c>
      <c r="G388" s="289">
        <v>45975</v>
      </c>
      <c r="H388" s="330">
        <f t="shared" si="32"/>
        <v>45991</v>
      </c>
      <c r="I388" s="331">
        <f t="shared" si="33"/>
        <v>2025</v>
      </c>
      <c r="J388" s="290">
        <f t="shared" si="34"/>
        <v>329</v>
      </c>
      <c r="K388" s="294"/>
      <c r="L388" s="297"/>
      <c r="M388" s="297"/>
      <c r="N388" s="332" t="s">
        <v>248</v>
      </c>
      <c r="O388" s="3">
        <v>7350</v>
      </c>
      <c r="P388" s="298"/>
      <c r="Q388" s="3">
        <f t="shared" si="35"/>
        <v>7350</v>
      </c>
      <c r="R388" s="3">
        <v>3785</v>
      </c>
      <c r="T388" s="329"/>
      <c r="Z388" s="3">
        <f t="shared" si="29"/>
        <v>6</v>
      </c>
    </row>
    <row r="389" spans="1:26" ht="15.75" customHeight="1">
      <c r="A389" s="3">
        <v>1</v>
      </c>
      <c r="B389" s="287" t="s">
        <v>618</v>
      </c>
      <c r="C389" s="290"/>
      <c r="D389" s="289">
        <v>46305</v>
      </c>
      <c r="E389" s="330">
        <f t="shared" si="30"/>
        <v>46326</v>
      </c>
      <c r="F389" s="331">
        <f t="shared" si="31"/>
        <v>7</v>
      </c>
      <c r="G389" s="289">
        <v>45749</v>
      </c>
      <c r="H389" s="330">
        <f t="shared" si="32"/>
        <v>45777</v>
      </c>
      <c r="I389" s="331">
        <f t="shared" si="33"/>
        <v>2025</v>
      </c>
      <c r="J389" s="290">
        <f t="shared" si="34"/>
        <v>556</v>
      </c>
      <c r="K389" s="294"/>
      <c r="L389" s="297"/>
      <c r="M389" s="297"/>
      <c r="N389" s="332" t="s">
        <v>248</v>
      </c>
      <c r="O389" s="3">
        <v>7000</v>
      </c>
      <c r="Q389" s="3">
        <f t="shared" si="35"/>
        <v>7000</v>
      </c>
      <c r="R389" s="3" t="s">
        <v>1225</v>
      </c>
      <c r="T389" s="42">
        <v>7634</v>
      </c>
      <c r="Z389" s="3">
        <f t="shared" si="29"/>
        <v>7</v>
      </c>
    </row>
    <row r="390" spans="1:26" ht="15.75" customHeight="1">
      <c r="A390" s="3">
        <v>1</v>
      </c>
      <c r="B390" s="287" t="s">
        <v>799</v>
      </c>
      <c r="C390" s="290"/>
      <c r="D390" s="289">
        <v>46311</v>
      </c>
      <c r="E390" s="330">
        <f t="shared" si="30"/>
        <v>46326</v>
      </c>
      <c r="F390" s="331">
        <f t="shared" si="31"/>
        <v>7</v>
      </c>
      <c r="G390" s="289">
        <v>45980</v>
      </c>
      <c r="H390" s="330">
        <f t="shared" si="32"/>
        <v>45991</v>
      </c>
      <c r="I390" s="331">
        <f t="shared" si="33"/>
        <v>2025</v>
      </c>
      <c r="J390" s="290">
        <f t="shared" si="34"/>
        <v>331</v>
      </c>
      <c r="K390" s="294"/>
      <c r="L390" s="297"/>
      <c r="M390" s="297"/>
      <c r="N390" s="332" t="s">
        <v>248</v>
      </c>
      <c r="O390" s="3">
        <v>6500</v>
      </c>
      <c r="Q390" s="3">
        <f t="shared" si="35"/>
        <v>6500</v>
      </c>
      <c r="R390" s="3">
        <v>3500</v>
      </c>
      <c r="T390" s="42"/>
      <c r="Z390" s="3">
        <f t="shared" si="29"/>
        <v>6</v>
      </c>
    </row>
    <row r="391" spans="1:26" ht="15.75" customHeight="1">
      <c r="A391" s="3">
        <v>1</v>
      </c>
      <c r="B391" s="287" t="s">
        <v>801</v>
      </c>
      <c r="C391" s="290"/>
      <c r="D391" s="289">
        <v>46312</v>
      </c>
      <c r="E391" s="330">
        <f t="shared" si="30"/>
        <v>46326</v>
      </c>
      <c r="F391" s="331">
        <f t="shared" si="31"/>
        <v>7</v>
      </c>
      <c r="G391" s="289">
        <v>45488</v>
      </c>
      <c r="H391" s="330">
        <f t="shared" si="32"/>
        <v>45504</v>
      </c>
      <c r="I391" s="331">
        <f t="shared" si="33"/>
        <v>2024</v>
      </c>
      <c r="J391" s="290">
        <f t="shared" si="34"/>
        <v>824</v>
      </c>
      <c r="K391" s="294"/>
      <c r="L391" s="297"/>
      <c r="M391" s="297"/>
      <c r="N391" s="332" t="s">
        <v>248</v>
      </c>
      <c r="O391" s="3">
        <v>6500</v>
      </c>
      <c r="Q391" s="3">
        <f t="shared" si="35"/>
        <v>6500</v>
      </c>
      <c r="R391" s="3">
        <v>3500</v>
      </c>
      <c r="T391" s="42"/>
      <c r="Z391" s="3">
        <f t="shared" si="29"/>
        <v>7</v>
      </c>
    </row>
    <row r="392" spans="1:26" ht="15.75" customHeight="1">
      <c r="A392" s="3">
        <v>1</v>
      </c>
      <c r="B392" s="287" t="s">
        <v>808</v>
      </c>
      <c r="C392" s="290"/>
      <c r="D392" s="289">
        <v>46318</v>
      </c>
      <c r="E392" s="330">
        <f t="shared" si="30"/>
        <v>46326</v>
      </c>
      <c r="F392" s="331">
        <f t="shared" si="31"/>
        <v>7</v>
      </c>
      <c r="G392" s="289">
        <v>45932</v>
      </c>
      <c r="H392" s="330">
        <f t="shared" si="32"/>
        <v>45961</v>
      </c>
      <c r="I392" s="331">
        <f t="shared" si="33"/>
        <v>2025</v>
      </c>
      <c r="J392" s="290">
        <f t="shared" si="34"/>
        <v>386</v>
      </c>
      <c r="K392" s="294"/>
      <c r="L392" s="297"/>
      <c r="M392" s="297"/>
      <c r="N392" s="332" t="s">
        <v>248</v>
      </c>
      <c r="O392" s="3">
        <v>6500</v>
      </c>
      <c r="Q392" s="3">
        <f t="shared" si="35"/>
        <v>6500</v>
      </c>
      <c r="R392" s="3">
        <v>3500</v>
      </c>
      <c r="T392" s="42"/>
      <c r="Z392" s="3">
        <f t="shared" si="29"/>
        <v>6</v>
      </c>
    </row>
    <row r="393" spans="1:26" ht="15.75" customHeight="1">
      <c r="A393" s="3">
        <v>1</v>
      </c>
      <c r="B393" s="287" t="s">
        <v>1227</v>
      </c>
      <c r="C393" s="290"/>
      <c r="D393" s="289">
        <v>46319</v>
      </c>
      <c r="E393" s="330">
        <f t="shared" si="30"/>
        <v>46326</v>
      </c>
      <c r="F393" s="331">
        <f t="shared" si="31"/>
        <v>7</v>
      </c>
      <c r="G393" s="289">
        <v>45869</v>
      </c>
      <c r="H393" s="330">
        <f t="shared" si="32"/>
        <v>45869</v>
      </c>
      <c r="I393" s="331">
        <f t="shared" si="33"/>
        <v>2025</v>
      </c>
      <c r="J393" s="290">
        <f t="shared" si="34"/>
        <v>450</v>
      </c>
      <c r="K393" s="294"/>
      <c r="L393" s="297"/>
      <c r="M393" s="297"/>
      <c r="N393" s="332" t="s">
        <v>248</v>
      </c>
      <c r="O393" s="3">
        <v>7250</v>
      </c>
      <c r="Q393" s="3">
        <f t="shared" si="35"/>
        <v>7250</v>
      </c>
      <c r="R393" s="3">
        <v>3750</v>
      </c>
      <c r="T393" s="42"/>
      <c r="Z393" s="3">
        <f t="shared" si="29"/>
        <v>7</v>
      </c>
    </row>
    <row r="394" spans="1:26" ht="15.75" customHeight="1">
      <c r="A394" s="3">
        <v>1</v>
      </c>
      <c r="B394" s="287" t="s">
        <v>812</v>
      </c>
      <c r="C394" s="290"/>
      <c r="D394" s="289">
        <v>46320</v>
      </c>
      <c r="E394" s="330">
        <f t="shared" si="30"/>
        <v>46326</v>
      </c>
      <c r="F394" s="331">
        <f t="shared" si="31"/>
        <v>7</v>
      </c>
      <c r="G394" s="289">
        <v>45988</v>
      </c>
      <c r="H394" s="330">
        <f t="shared" si="32"/>
        <v>45991</v>
      </c>
      <c r="I394" s="331">
        <f t="shared" si="33"/>
        <v>2025</v>
      </c>
      <c r="J394" s="290">
        <f t="shared" si="34"/>
        <v>332</v>
      </c>
      <c r="K394" s="294"/>
      <c r="L394" s="297"/>
      <c r="M394" s="297"/>
      <c r="N394" s="332" t="s">
        <v>248</v>
      </c>
      <c r="O394" s="3">
        <v>7250</v>
      </c>
      <c r="Q394" s="3">
        <f t="shared" si="35"/>
        <v>7250</v>
      </c>
      <c r="R394" s="3">
        <v>3750</v>
      </c>
      <c r="T394" s="42"/>
      <c r="Z394" s="3">
        <f t="shared" si="29"/>
        <v>1</v>
      </c>
    </row>
    <row r="395" spans="1:26" ht="15.75" customHeight="1">
      <c r="A395" s="3">
        <v>1</v>
      </c>
      <c r="B395" s="287" t="s">
        <v>815</v>
      </c>
      <c r="C395" s="290"/>
      <c r="D395" s="289">
        <v>46325</v>
      </c>
      <c r="E395" s="330">
        <f t="shared" si="30"/>
        <v>46326</v>
      </c>
      <c r="F395" s="331">
        <f t="shared" si="31"/>
        <v>7</v>
      </c>
      <c r="G395" s="289">
        <v>45911</v>
      </c>
      <c r="H395" s="330">
        <f t="shared" si="32"/>
        <v>45930</v>
      </c>
      <c r="I395" s="331">
        <f t="shared" si="33"/>
        <v>2025</v>
      </c>
      <c r="J395" s="290">
        <f t="shared" si="34"/>
        <v>414</v>
      </c>
      <c r="K395" s="294"/>
      <c r="L395" s="297"/>
      <c r="M395" s="297"/>
      <c r="N395" s="332" t="s">
        <v>248</v>
      </c>
      <c r="O395" s="3">
        <v>6500</v>
      </c>
      <c r="Q395" s="3">
        <f t="shared" si="35"/>
        <v>6500</v>
      </c>
      <c r="R395" s="3">
        <v>3500</v>
      </c>
      <c r="T395" s="42"/>
      <c r="Z395" s="3">
        <f t="shared" si="29"/>
        <v>6</v>
      </c>
    </row>
    <row r="396" spans="1:26" ht="15.75" customHeight="1">
      <c r="A396" s="3">
        <v>1</v>
      </c>
      <c r="B396" s="287" t="s">
        <v>818</v>
      </c>
      <c r="C396" s="290"/>
      <c r="D396" s="289">
        <v>46333</v>
      </c>
      <c r="E396" s="330">
        <f t="shared" si="30"/>
        <v>46356</v>
      </c>
      <c r="F396" s="331">
        <f t="shared" si="31"/>
        <v>2</v>
      </c>
      <c r="G396" s="289">
        <v>45698</v>
      </c>
      <c r="H396" s="330">
        <f t="shared" si="32"/>
        <v>45716</v>
      </c>
      <c r="I396" s="331">
        <f t="shared" si="33"/>
        <v>2025</v>
      </c>
      <c r="J396" s="290">
        <f t="shared" si="34"/>
        <v>635</v>
      </c>
      <c r="K396" s="294"/>
      <c r="L396" s="297"/>
      <c r="M396" s="297"/>
      <c r="N396" s="332" t="s">
        <v>248</v>
      </c>
      <c r="O396" s="3">
        <v>7000</v>
      </c>
      <c r="Q396" s="3">
        <f t="shared" si="35"/>
        <v>7000</v>
      </c>
      <c r="R396" s="3">
        <v>3670</v>
      </c>
      <c r="T396" s="42"/>
      <c r="Z396" s="3">
        <f t="shared" si="29"/>
        <v>7</v>
      </c>
    </row>
    <row r="397" spans="1:26" ht="15.75" customHeight="1">
      <c r="A397" s="3">
        <v>1</v>
      </c>
      <c r="B397" s="287" t="s">
        <v>821</v>
      </c>
      <c r="C397" s="290"/>
      <c r="D397" s="289">
        <v>46339</v>
      </c>
      <c r="E397" s="330">
        <f t="shared" si="30"/>
        <v>46356</v>
      </c>
      <c r="F397" s="331">
        <f t="shared" si="31"/>
        <v>2</v>
      </c>
      <c r="G397" s="289">
        <v>45885</v>
      </c>
      <c r="H397" s="330">
        <f t="shared" si="32"/>
        <v>45900</v>
      </c>
      <c r="I397" s="331">
        <f t="shared" si="33"/>
        <v>2025</v>
      </c>
      <c r="J397" s="290">
        <f t="shared" si="34"/>
        <v>454</v>
      </c>
      <c r="K397" s="294"/>
      <c r="L397" s="297"/>
      <c r="M397" s="297"/>
      <c r="N397" s="332" t="s">
        <v>248</v>
      </c>
      <c r="O397" s="3">
        <v>6500</v>
      </c>
      <c r="Q397" s="3">
        <f t="shared" si="35"/>
        <v>6500</v>
      </c>
      <c r="R397" s="3">
        <v>3500</v>
      </c>
      <c r="T397" s="42"/>
      <c r="Z397" s="3">
        <f t="shared" si="29"/>
        <v>6</v>
      </c>
    </row>
    <row r="398" spans="1:26" ht="15.75" customHeight="1">
      <c r="A398" s="216">
        <v>0</v>
      </c>
      <c r="B398" s="287" t="s">
        <v>656</v>
      </c>
      <c r="C398" s="290"/>
      <c r="D398" s="289">
        <v>46091</v>
      </c>
      <c r="E398" s="330">
        <f t="shared" si="30"/>
        <v>46112</v>
      </c>
      <c r="F398" s="331">
        <f t="shared" si="31"/>
        <v>3</v>
      </c>
      <c r="G398" s="289">
        <v>45834</v>
      </c>
      <c r="H398" s="330">
        <f t="shared" si="32"/>
        <v>45838</v>
      </c>
      <c r="I398" s="331">
        <f t="shared" si="33"/>
        <v>2025</v>
      </c>
      <c r="J398" s="290">
        <f t="shared" si="34"/>
        <v>257</v>
      </c>
      <c r="K398" s="294"/>
      <c r="L398" s="297"/>
      <c r="M398" s="297"/>
      <c r="N398" s="332" t="s">
        <v>250</v>
      </c>
      <c r="O398" s="3">
        <v>1750</v>
      </c>
      <c r="Q398" s="3">
        <f t="shared" si="35"/>
        <v>1750</v>
      </c>
      <c r="R398" s="346">
        <f t="shared" ref="R398:R410" si="37">Q398</f>
        <v>1750</v>
      </c>
      <c r="S398" s="346"/>
      <c r="T398" s="42"/>
      <c r="Z398" s="3">
        <f t="shared" si="29"/>
        <v>3</v>
      </c>
    </row>
    <row r="399" spans="1:26" ht="15.75" customHeight="1">
      <c r="A399" s="216">
        <v>0</v>
      </c>
      <c r="B399" s="287" t="s">
        <v>1228</v>
      </c>
      <c r="C399" s="290"/>
      <c r="D399" s="289">
        <v>46119</v>
      </c>
      <c r="E399" s="330">
        <f t="shared" si="30"/>
        <v>46142</v>
      </c>
      <c r="F399" s="331">
        <f t="shared" si="31"/>
        <v>5</v>
      </c>
      <c r="G399" s="289">
        <v>45898</v>
      </c>
      <c r="H399" s="330">
        <f t="shared" si="32"/>
        <v>45900</v>
      </c>
      <c r="I399" s="331">
        <f t="shared" si="33"/>
        <v>2025</v>
      </c>
      <c r="J399" s="290">
        <f t="shared" si="34"/>
        <v>221</v>
      </c>
      <c r="K399" s="294"/>
      <c r="L399" s="297"/>
      <c r="M399" s="297"/>
      <c r="N399" s="332" t="s">
        <v>250</v>
      </c>
      <c r="O399" s="3">
        <v>1750</v>
      </c>
      <c r="Q399" s="3">
        <f t="shared" si="35"/>
        <v>1750</v>
      </c>
      <c r="R399" s="346">
        <f t="shared" si="37"/>
        <v>1750</v>
      </c>
      <c r="S399" s="346"/>
      <c r="T399" s="42"/>
      <c r="Z399" s="3">
        <f t="shared" si="29"/>
        <v>3</v>
      </c>
    </row>
    <row r="400" spans="1:26" ht="15.75" customHeight="1">
      <c r="A400" s="216">
        <v>0</v>
      </c>
      <c r="B400" s="287" t="s">
        <v>1229</v>
      </c>
      <c r="C400" s="290"/>
      <c r="D400" s="289">
        <v>46122</v>
      </c>
      <c r="E400" s="330">
        <f t="shared" si="30"/>
        <v>46142</v>
      </c>
      <c r="F400" s="331">
        <f t="shared" si="31"/>
        <v>5</v>
      </c>
      <c r="G400" s="289">
        <v>45466</v>
      </c>
      <c r="H400" s="330">
        <f t="shared" si="32"/>
        <v>45473</v>
      </c>
      <c r="I400" s="331">
        <f t="shared" si="33"/>
        <v>2024</v>
      </c>
      <c r="J400" s="290">
        <f t="shared" si="34"/>
        <v>656</v>
      </c>
      <c r="K400" s="294"/>
      <c r="L400" s="297"/>
      <c r="M400" s="297"/>
      <c r="N400" s="332" t="s">
        <v>249</v>
      </c>
      <c r="O400" s="3">
        <v>6750</v>
      </c>
      <c r="Q400" s="3">
        <f t="shared" si="35"/>
        <v>6750</v>
      </c>
      <c r="R400" s="346">
        <f t="shared" si="37"/>
        <v>6750</v>
      </c>
      <c r="S400" s="346"/>
      <c r="T400" s="42"/>
      <c r="Z400" s="3">
        <f t="shared" si="29"/>
        <v>6</v>
      </c>
    </row>
    <row r="401" spans="1:26" ht="15.75" customHeight="1">
      <c r="A401" s="216">
        <v>0</v>
      </c>
      <c r="B401" s="287" t="s">
        <v>666</v>
      </c>
      <c r="C401" s="290"/>
      <c r="D401" s="289">
        <v>46123</v>
      </c>
      <c r="E401" s="330">
        <f t="shared" si="30"/>
        <v>46142</v>
      </c>
      <c r="F401" s="331">
        <f t="shared" si="31"/>
        <v>5</v>
      </c>
      <c r="G401" s="289">
        <v>45609</v>
      </c>
      <c r="H401" s="330">
        <f t="shared" si="32"/>
        <v>45626</v>
      </c>
      <c r="I401" s="331">
        <f t="shared" si="33"/>
        <v>2024</v>
      </c>
      <c r="J401" s="290">
        <f t="shared" si="34"/>
        <v>514</v>
      </c>
      <c r="K401" s="294"/>
      <c r="L401" s="297"/>
      <c r="M401" s="297"/>
      <c r="N401" s="332" t="s">
        <v>249</v>
      </c>
      <c r="O401" s="3">
        <v>8000</v>
      </c>
      <c r="Q401" s="3">
        <f t="shared" si="35"/>
        <v>8000</v>
      </c>
      <c r="R401" s="346">
        <f t="shared" si="37"/>
        <v>8000</v>
      </c>
      <c r="S401" s="346"/>
      <c r="T401" s="42"/>
      <c r="Z401" s="3">
        <f t="shared" si="29"/>
        <v>7</v>
      </c>
    </row>
    <row r="402" spans="1:26" ht="15.75" customHeight="1">
      <c r="A402" s="216">
        <v>0</v>
      </c>
      <c r="B402" s="287" t="s">
        <v>667</v>
      </c>
      <c r="C402" s="290"/>
      <c r="D402" s="289">
        <v>46124</v>
      </c>
      <c r="E402" s="330">
        <f t="shared" si="30"/>
        <v>46142</v>
      </c>
      <c r="F402" s="331">
        <f t="shared" si="31"/>
        <v>5</v>
      </c>
      <c r="G402" s="289">
        <v>45847</v>
      </c>
      <c r="H402" s="330">
        <f t="shared" si="32"/>
        <v>45869</v>
      </c>
      <c r="I402" s="331">
        <f t="shared" si="33"/>
        <v>2025</v>
      </c>
      <c r="J402" s="290">
        <f t="shared" si="34"/>
        <v>277</v>
      </c>
      <c r="K402" s="294"/>
      <c r="L402" s="297"/>
      <c r="M402" s="297"/>
      <c r="N402" s="332" t="s">
        <v>249</v>
      </c>
      <c r="O402" s="3">
        <v>8000</v>
      </c>
      <c r="Q402" s="3">
        <f t="shared" si="35"/>
        <v>8000</v>
      </c>
      <c r="R402" s="346">
        <f t="shared" si="37"/>
        <v>8000</v>
      </c>
      <c r="S402" s="346"/>
      <c r="T402" s="42"/>
      <c r="Z402" s="3">
        <f t="shared" si="29"/>
        <v>1</v>
      </c>
    </row>
    <row r="403" spans="1:26" ht="15.75" customHeight="1">
      <c r="A403" s="216">
        <v>0</v>
      </c>
      <c r="B403" s="287" t="s">
        <v>1230</v>
      </c>
      <c r="C403" s="290"/>
      <c r="D403" s="289">
        <v>46126</v>
      </c>
      <c r="E403" s="330">
        <f t="shared" si="30"/>
        <v>46142</v>
      </c>
      <c r="F403" s="331">
        <f t="shared" si="31"/>
        <v>5</v>
      </c>
      <c r="G403" s="289">
        <v>46032</v>
      </c>
      <c r="H403" s="330">
        <f t="shared" si="32"/>
        <v>46053</v>
      </c>
      <c r="I403" s="331">
        <f t="shared" si="33"/>
        <v>2026</v>
      </c>
      <c r="J403" s="290">
        <f t="shared" si="34"/>
        <v>94</v>
      </c>
      <c r="K403" s="294"/>
      <c r="L403" s="297"/>
      <c r="M403" s="297"/>
      <c r="N403" s="332" t="s">
        <v>250</v>
      </c>
      <c r="O403" s="3">
        <v>1750</v>
      </c>
      <c r="Q403" s="3">
        <f t="shared" si="35"/>
        <v>1750</v>
      </c>
      <c r="R403" s="346">
        <f t="shared" si="37"/>
        <v>1750</v>
      </c>
      <c r="S403" s="346"/>
      <c r="T403" s="42"/>
      <c r="Z403" s="3">
        <f t="shared" si="29"/>
        <v>3</v>
      </c>
    </row>
    <row r="404" spans="1:26" ht="15.75" customHeight="1">
      <c r="A404" s="216">
        <v>0</v>
      </c>
      <c r="B404" s="287" t="s">
        <v>1231</v>
      </c>
      <c r="C404" s="290"/>
      <c r="D404" s="289">
        <v>46129</v>
      </c>
      <c r="E404" s="330">
        <f t="shared" si="30"/>
        <v>46142</v>
      </c>
      <c r="F404" s="331">
        <f t="shared" si="31"/>
        <v>5</v>
      </c>
      <c r="G404" s="289">
        <v>45558</v>
      </c>
      <c r="H404" s="330">
        <f t="shared" si="32"/>
        <v>45565</v>
      </c>
      <c r="I404" s="331">
        <f t="shared" si="33"/>
        <v>2024</v>
      </c>
      <c r="J404" s="290">
        <f t="shared" si="34"/>
        <v>571</v>
      </c>
      <c r="K404" s="294"/>
      <c r="L404" s="297"/>
      <c r="M404" s="297"/>
      <c r="N404" s="332" t="s">
        <v>249</v>
      </c>
      <c r="O404" s="3">
        <v>6750</v>
      </c>
      <c r="Q404" s="3">
        <f t="shared" si="35"/>
        <v>6750</v>
      </c>
      <c r="R404" s="346">
        <f t="shared" si="37"/>
        <v>6750</v>
      </c>
      <c r="S404" s="346"/>
      <c r="T404" s="42"/>
      <c r="Z404" s="3">
        <f t="shared" si="29"/>
        <v>6</v>
      </c>
    </row>
    <row r="405" spans="1:26" ht="15.75" customHeight="1">
      <c r="A405" s="216">
        <v>0</v>
      </c>
      <c r="B405" s="287" t="s">
        <v>671</v>
      </c>
      <c r="C405" s="290"/>
      <c r="D405" s="289">
        <v>46130</v>
      </c>
      <c r="E405" s="330">
        <f t="shared" si="30"/>
        <v>46142</v>
      </c>
      <c r="F405" s="331">
        <f t="shared" si="31"/>
        <v>5</v>
      </c>
      <c r="G405" s="289">
        <v>46035</v>
      </c>
      <c r="H405" s="330">
        <f t="shared" si="32"/>
        <v>46053</v>
      </c>
      <c r="I405" s="331">
        <f t="shared" si="33"/>
        <v>2026</v>
      </c>
      <c r="J405" s="290">
        <f t="shared" si="34"/>
        <v>95</v>
      </c>
      <c r="K405" s="294"/>
      <c r="L405" s="297"/>
      <c r="M405" s="297"/>
      <c r="N405" s="332" t="s">
        <v>249</v>
      </c>
      <c r="O405" s="3">
        <v>8000</v>
      </c>
      <c r="Q405" s="3">
        <f t="shared" si="35"/>
        <v>8000</v>
      </c>
      <c r="R405" s="346">
        <f t="shared" si="37"/>
        <v>8000</v>
      </c>
      <c r="S405" s="346"/>
      <c r="T405" s="42"/>
      <c r="Z405" s="3">
        <f t="shared" si="29"/>
        <v>7</v>
      </c>
    </row>
    <row r="406" spans="1:26" ht="15.75" customHeight="1">
      <c r="A406" s="216">
        <v>0</v>
      </c>
      <c r="B406" s="287" t="s">
        <v>672</v>
      </c>
      <c r="C406" s="290"/>
      <c r="D406" s="289">
        <v>46131</v>
      </c>
      <c r="E406" s="330">
        <f t="shared" si="30"/>
        <v>46142</v>
      </c>
      <c r="F406" s="331">
        <f t="shared" si="31"/>
        <v>5</v>
      </c>
      <c r="G406" s="289">
        <v>45834</v>
      </c>
      <c r="H406" s="330">
        <f t="shared" si="32"/>
        <v>45838</v>
      </c>
      <c r="I406" s="331">
        <f t="shared" si="33"/>
        <v>2025</v>
      </c>
      <c r="J406" s="290">
        <f t="shared" si="34"/>
        <v>297</v>
      </c>
      <c r="K406" s="294"/>
      <c r="L406" s="297"/>
      <c r="M406" s="297"/>
      <c r="N406" s="332" t="s">
        <v>249</v>
      </c>
      <c r="O406" s="3">
        <v>8000</v>
      </c>
      <c r="Q406" s="3">
        <f t="shared" si="35"/>
        <v>8000</v>
      </c>
      <c r="R406" s="346">
        <f t="shared" si="37"/>
        <v>8000</v>
      </c>
      <c r="S406" s="346"/>
      <c r="T406" s="42"/>
      <c r="Z406" s="3">
        <f t="shared" si="29"/>
        <v>1</v>
      </c>
    </row>
    <row r="407" spans="1:26" ht="15.75" customHeight="1">
      <c r="A407" s="216">
        <v>0</v>
      </c>
      <c r="B407" s="287" t="s">
        <v>673</v>
      </c>
      <c r="C407" s="290"/>
      <c r="D407" s="289">
        <v>46133</v>
      </c>
      <c r="E407" s="330">
        <f t="shared" si="30"/>
        <v>46142</v>
      </c>
      <c r="F407" s="331">
        <f t="shared" si="31"/>
        <v>5</v>
      </c>
      <c r="G407" s="289">
        <v>45929</v>
      </c>
      <c r="H407" s="330">
        <f t="shared" si="32"/>
        <v>45930</v>
      </c>
      <c r="I407" s="331">
        <f t="shared" si="33"/>
        <v>2025</v>
      </c>
      <c r="J407" s="290">
        <f t="shared" si="34"/>
        <v>204</v>
      </c>
      <c r="K407" s="294"/>
      <c r="L407" s="297"/>
      <c r="M407" s="297"/>
      <c r="N407" s="332" t="s">
        <v>250</v>
      </c>
      <c r="O407" s="3">
        <v>1750</v>
      </c>
      <c r="Q407" s="3">
        <f t="shared" si="35"/>
        <v>1750</v>
      </c>
      <c r="R407" s="346">
        <f t="shared" si="37"/>
        <v>1750</v>
      </c>
      <c r="S407" s="346"/>
      <c r="T407" s="42"/>
      <c r="Z407" s="3">
        <f t="shared" si="29"/>
        <v>3</v>
      </c>
    </row>
    <row r="408" spans="1:26" ht="15.75" customHeight="1">
      <c r="A408" s="216">
        <v>0</v>
      </c>
      <c r="B408" s="287" t="s">
        <v>1232</v>
      </c>
      <c r="C408" s="290"/>
      <c r="D408" s="289">
        <v>46136</v>
      </c>
      <c r="E408" s="330">
        <f t="shared" si="30"/>
        <v>46142</v>
      </c>
      <c r="F408" s="331">
        <f t="shared" si="31"/>
        <v>5</v>
      </c>
      <c r="G408" s="289">
        <v>45552</v>
      </c>
      <c r="H408" s="330">
        <f t="shared" si="32"/>
        <v>45565</v>
      </c>
      <c r="I408" s="331">
        <f t="shared" si="33"/>
        <v>2024</v>
      </c>
      <c r="J408" s="290">
        <f t="shared" si="34"/>
        <v>584</v>
      </c>
      <c r="K408" s="294"/>
      <c r="L408" s="297"/>
      <c r="M408" s="297"/>
      <c r="N408" s="332" t="s">
        <v>249</v>
      </c>
      <c r="O408" s="3">
        <v>6750</v>
      </c>
      <c r="Q408" s="3">
        <f t="shared" si="35"/>
        <v>6750</v>
      </c>
      <c r="R408" s="346">
        <f t="shared" si="37"/>
        <v>6750</v>
      </c>
      <c r="S408" s="346"/>
      <c r="T408" s="42"/>
      <c r="Z408" s="3">
        <f t="shared" si="29"/>
        <v>6</v>
      </c>
    </row>
    <row r="409" spans="1:26" ht="15.75" customHeight="1">
      <c r="A409" s="216">
        <v>0</v>
      </c>
      <c r="B409" s="287" t="s">
        <v>1233</v>
      </c>
      <c r="C409" s="290"/>
      <c r="D409" s="289">
        <v>46137</v>
      </c>
      <c r="E409" s="330">
        <f t="shared" si="30"/>
        <v>46142</v>
      </c>
      <c r="F409" s="331">
        <f t="shared" si="31"/>
        <v>5</v>
      </c>
      <c r="G409" s="289">
        <v>45363</v>
      </c>
      <c r="H409" s="330">
        <f t="shared" si="32"/>
        <v>45382</v>
      </c>
      <c r="I409" s="331">
        <f t="shared" si="33"/>
        <v>2024</v>
      </c>
      <c r="J409" s="290">
        <f t="shared" si="34"/>
        <v>774</v>
      </c>
      <c r="K409" s="294"/>
      <c r="L409" s="297"/>
      <c r="M409" s="297"/>
      <c r="N409" s="332" t="s">
        <v>249</v>
      </c>
      <c r="O409" s="3">
        <v>7750</v>
      </c>
      <c r="Q409" s="3">
        <f t="shared" si="35"/>
        <v>7750</v>
      </c>
      <c r="R409" s="346">
        <f t="shared" si="37"/>
        <v>7750</v>
      </c>
      <c r="S409" s="346"/>
      <c r="T409" s="42"/>
      <c r="Z409" s="3">
        <f t="shared" si="29"/>
        <v>7</v>
      </c>
    </row>
    <row r="410" spans="1:26" ht="15.75" customHeight="1">
      <c r="A410" s="216">
        <v>0</v>
      </c>
      <c r="B410" s="287" t="s">
        <v>679</v>
      </c>
      <c r="C410" s="290"/>
      <c r="D410" s="289">
        <v>46138</v>
      </c>
      <c r="E410" s="330">
        <f t="shared" si="30"/>
        <v>46142</v>
      </c>
      <c r="F410" s="331">
        <f t="shared" si="31"/>
        <v>5</v>
      </c>
      <c r="G410" s="289">
        <v>45728</v>
      </c>
      <c r="H410" s="330">
        <f t="shared" si="32"/>
        <v>45747</v>
      </c>
      <c r="I410" s="331">
        <f t="shared" si="33"/>
        <v>2025</v>
      </c>
      <c r="J410" s="290">
        <f t="shared" si="34"/>
        <v>410</v>
      </c>
      <c r="K410" s="294"/>
      <c r="L410" s="297"/>
      <c r="M410" s="297"/>
      <c r="N410" s="332" t="s">
        <v>249</v>
      </c>
      <c r="O410" s="3">
        <v>8000</v>
      </c>
      <c r="Q410" s="3">
        <f t="shared" si="35"/>
        <v>8000</v>
      </c>
      <c r="R410" s="346">
        <f t="shared" si="37"/>
        <v>8000</v>
      </c>
      <c r="S410" s="346"/>
      <c r="T410" s="42"/>
      <c r="Z410" s="3">
        <f t="shared" si="29"/>
        <v>1</v>
      </c>
    </row>
    <row r="411" spans="1:26" ht="15.75" customHeight="1">
      <c r="A411" s="216">
        <v>0</v>
      </c>
      <c r="B411" s="287" t="s">
        <v>1234</v>
      </c>
      <c r="C411" s="290"/>
      <c r="D411" s="289">
        <v>46143</v>
      </c>
      <c r="E411" s="330">
        <f t="shared" si="30"/>
        <v>46173</v>
      </c>
      <c r="F411" s="331">
        <f t="shared" si="31"/>
        <v>1</v>
      </c>
      <c r="G411" s="289">
        <v>45493</v>
      </c>
      <c r="H411" s="330">
        <f t="shared" si="32"/>
        <v>45504</v>
      </c>
      <c r="I411" s="331">
        <f t="shared" si="33"/>
        <v>2024</v>
      </c>
      <c r="J411" s="290">
        <f t="shared" si="34"/>
        <v>650</v>
      </c>
      <c r="K411" s="294"/>
      <c r="L411" s="297"/>
      <c r="M411" s="297"/>
      <c r="N411" s="332" t="s">
        <v>249</v>
      </c>
      <c r="O411" s="3">
        <v>6500</v>
      </c>
      <c r="Q411" s="3">
        <f t="shared" si="35"/>
        <v>6500</v>
      </c>
      <c r="R411" s="3" t="s">
        <v>1225</v>
      </c>
      <c r="T411" s="42"/>
      <c r="Z411" s="3">
        <f t="shared" si="29"/>
        <v>6</v>
      </c>
    </row>
    <row r="412" spans="1:26" ht="15.75" customHeight="1">
      <c r="A412" s="216">
        <v>0</v>
      </c>
      <c r="B412" s="287" t="s">
        <v>682</v>
      </c>
      <c r="C412" s="290"/>
      <c r="D412" s="289">
        <v>46144</v>
      </c>
      <c r="E412" s="330">
        <f t="shared" si="30"/>
        <v>46173</v>
      </c>
      <c r="F412" s="331">
        <f t="shared" si="31"/>
        <v>1</v>
      </c>
      <c r="G412" s="289">
        <v>45307</v>
      </c>
      <c r="H412" s="330">
        <f t="shared" si="32"/>
        <v>45322</v>
      </c>
      <c r="I412" s="331">
        <f t="shared" si="33"/>
        <v>2024</v>
      </c>
      <c r="J412" s="290">
        <f t="shared" si="34"/>
        <v>837</v>
      </c>
      <c r="K412" s="294"/>
      <c r="L412" s="297"/>
      <c r="M412" s="297"/>
      <c r="N412" s="332" t="s">
        <v>249</v>
      </c>
      <c r="O412" s="3">
        <v>7500</v>
      </c>
      <c r="Q412" s="3">
        <f t="shared" si="35"/>
        <v>7500</v>
      </c>
      <c r="R412" s="346">
        <f t="shared" ref="R412:R423" si="38">Q412</f>
        <v>7500</v>
      </c>
      <c r="S412" s="346"/>
      <c r="T412" s="42"/>
      <c r="Z412" s="3">
        <f t="shared" si="29"/>
        <v>7</v>
      </c>
    </row>
    <row r="413" spans="1:26" ht="15.75" customHeight="1">
      <c r="A413" s="216">
        <v>0</v>
      </c>
      <c r="B413" s="287" t="s">
        <v>683</v>
      </c>
      <c r="C413" s="290"/>
      <c r="D413" s="289">
        <v>46145</v>
      </c>
      <c r="E413" s="330">
        <f t="shared" si="30"/>
        <v>46173</v>
      </c>
      <c r="F413" s="331">
        <f t="shared" si="31"/>
        <v>1</v>
      </c>
      <c r="G413" s="289">
        <v>45346</v>
      </c>
      <c r="H413" s="330">
        <f t="shared" si="32"/>
        <v>45351</v>
      </c>
      <c r="I413" s="331">
        <f t="shared" si="33"/>
        <v>2024</v>
      </c>
      <c r="J413" s="290">
        <f t="shared" si="34"/>
        <v>799</v>
      </c>
      <c r="K413" s="294"/>
      <c r="L413" s="297"/>
      <c r="M413" s="297"/>
      <c r="N413" s="332" t="s">
        <v>249</v>
      </c>
      <c r="O413" s="3">
        <v>8000</v>
      </c>
      <c r="Q413" s="3">
        <f t="shared" si="35"/>
        <v>8000</v>
      </c>
      <c r="R413" s="346">
        <f t="shared" si="38"/>
        <v>8000</v>
      </c>
      <c r="S413" s="346"/>
      <c r="T413" s="42"/>
      <c r="Z413" s="3">
        <f t="shared" si="29"/>
        <v>1</v>
      </c>
    </row>
    <row r="414" spans="1:26" ht="15.75" customHeight="1">
      <c r="A414" s="216">
        <v>0</v>
      </c>
      <c r="B414" s="287" t="s">
        <v>685</v>
      </c>
      <c r="C414" s="290"/>
      <c r="D414" s="289">
        <v>46147</v>
      </c>
      <c r="E414" s="330">
        <f t="shared" si="30"/>
        <v>46173</v>
      </c>
      <c r="F414" s="331">
        <f t="shared" si="31"/>
        <v>1</v>
      </c>
      <c r="G414" s="289">
        <v>45972</v>
      </c>
      <c r="H414" s="330">
        <f t="shared" si="32"/>
        <v>45991</v>
      </c>
      <c r="I414" s="331">
        <f t="shared" si="33"/>
        <v>2025</v>
      </c>
      <c r="J414" s="290">
        <f t="shared" si="34"/>
        <v>175</v>
      </c>
      <c r="K414" s="294"/>
      <c r="L414" s="297"/>
      <c r="M414" s="297"/>
      <c r="N414" s="332" t="s">
        <v>250</v>
      </c>
      <c r="O414" s="3">
        <v>1750</v>
      </c>
      <c r="Q414" s="3">
        <f t="shared" si="35"/>
        <v>1750</v>
      </c>
      <c r="R414" s="346">
        <f t="shared" si="38"/>
        <v>1750</v>
      </c>
      <c r="S414" s="346"/>
      <c r="T414" s="42"/>
      <c r="Z414" s="3">
        <f t="shared" si="29"/>
        <v>3</v>
      </c>
    </row>
    <row r="415" spans="1:26" ht="15.75" customHeight="1">
      <c r="A415" s="216">
        <v>0</v>
      </c>
      <c r="B415" s="287" t="s">
        <v>686</v>
      </c>
      <c r="C415" s="290"/>
      <c r="D415" s="289">
        <v>46150</v>
      </c>
      <c r="E415" s="330">
        <f t="shared" si="30"/>
        <v>46173</v>
      </c>
      <c r="F415" s="331">
        <f t="shared" si="31"/>
        <v>1</v>
      </c>
      <c r="G415" s="289">
        <v>45643</v>
      </c>
      <c r="H415" s="330">
        <f t="shared" si="32"/>
        <v>45657</v>
      </c>
      <c r="I415" s="331">
        <f t="shared" si="33"/>
        <v>2024</v>
      </c>
      <c r="J415" s="290">
        <f t="shared" si="34"/>
        <v>507</v>
      </c>
      <c r="K415" s="294"/>
      <c r="L415" s="297"/>
      <c r="M415" s="297"/>
      <c r="N415" s="332" t="s">
        <v>249</v>
      </c>
      <c r="O415" s="3">
        <v>7500</v>
      </c>
      <c r="Q415" s="3">
        <f t="shared" si="35"/>
        <v>7500</v>
      </c>
      <c r="R415" s="346">
        <f t="shared" si="38"/>
        <v>7500</v>
      </c>
      <c r="S415" s="346"/>
      <c r="T415" s="42"/>
      <c r="Z415" s="3">
        <f t="shared" si="29"/>
        <v>6</v>
      </c>
    </row>
    <row r="416" spans="1:26" ht="15.75" customHeight="1">
      <c r="A416" s="216">
        <v>0</v>
      </c>
      <c r="B416" s="287" t="s">
        <v>688</v>
      </c>
      <c r="C416" s="290"/>
      <c r="D416" s="289">
        <v>46151</v>
      </c>
      <c r="E416" s="330">
        <f t="shared" si="30"/>
        <v>46173</v>
      </c>
      <c r="F416" s="331">
        <f t="shared" si="31"/>
        <v>1</v>
      </c>
      <c r="G416" s="289">
        <v>45644</v>
      </c>
      <c r="H416" s="330">
        <f t="shared" si="32"/>
        <v>45657</v>
      </c>
      <c r="I416" s="331">
        <f t="shared" si="33"/>
        <v>2024</v>
      </c>
      <c r="J416" s="290">
        <f t="shared" si="34"/>
        <v>507</v>
      </c>
      <c r="K416" s="294"/>
      <c r="L416" s="297"/>
      <c r="M416" s="297"/>
      <c r="N416" s="332" t="s">
        <v>249</v>
      </c>
      <c r="O416" s="3">
        <v>8000</v>
      </c>
      <c r="Q416" s="3">
        <f t="shared" si="35"/>
        <v>8000</v>
      </c>
      <c r="R416" s="346">
        <f t="shared" si="38"/>
        <v>8000</v>
      </c>
      <c r="S416" s="346"/>
      <c r="T416" s="42"/>
      <c r="Z416" s="3">
        <f t="shared" si="29"/>
        <v>7</v>
      </c>
    </row>
    <row r="417" spans="1:26" ht="15.75" customHeight="1">
      <c r="A417" s="216">
        <v>0</v>
      </c>
      <c r="B417" s="287" t="s">
        <v>1235</v>
      </c>
      <c r="C417" s="290"/>
      <c r="D417" s="289">
        <v>46154</v>
      </c>
      <c r="E417" s="330">
        <f t="shared" si="30"/>
        <v>46173</v>
      </c>
      <c r="F417" s="331">
        <f t="shared" si="31"/>
        <v>1</v>
      </c>
      <c r="G417" s="289">
        <v>45967</v>
      </c>
      <c r="H417" s="330">
        <f t="shared" si="32"/>
        <v>45991</v>
      </c>
      <c r="I417" s="331">
        <f t="shared" si="33"/>
        <v>2025</v>
      </c>
      <c r="J417" s="290">
        <f t="shared" si="34"/>
        <v>187</v>
      </c>
      <c r="K417" s="294"/>
      <c r="L417" s="297"/>
      <c r="M417" s="297"/>
      <c r="N417" s="332" t="s">
        <v>250</v>
      </c>
      <c r="O417" s="3">
        <v>1750</v>
      </c>
      <c r="Q417" s="3">
        <f t="shared" si="35"/>
        <v>1750</v>
      </c>
      <c r="R417" s="346">
        <f t="shared" si="38"/>
        <v>1750</v>
      </c>
      <c r="S417" s="346"/>
      <c r="T417" s="42"/>
      <c r="Z417" s="3">
        <f t="shared" si="29"/>
        <v>3</v>
      </c>
    </row>
    <row r="418" spans="1:26" ht="15.75" customHeight="1">
      <c r="A418" s="3">
        <v>1</v>
      </c>
      <c r="B418" s="287" t="s">
        <v>691</v>
      </c>
      <c r="C418" s="290"/>
      <c r="D418" s="289">
        <v>46157</v>
      </c>
      <c r="E418" s="330">
        <f t="shared" si="30"/>
        <v>46173</v>
      </c>
      <c r="F418" s="331">
        <f t="shared" si="31"/>
        <v>1</v>
      </c>
      <c r="G418" s="289">
        <v>45611</v>
      </c>
      <c r="H418" s="330">
        <f t="shared" si="32"/>
        <v>45626</v>
      </c>
      <c r="I418" s="331">
        <f t="shared" si="33"/>
        <v>2024</v>
      </c>
      <c r="J418" s="290">
        <f t="shared" si="34"/>
        <v>546</v>
      </c>
      <c r="K418" s="294"/>
      <c r="L418" s="297"/>
      <c r="M418" s="297"/>
      <c r="N418" s="332" t="s">
        <v>249</v>
      </c>
      <c r="O418" s="3">
        <v>7500</v>
      </c>
      <c r="Q418" s="3">
        <f t="shared" si="35"/>
        <v>7500</v>
      </c>
      <c r="R418" s="346">
        <f t="shared" si="38"/>
        <v>7500</v>
      </c>
      <c r="S418" s="346"/>
      <c r="T418" s="42"/>
      <c r="Z418" s="3">
        <f t="shared" si="29"/>
        <v>6</v>
      </c>
    </row>
    <row r="419" spans="1:26" ht="15.75" customHeight="1">
      <c r="A419" s="3">
        <v>1</v>
      </c>
      <c r="B419" s="287" t="s">
        <v>1236</v>
      </c>
      <c r="C419" s="290"/>
      <c r="D419" s="289">
        <v>46158</v>
      </c>
      <c r="E419" s="330">
        <f t="shared" si="30"/>
        <v>46173</v>
      </c>
      <c r="F419" s="331">
        <f t="shared" si="31"/>
        <v>1</v>
      </c>
      <c r="G419" s="289">
        <v>45433</v>
      </c>
      <c r="H419" s="330">
        <f t="shared" si="32"/>
        <v>45443</v>
      </c>
      <c r="I419" s="331">
        <f t="shared" si="33"/>
        <v>2024</v>
      </c>
      <c r="J419" s="290">
        <f t="shared" si="34"/>
        <v>725</v>
      </c>
      <c r="K419" s="294"/>
      <c r="L419" s="297"/>
      <c r="M419" s="297"/>
      <c r="N419" s="332" t="s">
        <v>249</v>
      </c>
      <c r="O419" s="3">
        <v>7750</v>
      </c>
      <c r="Q419" s="3">
        <f t="shared" si="35"/>
        <v>7750</v>
      </c>
      <c r="R419" s="346">
        <f t="shared" si="38"/>
        <v>7750</v>
      </c>
      <c r="S419" s="346"/>
      <c r="T419" s="42"/>
      <c r="Z419" s="3">
        <f t="shared" si="29"/>
        <v>7</v>
      </c>
    </row>
    <row r="420" spans="1:26" ht="15.75" customHeight="1">
      <c r="A420" s="3">
        <v>1</v>
      </c>
      <c r="B420" s="287" t="s">
        <v>696</v>
      </c>
      <c r="C420" s="290"/>
      <c r="D420" s="289">
        <v>46159</v>
      </c>
      <c r="E420" s="330">
        <f t="shared" si="30"/>
        <v>46173</v>
      </c>
      <c r="F420" s="331">
        <f t="shared" si="31"/>
        <v>1</v>
      </c>
      <c r="G420" s="289">
        <v>45712</v>
      </c>
      <c r="H420" s="330">
        <f t="shared" si="32"/>
        <v>45716</v>
      </c>
      <c r="I420" s="331">
        <f t="shared" si="33"/>
        <v>2025</v>
      </c>
      <c r="J420" s="290">
        <f t="shared" si="34"/>
        <v>447</v>
      </c>
      <c r="K420" s="294"/>
      <c r="L420" s="297"/>
      <c r="M420" s="297"/>
      <c r="N420" s="332" t="s">
        <v>249</v>
      </c>
      <c r="O420" s="3">
        <v>8000</v>
      </c>
      <c r="Q420" s="3">
        <f t="shared" si="35"/>
        <v>8000</v>
      </c>
      <c r="R420" s="346">
        <f t="shared" si="38"/>
        <v>8000</v>
      </c>
      <c r="S420" s="346"/>
      <c r="T420" s="42"/>
      <c r="Z420" s="3">
        <f t="shared" si="29"/>
        <v>1</v>
      </c>
    </row>
    <row r="421" spans="1:26" ht="15.75" customHeight="1">
      <c r="A421" s="3">
        <v>1</v>
      </c>
      <c r="B421" s="287" t="s">
        <v>1237</v>
      </c>
      <c r="C421" s="290"/>
      <c r="D421" s="289">
        <v>46161</v>
      </c>
      <c r="E421" s="330">
        <f t="shared" si="30"/>
        <v>46173</v>
      </c>
      <c r="F421" s="331">
        <f t="shared" si="31"/>
        <v>1</v>
      </c>
      <c r="G421" s="289">
        <v>45944</v>
      </c>
      <c r="H421" s="330">
        <f t="shared" si="32"/>
        <v>45961</v>
      </c>
      <c r="I421" s="331">
        <f t="shared" si="33"/>
        <v>2025</v>
      </c>
      <c r="J421" s="290">
        <f t="shared" si="34"/>
        <v>217</v>
      </c>
      <c r="K421" s="294"/>
      <c r="L421" s="297"/>
      <c r="M421" s="297"/>
      <c r="N421" s="332" t="s">
        <v>250</v>
      </c>
      <c r="O421" s="3">
        <v>1750</v>
      </c>
      <c r="Q421" s="3">
        <f t="shared" si="35"/>
        <v>1750</v>
      </c>
      <c r="R421" s="346">
        <f t="shared" si="38"/>
        <v>1750</v>
      </c>
      <c r="S421" s="346"/>
      <c r="T421" s="42"/>
      <c r="Z421" s="3">
        <f t="shared" si="29"/>
        <v>3</v>
      </c>
    </row>
    <row r="422" spans="1:26" ht="15.75" customHeight="1">
      <c r="A422" s="3">
        <v>1</v>
      </c>
      <c r="B422" s="287" t="s">
        <v>700</v>
      </c>
      <c r="C422" s="290"/>
      <c r="D422" s="289">
        <v>46164</v>
      </c>
      <c r="E422" s="330">
        <f t="shared" si="30"/>
        <v>46173</v>
      </c>
      <c r="F422" s="331">
        <f t="shared" si="31"/>
        <v>1</v>
      </c>
      <c r="G422" s="289">
        <v>45531</v>
      </c>
      <c r="H422" s="330">
        <f t="shared" si="32"/>
        <v>45535</v>
      </c>
      <c r="I422" s="331">
        <f t="shared" si="33"/>
        <v>2024</v>
      </c>
      <c r="J422" s="290">
        <f t="shared" si="34"/>
        <v>633</v>
      </c>
      <c r="K422" s="294"/>
      <c r="L422" s="297"/>
      <c r="M422" s="297"/>
      <c r="N422" s="332" t="s">
        <v>249</v>
      </c>
      <c r="O422" s="3">
        <v>6500</v>
      </c>
      <c r="Q422" s="3">
        <f t="shared" si="35"/>
        <v>6500</v>
      </c>
      <c r="R422" s="346">
        <f t="shared" si="38"/>
        <v>6500</v>
      </c>
      <c r="S422" s="346"/>
      <c r="T422" s="42"/>
      <c r="Z422" s="3">
        <f t="shared" si="29"/>
        <v>6</v>
      </c>
    </row>
    <row r="423" spans="1:26" ht="15.75" customHeight="1">
      <c r="A423" s="3">
        <v>1</v>
      </c>
      <c r="B423" s="287" t="s">
        <v>704</v>
      </c>
      <c r="C423" s="290"/>
      <c r="D423" s="289">
        <v>46165</v>
      </c>
      <c r="E423" s="330">
        <f t="shared" si="30"/>
        <v>46173</v>
      </c>
      <c r="F423" s="331">
        <f t="shared" si="31"/>
        <v>1</v>
      </c>
      <c r="G423" s="289">
        <v>45414</v>
      </c>
      <c r="H423" s="330">
        <f t="shared" si="32"/>
        <v>45443</v>
      </c>
      <c r="I423" s="331">
        <f t="shared" si="33"/>
        <v>2024</v>
      </c>
      <c r="J423" s="290">
        <f t="shared" si="34"/>
        <v>751</v>
      </c>
      <c r="K423" s="294"/>
      <c r="L423" s="297"/>
      <c r="M423" s="297"/>
      <c r="N423" s="332" t="s">
        <v>249</v>
      </c>
      <c r="O423" s="3">
        <v>7500</v>
      </c>
      <c r="Q423" s="3">
        <f t="shared" si="35"/>
        <v>7500</v>
      </c>
      <c r="R423" s="346">
        <f t="shared" si="38"/>
        <v>7500</v>
      </c>
      <c r="S423" s="346"/>
      <c r="T423" s="42"/>
      <c r="Z423" s="3">
        <f t="shared" si="29"/>
        <v>7</v>
      </c>
    </row>
    <row r="424" spans="1:26" ht="15.75" customHeight="1">
      <c r="A424" s="3">
        <v>1</v>
      </c>
      <c r="B424" s="287" t="s">
        <v>610</v>
      </c>
      <c r="C424" s="290"/>
      <c r="D424" s="289">
        <v>46166</v>
      </c>
      <c r="E424" s="330">
        <f t="shared" si="30"/>
        <v>46173</v>
      </c>
      <c r="F424" s="331">
        <f t="shared" si="31"/>
        <v>1</v>
      </c>
      <c r="G424" s="289">
        <v>45665</v>
      </c>
      <c r="H424" s="330">
        <f t="shared" si="32"/>
        <v>45688</v>
      </c>
      <c r="I424" s="331">
        <f t="shared" si="33"/>
        <v>2025</v>
      </c>
      <c r="J424" s="290">
        <f t="shared" si="34"/>
        <v>501</v>
      </c>
      <c r="K424" s="294"/>
      <c r="L424" s="297"/>
      <c r="M424" s="297"/>
      <c r="N424" s="332" t="s">
        <v>249</v>
      </c>
      <c r="O424" s="3">
        <v>8000</v>
      </c>
      <c r="Q424" s="3">
        <f t="shared" si="35"/>
        <v>8000</v>
      </c>
      <c r="R424" s="3" t="s">
        <v>1225</v>
      </c>
      <c r="T424" s="42"/>
      <c r="Z424" s="3">
        <f t="shared" si="29"/>
        <v>1</v>
      </c>
    </row>
    <row r="425" spans="1:26" ht="15.75" customHeight="1">
      <c r="A425" s="3">
        <v>1</v>
      </c>
      <c r="B425" s="287" t="s">
        <v>707</v>
      </c>
      <c r="C425" s="290"/>
      <c r="D425" s="289">
        <v>46168</v>
      </c>
      <c r="E425" s="330">
        <f t="shared" si="30"/>
        <v>46173</v>
      </c>
      <c r="F425" s="331">
        <f t="shared" si="31"/>
        <v>1</v>
      </c>
      <c r="G425" s="289">
        <v>45981</v>
      </c>
      <c r="H425" s="330">
        <f t="shared" si="32"/>
        <v>45991</v>
      </c>
      <c r="I425" s="331">
        <f t="shared" si="33"/>
        <v>2025</v>
      </c>
      <c r="J425" s="290">
        <f t="shared" si="34"/>
        <v>187</v>
      </c>
      <c r="K425" s="294"/>
      <c r="L425" s="297"/>
      <c r="M425" s="297"/>
      <c r="N425" s="332" t="s">
        <v>250</v>
      </c>
      <c r="O425" s="3">
        <v>1750</v>
      </c>
      <c r="Q425" s="3">
        <f t="shared" si="35"/>
        <v>1750</v>
      </c>
      <c r="R425" s="346">
        <f t="shared" ref="R425:R430" si="39">Q425</f>
        <v>1750</v>
      </c>
      <c r="S425" s="346"/>
      <c r="T425" s="42"/>
      <c r="Z425" s="3">
        <f t="shared" si="29"/>
        <v>3</v>
      </c>
    </row>
    <row r="426" spans="1:26" ht="15.75" customHeight="1">
      <c r="A426" s="3">
        <v>1</v>
      </c>
      <c r="B426" s="287" t="s">
        <v>1238</v>
      </c>
      <c r="C426" s="290"/>
      <c r="D426" s="289">
        <v>46168</v>
      </c>
      <c r="E426" s="330">
        <f t="shared" si="30"/>
        <v>46173</v>
      </c>
      <c r="F426" s="331">
        <f t="shared" si="31"/>
        <v>1</v>
      </c>
      <c r="G426" s="289">
        <v>45685</v>
      </c>
      <c r="H426" s="330">
        <f t="shared" si="32"/>
        <v>45688</v>
      </c>
      <c r="I426" s="331">
        <f t="shared" si="33"/>
        <v>2025</v>
      </c>
      <c r="J426" s="290">
        <f t="shared" si="34"/>
        <v>483</v>
      </c>
      <c r="K426" s="294"/>
      <c r="L426" s="297"/>
      <c r="M426" s="297"/>
      <c r="N426" s="332" t="s">
        <v>250</v>
      </c>
      <c r="O426" s="3">
        <v>1750</v>
      </c>
      <c r="Q426" s="3">
        <f t="shared" si="35"/>
        <v>1750</v>
      </c>
      <c r="R426" s="346">
        <f t="shared" si="39"/>
        <v>1750</v>
      </c>
      <c r="S426" s="346"/>
      <c r="T426" s="42"/>
      <c r="Z426" s="3">
        <f t="shared" si="29"/>
        <v>3</v>
      </c>
    </row>
    <row r="427" spans="1:26" ht="15.75" customHeight="1">
      <c r="A427" s="3">
        <v>1</v>
      </c>
      <c r="B427" s="287" t="s">
        <v>710</v>
      </c>
      <c r="C427" s="290"/>
      <c r="D427" s="289">
        <v>46171</v>
      </c>
      <c r="E427" s="330">
        <f t="shared" si="30"/>
        <v>46173</v>
      </c>
      <c r="F427" s="331">
        <f t="shared" si="31"/>
        <v>1</v>
      </c>
      <c r="G427" s="289">
        <v>45622</v>
      </c>
      <c r="H427" s="330">
        <f t="shared" si="32"/>
        <v>45626</v>
      </c>
      <c r="I427" s="331">
        <f t="shared" si="33"/>
        <v>2024</v>
      </c>
      <c r="J427" s="290">
        <f t="shared" si="34"/>
        <v>549</v>
      </c>
      <c r="K427" s="294"/>
      <c r="L427" s="297"/>
      <c r="M427" s="297"/>
      <c r="N427" s="332" t="s">
        <v>249</v>
      </c>
      <c r="O427" s="3">
        <v>7500</v>
      </c>
      <c r="Q427" s="3">
        <f t="shared" si="35"/>
        <v>7500</v>
      </c>
      <c r="R427" s="346">
        <f t="shared" si="39"/>
        <v>7500</v>
      </c>
      <c r="S427" s="346"/>
      <c r="T427" s="42"/>
      <c r="Z427" s="3">
        <f t="shared" si="29"/>
        <v>6</v>
      </c>
    </row>
    <row r="428" spans="1:26" ht="15.75" customHeight="1">
      <c r="A428" s="3">
        <v>1</v>
      </c>
      <c r="B428" s="287" t="s">
        <v>713</v>
      </c>
      <c r="C428" s="290"/>
      <c r="D428" s="289">
        <v>46172</v>
      </c>
      <c r="E428" s="330">
        <f t="shared" si="30"/>
        <v>46173</v>
      </c>
      <c r="F428" s="331">
        <f t="shared" si="31"/>
        <v>1</v>
      </c>
      <c r="G428" s="289">
        <v>45540</v>
      </c>
      <c r="H428" s="330">
        <f t="shared" si="32"/>
        <v>45565</v>
      </c>
      <c r="I428" s="331">
        <f t="shared" si="33"/>
        <v>2024</v>
      </c>
      <c r="J428" s="290">
        <f t="shared" si="34"/>
        <v>632</v>
      </c>
      <c r="K428" s="294"/>
      <c r="L428" s="297"/>
      <c r="M428" s="297"/>
      <c r="N428" s="332" t="s">
        <v>249</v>
      </c>
      <c r="O428" s="3">
        <v>7750</v>
      </c>
      <c r="Q428" s="3">
        <f t="shared" si="35"/>
        <v>7750</v>
      </c>
      <c r="R428" s="346">
        <f t="shared" si="39"/>
        <v>7750</v>
      </c>
      <c r="S428" s="346"/>
      <c r="T428" s="42"/>
      <c r="Z428" s="3">
        <f t="shared" si="29"/>
        <v>7</v>
      </c>
    </row>
    <row r="429" spans="1:26" ht="15.75" customHeight="1">
      <c r="A429" s="3">
        <v>1</v>
      </c>
      <c r="B429" s="287" t="s">
        <v>714</v>
      </c>
      <c r="C429" s="290"/>
      <c r="D429" s="289">
        <v>46173</v>
      </c>
      <c r="E429" s="330">
        <f t="shared" si="30"/>
        <v>46173</v>
      </c>
      <c r="F429" s="331">
        <f t="shared" si="31"/>
        <v>1</v>
      </c>
      <c r="G429" s="289">
        <v>45708</v>
      </c>
      <c r="H429" s="330">
        <f t="shared" si="32"/>
        <v>45716</v>
      </c>
      <c r="I429" s="331">
        <f t="shared" si="33"/>
        <v>2025</v>
      </c>
      <c r="J429" s="290">
        <f t="shared" si="34"/>
        <v>465</v>
      </c>
      <c r="K429" s="294"/>
      <c r="L429" s="297"/>
      <c r="M429" s="297"/>
      <c r="N429" s="332" t="s">
        <v>249</v>
      </c>
      <c r="O429" s="3">
        <v>8000</v>
      </c>
      <c r="Q429" s="3">
        <f t="shared" si="35"/>
        <v>8000</v>
      </c>
      <c r="R429" s="346">
        <f t="shared" si="39"/>
        <v>8000</v>
      </c>
      <c r="S429" s="346"/>
      <c r="T429" s="42"/>
      <c r="Z429" s="3">
        <f t="shared" si="29"/>
        <v>1</v>
      </c>
    </row>
    <row r="430" spans="1:26" ht="15.75" customHeight="1">
      <c r="A430" s="3">
        <v>1</v>
      </c>
      <c r="B430" s="287" t="s">
        <v>716</v>
      </c>
      <c r="C430" s="290"/>
      <c r="D430" s="289">
        <v>46178</v>
      </c>
      <c r="E430" s="330">
        <f t="shared" si="30"/>
        <v>46203</v>
      </c>
      <c r="F430" s="331">
        <f t="shared" si="31"/>
        <v>3</v>
      </c>
      <c r="G430" s="289">
        <v>45554</v>
      </c>
      <c r="H430" s="330">
        <f t="shared" si="32"/>
        <v>45565</v>
      </c>
      <c r="I430" s="331">
        <f t="shared" si="33"/>
        <v>2024</v>
      </c>
      <c r="J430" s="290">
        <f t="shared" si="34"/>
        <v>624</v>
      </c>
      <c r="K430" s="294"/>
      <c r="L430" s="297"/>
      <c r="M430" s="297"/>
      <c r="N430" s="332" t="s">
        <v>249</v>
      </c>
      <c r="O430" s="3">
        <v>6750</v>
      </c>
      <c r="Q430" s="3">
        <f t="shared" si="35"/>
        <v>6750</v>
      </c>
      <c r="R430" s="346">
        <f t="shared" si="39"/>
        <v>6750</v>
      </c>
      <c r="S430" s="346"/>
      <c r="T430" s="42"/>
      <c r="Z430" s="3">
        <f t="shared" si="29"/>
        <v>6</v>
      </c>
    </row>
    <row r="431" spans="1:26" ht="15.75" customHeight="1">
      <c r="A431" s="3">
        <v>1</v>
      </c>
      <c r="B431" s="287" t="s">
        <v>718</v>
      </c>
      <c r="C431" s="290"/>
      <c r="D431" s="289">
        <v>46179</v>
      </c>
      <c r="E431" s="330">
        <f t="shared" si="30"/>
        <v>46203</v>
      </c>
      <c r="F431" s="331">
        <f t="shared" si="31"/>
        <v>3</v>
      </c>
      <c r="G431" s="289">
        <v>45791</v>
      </c>
      <c r="H431" s="330">
        <f t="shared" si="32"/>
        <v>45808</v>
      </c>
      <c r="I431" s="331">
        <f t="shared" si="33"/>
        <v>2025</v>
      </c>
      <c r="J431" s="290">
        <f t="shared" si="34"/>
        <v>388</v>
      </c>
      <c r="K431" s="294"/>
      <c r="L431" s="297"/>
      <c r="M431" s="297"/>
      <c r="N431" s="332" t="s">
        <v>249</v>
      </c>
      <c r="O431" s="3">
        <v>8000</v>
      </c>
      <c r="Q431" s="3">
        <f t="shared" si="35"/>
        <v>8000</v>
      </c>
      <c r="R431" s="3">
        <v>6000</v>
      </c>
      <c r="T431" s="42"/>
      <c r="Z431" s="3">
        <f t="shared" si="29"/>
        <v>7</v>
      </c>
    </row>
    <row r="432" spans="1:26" ht="15.75" customHeight="1">
      <c r="A432" s="3">
        <v>1</v>
      </c>
      <c r="B432" s="287" t="s">
        <v>719</v>
      </c>
      <c r="C432" s="290"/>
      <c r="D432" s="289">
        <v>46180</v>
      </c>
      <c r="E432" s="330">
        <f t="shared" si="30"/>
        <v>46203</v>
      </c>
      <c r="F432" s="331">
        <f t="shared" si="31"/>
        <v>3</v>
      </c>
      <c r="G432" s="289">
        <v>45813</v>
      </c>
      <c r="H432" s="330">
        <f t="shared" si="32"/>
        <v>45838</v>
      </c>
      <c r="I432" s="331">
        <f t="shared" si="33"/>
        <v>2025</v>
      </c>
      <c r="J432" s="290">
        <f t="shared" si="34"/>
        <v>367</v>
      </c>
      <c r="K432" s="294"/>
      <c r="L432" s="297"/>
      <c r="M432" s="297"/>
      <c r="N432" s="332" t="s">
        <v>249</v>
      </c>
      <c r="O432" s="3">
        <v>7200</v>
      </c>
      <c r="Q432" s="3">
        <f t="shared" si="35"/>
        <v>7200</v>
      </c>
      <c r="R432" s="3">
        <v>5470</v>
      </c>
      <c r="T432" s="42"/>
      <c r="Z432" s="3">
        <f t="shared" si="29"/>
        <v>1</v>
      </c>
    </row>
    <row r="433" spans="1:26" ht="15.75" customHeight="1">
      <c r="A433" s="3">
        <v>1</v>
      </c>
      <c r="B433" s="287" t="s">
        <v>721</v>
      </c>
      <c r="C433" s="290"/>
      <c r="D433" s="289">
        <v>46185</v>
      </c>
      <c r="E433" s="330">
        <f t="shared" si="30"/>
        <v>46203</v>
      </c>
      <c r="F433" s="331">
        <f t="shared" si="31"/>
        <v>3</v>
      </c>
      <c r="G433" s="289">
        <v>45587</v>
      </c>
      <c r="H433" s="330">
        <f t="shared" si="32"/>
        <v>45596</v>
      </c>
      <c r="I433" s="331">
        <f t="shared" si="33"/>
        <v>2024</v>
      </c>
      <c r="J433" s="290">
        <f t="shared" si="34"/>
        <v>598</v>
      </c>
      <c r="K433" s="294"/>
      <c r="L433" s="297"/>
      <c r="M433" s="297"/>
      <c r="N433" s="332" t="s">
        <v>249</v>
      </c>
      <c r="O433" s="3">
        <v>6750</v>
      </c>
      <c r="Q433" s="3">
        <f t="shared" si="35"/>
        <v>6750</v>
      </c>
      <c r="R433" s="3">
        <v>5170</v>
      </c>
      <c r="T433" s="42"/>
      <c r="Z433" s="3">
        <f t="shared" si="29"/>
        <v>6</v>
      </c>
    </row>
    <row r="434" spans="1:26" ht="15.75" customHeight="1">
      <c r="A434" s="3">
        <v>1</v>
      </c>
      <c r="B434" s="287" t="s">
        <v>724</v>
      </c>
      <c r="C434" s="290"/>
      <c r="D434" s="289">
        <v>46186</v>
      </c>
      <c r="E434" s="330">
        <f t="shared" si="30"/>
        <v>46203</v>
      </c>
      <c r="F434" s="331">
        <f t="shared" si="31"/>
        <v>3</v>
      </c>
      <c r="G434" s="289">
        <v>45624</v>
      </c>
      <c r="H434" s="330">
        <f t="shared" si="32"/>
        <v>45626</v>
      </c>
      <c r="I434" s="331">
        <f t="shared" si="33"/>
        <v>2024</v>
      </c>
      <c r="J434" s="290">
        <f t="shared" si="34"/>
        <v>562</v>
      </c>
      <c r="K434" s="294"/>
      <c r="L434" s="297"/>
      <c r="M434" s="297"/>
      <c r="N434" s="332" t="s">
        <v>249</v>
      </c>
      <c r="O434" s="3">
        <v>8000</v>
      </c>
      <c r="Q434" s="3">
        <f t="shared" si="35"/>
        <v>8000</v>
      </c>
      <c r="R434" s="346">
        <f>Q434</f>
        <v>8000</v>
      </c>
      <c r="S434" s="346"/>
      <c r="T434" s="42"/>
      <c r="Z434" s="3">
        <f t="shared" si="29"/>
        <v>7</v>
      </c>
    </row>
    <row r="435" spans="1:26" ht="15.75" customHeight="1">
      <c r="A435" s="3">
        <v>1</v>
      </c>
      <c r="B435" s="287" t="s">
        <v>725</v>
      </c>
      <c r="C435" s="290"/>
      <c r="D435" s="289">
        <v>46187</v>
      </c>
      <c r="E435" s="330">
        <f t="shared" si="30"/>
        <v>46203</v>
      </c>
      <c r="F435" s="331">
        <f t="shared" si="31"/>
        <v>3</v>
      </c>
      <c r="G435" s="289">
        <v>45874</v>
      </c>
      <c r="H435" s="330">
        <f t="shared" si="32"/>
        <v>45900</v>
      </c>
      <c r="I435" s="331">
        <f t="shared" si="33"/>
        <v>2025</v>
      </c>
      <c r="J435" s="290">
        <f t="shared" si="34"/>
        <v>313</v>
      </c>
      <c r="K435" s="294"/>
      <c r="L435" s="297"/>
      <c r="M435" s="297"/>
      <c r="N435" s="332" t="s">
        <v>249</v>
      </c>
      <c r="O435" s="3">
        <v>8250</v>
      </c>
      <c r="Q435" s="3">
        <f t="shared" si="35"/>
        <v>8250</v>
      </c>
      <c r="R435" s="3">
        <v>6170</v>
      </c>
      <c r="T435" s="42"/>
      <c r="Z435" s="3">
        <f t="shared" si="29"/>
        <v>1</v>
      </c>
    </row>
    <row r="436" spans="1:26" ht="15.75" customHeight="1">
      <c r="A436" s="3">
        <v>1</v>
      </c>
      <c r="B436" s="287" t="s">
        <v>726</v>
      </c>
      <c r="C436" s="290"/>
      <c r="D436" s="289">
        <v>46192</v>
      </c>
      <c r="E436" s="330">
        <f t="shared" si="30"/>
        <v>46203</v>
      </c>
      <c r="F436" s="331">
        <f t="shared" si="31"/>
        <v>3</v>
      </c>
      <c r="G436" s="289">
        <v>45679</v>
      </c>
      <c r="H436" s="330">
        <f t="shared" si="32"/>
        <v>45688</v>
      </c>
      <c r="I436" s="331">
        <f t="shared" si="33"/>
        <v>2025</v>
      </c>
      <c r="J436" s="290">
        <f t="shared" si="34"/>
        <v>513</v>
      </c>
      <c r="K436" s="294"/>
      <c r="L436" s="297"/>
      <c r="M436" s="297"/>
      <c r="N436" s="332" t="s">
        <v>249</v>
      </c>
      <c r="O436" s="3">
        <v>9000</v>
      </c>
      <c r="Q436" s="3">
        <f t="shared" si="35"/>
        <v>9000</v>
      </c>
      <c r="R436" s="3">
        <v>6670</v>
      </c>
      <c r="T436" s="42"/>
      <c r="Z436" s="3">
        <f t="shared" si="29"/>
        <v>6</v>
      </c>
    </row>
    <row r="437" spans="1:26" ht="15.75" customHeight="1">
      <c r="A437" s="3">
        <v>1</v>
      </c>
      <c r="B437" s="287" t="s">
        <v>727</v>
      </c>
      <c r="C437" s="290"/>
      <c r="D437" s="289">
        <v>46193</v>
      </c>
      <c r="E437" s="330">
        <f t="shared" si="30"/>
        <v>46203</v>
      </c>
      <c r="F437" s="331">
        <f t="shared" si="31"/>
        <v>3</v>
      </c>
      <c r="G437" s="289">
        <v>45628</v>
      </c>
      <c r="H437" s="330">
        <f t="shared" si="32"/>
        <v>45657</v>
      </c>
      <c r="I437" s="331">
        <f t="shared" si="33"/>
        <v>2024</v>
      </c>
      <c r="J437" s="290">
        <f t="shared" si="34"/>
        <v>565</v>
      </c>
      <c r="K437" s="294"/>
      <c r="L437" s="297"/>
      <c r="M437" s="297"/>
      <c r="N437" s="332" t="s">
        <v>249</v>
      </c>
      <c r="O437" s="3">
        <v>8000</v>
      </c>
      <c r="Q437" s="3">
        <f t="shared" si="35"/>
        <v>8000</v>
      </c>
      <c r="R437" s="346">
        <f t="shared" ref="R437:R438" si="40">Q437</f>
        <v>8000</v>
      </c>
      <c r="S437" s="346"/>
      <c r="T437" s="42"/>
      <c r="Z437" s="3">
        <f t="shared" si="29"/>
        <v>7</v>
      </c>
    </row>
    <row r="438" spans="1:26" ht="15.75" customHeight="1">
      <c r="A438" s="3">
        <v>1</v>
      </c>
      <c r="B438" s="287" t="s">
        <v>729</v>
      </c>
      <c r="C438" s="290"/>
      <c r="D438" s="289">
        <v>46196</v>
      </c>
      <c r="E438" s="330">
        <f t="shared" si="30"/>
        <v>46203</v>
      </c>
      <c r="F438" s="331">
        <f t="shared" si="31"/>
        <v>3</v>
      </c>
      <c r="G438" s="289">
        <v>46002</v>
      </c>
      <c r="H438" s="330">
        <f t="shared" si="32"/>
        <v>46022</v>
      </c>
      <c r="I438" s="331">
        <f t="shared" si="33"/>
        <v>2025</v>
      </c>
      <c r="J438" s="290">
        <f t="shared" si="34"/>
        <v>194</v>
      </c>
      <c r="K438" s="294"/>
      <c r="L438" s="297"/>
      <c r="M438" s="297"/>
      <c r="N438" s="332" t="s">
        <v>250</v>
      </c>
      <c r="O438" s="3">
        <v>1750</v>
      </c>
      <c r="Q438" s="3">
        <f t="shared" si="35"/>
        <v>1750</v>
      </c>
      <c r="R438" s="346">
        <f t="shared" si="40"/>
        <v>1750</v>
      </c>
      <c r="S438" s="346"/>
      <c r="T438" s="42"/>
      <c r="Z438" s="3">
        <f t="shared" si="29"/>
        <v>3</v>
      </c>
    </row>
    <row r="439" spans="1:26" ht="15.75" customHeight="1">
      <c r="A439" s="3">
        <v>1</v>
      </c>
      <c r="B439" s="287" t="s">
        <v>612</v>
      </c>
      <c r="C439" s="290"/>
      <c r="D439" s="289">
        <v>46199</v>
      </c>
      <c r="E439" s="330">
        <f t="shared" si="30"/>
        <v>46203</v>
      </c>
      <c r="F439" s="331">
        <f t="shared" si="31"/>
        <v>3</v>
      </c>
      <c r="G439" s="289">
        <v>45708</v>
      </c>
      <c r="H439" s="330">
        <f t="shared" si="32"/>
        <v>45716</v>
      </c>
      <c r="I439" s="331">
        <f t="shared" si="33"/>
        <v>2025</v>
      </c>
      <c r="J439" s="290">
        <f t="shared" si="34"/>
        <v>491</v>
      </c>
      <c r="K439" s="294"/>
      <c r="L439" s="297"/>
      <c r="M439" s="297"/>
      <c r="N439" s="332" t="s">
        <v>249</v>
      </c>
      <c r="O439" s="3">
        <v>7500</v>
      </c>
      <c r="Q439" s="3">
        <f t="shared" si="35"/>
        <v>7500</v>
      </c>
      <c r="R439" s="3" t="s">
        <v>1225</v>
      </c>
      <c r="T439" s="42"/>
      <c r="Z439" s="3">
        <f t="shared" si="29"/>
        <v>6</v>
      </c>
    </row>
    <row r="440" spans="1:26" ht="15.75" customHeight="1">
      <c r="A440" s="3">
        <v>1</v>
      </c>
      <c r="B440" s="287" t="s">
        <v>730</v>
      </c>
      <c r="C440" s="290"/>
      <c r="D440" s="289">
        <v>46200</v>
      </c>
      <c r="E440" s="330">
        <f t="shared" si="30"/>
        <v>46203</v>
      </c>
      <c r="F440" s="331">
        <f t="shared" si="31"/>
        <v>3</v>
      </c>
      <c r="G440" s="289">
        <v>45705</v>
      </c>
      <c r="H440" s="330">
        <f t="shared" si="32"/>
        <v>45716</v>
      </c>
      <c r="I440" s="331">
        <f t="shared" si="33"/>
        <v>2025</v>
      </c>
      <c r="J440" s="290">
        <f t="shared" si="34"/>
        <v>495</v>
      </c>
      <c r="K440" s="294"/>
      <c r="L440" s="297"/>
      <c r="M440" s="297"/>
      <c r="N440" s="332" t="s">
        <v>249</v>
      </c>
      <c r="O440" s="3">
        <v>8000</v>
      </c>
      <c r="Q440" s="3">
        <f t="shared" si="35"/>
        <v>8000</v>
      </c>
      <c r="R440" s="3">
        <v>6000</v>
      </c>
      <c r="T440" s="42"/>
      <c r="Z440" s="3">
        <f t="shared" si="29"/>
        <v>7</v>
      </c>
    </row>
    <row r="441" spans="1:26" ht="15.75" customHeight="1">
      <c r="A441" s="3">
        <v>1</v>
      </c>
      <c r="B441" s="287" t="s">
        <v>731</v>
      </c>
      <c r="C441" s="290"/>
      <c r="D441" s="289">
        <v>46203</v>
      </c>
      <c r="E441" s="330">
        <f t="shared" si="30"/>
        <v>46203</v>
      </c>
      <c r="F441" s="331">
        <f t="shared" si="31"/>
        <v>3</v>
      </c>
      <c r="G441" s="289">
        <v>45854</v>
      </c>
      <c r="H441" s="330">
        <f t="shared" si="32"/>
        <v>45869</v>
      </c>
      <c r="I441" s="331">
        <f t="shared" si="33"/>
        <v>2025</v>
      </c>
      <c r="J441" s="290">
        <f t="shared" si="34"/>
        <v>349</v>
      </c>
      <c r="K441" s="294"/>
      <c r="L441" s="297"/>
      <c r="M441" s="297"/>
      <c r="N441" s="332" t="s">
        <v>250</v>
      </c>
      <c r="O441" s="3">
        <v>1750</v>
      </c>
      <c r="Q441" s="3">
        <f t="shared" si="35"/>
        <v>1750</v>
      </c>
      <c r="R441" s="346">
        <f>Q441</f>
        <v>1750</v>
      </c>
      <c r="S441" s="346"/>
      <c r="T441" s="42"/>
      <c r="Z441" s="3">
        <f t="shared" si="29"/>
        <v>3</v>
      </c>
    </row>
    <row r="442" spans="1:26" ht="15.75" customHeight="1">
      <c r="A442" s="3">
        <v>1</v>
      </c>
      <c r="B442" s="287" t="s">
        <v>732</v>
      </c>
      <c r="C442" s="290"/>
      <c r="D442" s="289">
        <v>46214</v>
      </c>
      <c r="E442" s="330">
        <f t="shared" si="30"/>
        <v>46234</v>
      </c>
      <c r="F442" s="331">
        <f t="shared" si="31"/>
        <v>6</v>
      </c>
      <c r="G442" s="289">
        <v>45721</v>
      </c>
      <c r="H442" s="330">
        <f t="shared" si="32"/>
        <v>45747</v>
      </c>
      <c r="I442" s="331">
        <f t="shared" si="33"/>
        <v>2025</v>
      </c>
      <c r="J442" s="290">
        <f t="shared" si="34"/>
        <v>493</v>
      </c>
      <c r="K442" s="294"/>
      <c r="L442" s="297"/>
      <c r="M442" s="297"/>
      <c r="N442" s="332" t="s">
        <v>249</v>
      </c>
      <c r="O442" s="3">
        <v>8000</v>
      </c>
      <c r="Q442" s="3">
        <f t="shared" si="35"/>
        <v>8000</v>
      </c>
      <c r="R442" s="3">
        <v>6000</v>
      </c>
      <c r="T442" s="42"/>
      <c r="Z442" s="3">
        <f t="shared" si="29"/>
        <v>7</v>
      </c>
    </row>
    <row r="443" spans="1:26" ht="15.75" customHeight="1">
      <c r="A443" s="3">
        <v>1</v>
      </c>
      <c r="B443" s="287" t="s">
        <v>734</v>
      </c>
      <c r="C443" s="290"/>
      <c r="D443" s="289">
        <v>46220</v>
      </c>
      <c r="E443" s="330">
        <f t="shared" si="30"/>
        <v>46234</v>
      </c>
      <c r="F443" s="331">
        <f t="shared" si="31"/>
        <v>6</v>
      </c>
      <c r="G443" s="289">
        <v>45902</v>
      </c>
      <c r="H443" s="330">
        <f t="shared" si="32"/>
        <v>45930</v>
      </c>
      <c r="I443" s="331">
        <f t="shared" si="33"/>
        <v>2025</v>
      </c>
      <c r="J443" s="290">
        <f t="shared" si="34"/>
        <v>318</v>
      </c>
      <c r="K443" s="294"/>
      <c r="L443" s="297"/>
      <c r="M443" s="297"/>
      <c r="N443" s="332" t="s">
        <v>249</v>
      </c>
      <c r="O443" s="3">
        <v>7750</v>
      </c>
      <c r="Q443" s="3">
        <f t="shared" si="35"/>
        <v>7750</v>
      </c>
      <c r="R443" s="346">
        <f>Q443</f>
        <v>7750</v>
      </c>
      <c r="S443" s="346"/>
      <c r="T443" s="42"/>
      <c r="Z443" s="3">
        <f t="shared" si="29"/>
        <v>6</v>
      </c>
    </row>
    <row r="444" spans="1:26" ht="15.75" customHeight="1">
      <c r="A444" s="3">
        <v>1</v>
      </c>
      <c r="B444" s="287" t="s">
        <v>736</v>
      </c>
      <c r="C444" s="290"/>
      <c r="D444" s="289">
        <v>46221</v>
      </c>
      <c r="E444" s="330">
        <f t="shared" si="30"/>
        <v>46234</v>
      </c>
      <c r="F444" s="331">
        <f t="shared" si="31"/>
        <v>6</v>
      </c>
      <c r="G444" s="289">
        <v>45772</v>
      </c>
      <c r="H444" s="330">
        <f t="shared" si="32"/>
        <v>45777</v>
      </c>
      <c r="I444" s="331">
        <f t="shared" si="33"/>
        <v>2025</v>
      </c>
      <c r="J444" s="290">
        <f t="shared" si="34"/>
        <v>449</v>
      </c>
      <c r="K444" s="294"/>
      <c r="L444" s="297"/>
      <c r="M444" s="297"/>
      <c r="N444" s="332" t="s">
        <v>249</v>
      </c>
      <c r="O444" s="3">
        <v>8000</v>
      </c>
      <c r="Q444" s="3">
        <f t="shared" si="35"/>
        <v>8000</v>
      </c>
      <c r="R444" s="3">
        <v>6000</v>
      </c>
      <c r="T444" s="42"/>
      <c r="Z444" s="3">
        <f t="shared" si="29"/>
        <v>7</v>
      </c>
    </row>
    <row r="445" spans="1:26" ht="15.75" customHeight="1">
      <c r="A445" s="3">
        <v>1</v>
      </c>
      <c r="B445" s="287" t="s">
        <v>737</v>
      </c>
      <c r="C445" s="290"/>
      <c r="D445" s="289">
        <v>46222</v>
      </c>
      <c r="E445" s="330">
        <f t="shared" si="30"/>
        <v>46234</v>
      </c>
      <c r="F445" s="331">
        <f t="shared" si="31"/>
        <v>6</v>
      </c>
      <c r="G445" s="289">
        <v>45947</v>
      </c>
      <c r="H445" s="330">
        <f t="shared" si="32"/>
        <v>45961</v>
      </c>
      <c r="I445" s="331">
        <f t="shared" si="33"/>
        <v>2025</v>
      </c>
      <c r="J445" s="290">
        <f t="shared" si="34"/>
        <v>275</v>
      </c>
      <c r="K445" s="294"/>
      <c r="L445" s="297"/>
      <c r="M445" s="297"/>
      <c r="N445" s="332" t="s">
        <v>249</v>
      </c>
      <c r="O445" s="3">
        <v>8250</v>
      </c>
      <c r="Q445" s="3">
        <f t="shared" si="35"/>
        <v>8250</v>
      </c>
      <c r="R445" s="346">
        <f t="shared" ref="R445:R446" si="41">Q445</f>
        <v>8250</v>
      </c>
      <c r="S445" s="346"/>
      <c r="T445" s="42"/>
      <c r="Z445" s="3">
        <f t="shared" si="29"/>
        <v>1</v>
      </c>
    </row>
    <row r="446" spans="1:26" ht="15.75" customHeight="1">
      <c r="A446" s="3">
        <v>1</v>
      </c>
      <c r="B446" s="287" t="s">
        <v>738</v>
      </c>
      <c r="C446" s="290"/>
      <c r="D446" s="289">
        <v>46227</v>
      </c>
      <c r="E446" s="330">
        <f t="shared" si="30"/>
        <v>46234</v>
      </c>
      <c r="F446" s="331">
        <f t="shared" si="31"/>
        <v>6</v>
      </c>
      <c r="G446" s="289">
        <v>45890</v>
      </c>
      <c r="H446" s="330">
        <f t="shared" si="32"/>
        <v>45900</v>
      </c>
      <c r="I446" s="331">
        <f t="shared" si="33"/>
        <v>2025</v>
      </c>
      <c r="J446" s="290">
        <f t="shared" si="34"/>
        <v>337</v>
      </c>
      <c r="K446" s="294"/>
      <c r="L446" s="297"/>
      <c r="M446" s="297"/>
      <c r="N446" s="332" t="s">
        <v>249</v>
      </c>
      <c r="O446" s="3">
        <v>9250</v>
      </c>
      <c r="Q446" s="3">
        <f t="shared" si="35"/>
        <v>9250</v>
      </c>
      <c r="R446" s="346">
        <f t="shared" si="41"/>
        <v>9250</v>
      </c>
      <c r="S446" s="346"/>
      <c r="T446" s="42"/>
      <c r="Z446" s="3">
        <f t="shared" si="29"/>
        <v>6</v>
      </c>
    </row>
    <row r="447" spans="1:26" ht="15.75" customHeight="1">
      <c r="A447" s="3">
        <v>1</v>
      </c>
      <c r="B447" s="287" t="s">
        <v>740</v>
      </c>
      <c r="C447" s="290"/>
      <c r="D447" s="289">
        <v>46228</v>
      </c>
      <c r="E447" s="330">
        <f t="shared" si="30"/>
        <v>46234</v>
      </c>
      <c r="F447" s="331">
        <f t="shared" si="31"/>
        <v>6</v>
      </c>
      <c r="G447" s="289">
        <v>45783</v>
      </c>
      <c r="H447" s="330">
        <f t="shared" si="32"/>
        <v>45808</v>
      </c>
      <c r="I447" s="331">
        <f t="shared" si="33"/>
        <v>2025</v>
      </c>
      <c r="J447" s="290">
        <f t="shared" si="34"/>
        <v>445</v>
      </c>
      <c r="K447" s="294"/>
      <c r="L447" s="297"/>
      <c r="M447" s="297"/>
      <c r="N447" s="332" t="s">
        <v>249</v>
      </c>
      <c r="O447" s="3">
        <v>8000</v>
      </c>
      <c r="Q447" s="3">
        <f t="shared" si="35"/>
        <v>8000</v>
      </c>
      <c r="R447" s="3">
        <v>6000</v>
      </c>
      <c r="T447" s="42"/>
      <c r="Z447" s="3">
        <f t="shared" si="29"/>
        <v>7</v>
      </c>
    </row>
    <row r="448" spans="1:26" ht="15.75" customHeight="1">
      <c r="A448" s="3">
        <v>1</v>
      </c>
      <c r="B448" s="287" t="s">
        <v>741</v>
      </c>
      <c r="C448" s="290"/>
      <c r="D448" s="289">
        <v>46229</v>
      </c>
      <c r="E448" s="330">
        <f t="shared" si="30"/>
        <v>46234</v>
      </c>
      <c r="F448" s="331">
        <f t="shared" si="31"/>
        <v>6</v>
      </c>
      <c r="G448" s="289">
        <v>45897</v>
      </c>
      <c r="H448" s="330">
        <f t="shared" si="32"/>
        <v>45900</v>
      </c>
      <c r="I448" s="331">
        <f t="shared" si="33"/>
        <v>2025</v>
      </c>
      <c r="J448" s="290">
        <f t="shared" si="34"/>
        <v>332</v>
      </c>
      <c r="K448" s="294"/>
      <c r="L448" s="297"/>
      <c r="M448" s="297"/>
      <c r="N448" s="332" t="s">
        <v>249</v>
      </c>
      <c r="O448" s="3">
        <v>8250</v>
      </c>
      <c r="Q448" s="3">
        <f t="shared" si="35"/>
        <v>8250</v>
      </c>
      <c r="R448" s="3">
        <v>6170</v>
      </c>
      <c r="T448" s="42"/>
      <c r="Z448" s="3">
        <f t="shared" si="29"/>
        <v>1</v>
      </c>
    </row>
    <row r="449" spans="1:26" ht="15.75" customHeight="1">
      <c r="A449" s="3">
        <v>1</v>
      </c>
      <c r="B449" s="287" t="s">
        <v>743</v>
      </c>
      <c r="C449" s="290"/>
      <c r="D449" s="289">
        <v>46234</v>
      </c>
      <c r="E449" s="330">
        <f t="shared" si="30"/>
        <v>46234</v>
      </c>
      <c r="F449" s="331">
        <f t="shared" si="31"/>
        <v>6</v>
      </c>
      <c r="G449" s="289">
        <v>45881</v>
      </c>
      <c r="H449" s="330">
        <f t="shared" si="32"/>
        <v>45900</v>
      </c>
      <c r="I449" s="331">
        <f t="shared" si="33"/>
        <v>2025</v>
      </c>
      <c r="J449" s="290">
        <f t="shared" si="34"/>
        <v>353</v>
      </c>
      <c r="K449" s="294"/>
      <c r="L449" s="297"/>
      <c r="M449" s="297"/>
      <c r="N449" s="332" t="s">
        <v>249</v>
      </c>
      <c r="O449" s="3">
        <v>7750</v>
      </c>
      <c r="Q449" s="3">
        <f t="shared" si="35"/>
        <v>7750</v>
      </c>
      <c r="R449" s="3">
        <v>5840</v>
      </c>
      <c r="T449" s="42"/>
      <c r="Z449" s="3">
        <f t="shared" si="29"/>
        <v>6</v>
      </c>
    </row>
    <row r="450" spans="1:26" ht="15.75" customHeight="1">
      <c r="A450" s="3">
        <v>1</v>
      </c>
      <c r="B450" s="287" t="s">
        <v>745</v>
      </c>
      <c r="C450" s="290"/>
      <c r="D450" s="289">
        <v>46235</v>
      </c>
      <c r="E450" s="330">
        <f t="shared" si="30"/>
        <v>46265</v>
      </c>
      <c r="F450" s="331">
        <f t="shared" si="31"/>
        <v>2</v>
      </c>
      <c r="G450" s="289">
        <v>45839</v>
      </c>
      <c r="H450" s="330">
        <f t="shared" si="32"/>
        <v>45869</v>
      </c>
      <c r="I450" s="331">
        <f t="shared" si="33"/>
        <v>2025</v>
      </c>
      <c r="J450" s="290">
        <f t="shared" si="34"/>
        <v>396</v>
      </c>
      <c r="K450" s="294"/>
      <c r="L450" s="297"/>
      <c r="M450" s="297"/>
      <c r="N450" s="332" t="s">
        <v>249</v>
      </c>
      <c r="O450" s="3">
        <v>8250</v>
      </c>
      <c r="Q450" s="3">
        <f t="shared" si="35"/>
        <v>8250</v>
      </c>
      <c r="R450" s="3">
        <v>6160</v>
      </c>
      <c r="T450" s="42"/>
      <c r="Z450" s="3">
        <f t="shared" si="29"/>
        <v>7</v>
      </c>
    </row>
    <row r="451" spans="1:26" ht="15.75" customHeight="1">
      <c r="A451" s="3">
        <v>1</v>
      </c>
      <c r="B451" s="287" t="s">
        <v>746</v>
      </c>
      <c r="C451" s="290"/>
      <c r="D451" s="289">
        <v>46236</v>
      </c>
      <c r="E451" s="330">
        <f t="shared" si="30"/>
        <v>46265</v>
      </c>
      <c r="F451" s="331">
        <f t="shared" si="31"/>
        <v>2</v>
      </c>
      <c r="G451" s="289">
        <v>45842</v>
      </c>
      <c r="H451" s="330">
        <f t="shared" si="32"/>
        <v>45869</v>
      </c>
      <c r="I451" s="331">
        <f t="shared" si="33"/>
        <v>2025</v>
      </c>
      <c r="J451" s="290">
        <f t="shared" si="34"/>
        <v>394</v>
      </c>
      <c r="K451" s="294"/>
      <c r="L451" s="297"/>
      <c r="M451" s="297"/>
      <c r="N451" s="332" t="s">
        <v>249</v>
      </c>
      <c r="O451" s="3">
        <v>8000</v>
      </c>
      <c r="Q451" s="3">
        <f t="shared" si="35"/>
        <v>8000</v>
      </c>
      <c r="R451" s="3">
        <v>6000</v>
      </c>
      <c r="T451" s="42"/>
      <c r="Z451" s="3">
        <f t="shared" si="29"/>
        <v>1</v>
      </c>
    </row>
    <row r="452" spans="1:26" ht="15.75" customHeight="1">
      <c r="A452" s="3">
        <v>1</v>
      </c>
      <c r="B452" s="287" t="s">
        <v>748</v>
      </c>
      <c r="C452" s="290"/>
      <c r="D452" s="289">
        <v>46241</v>
      </c>
      <c r="E452" s="330">
        <f t="shared" si="30"/>
        <v>46265</v>
      </c>
      <c r="F452" s="331">
        <f t="shared" si="31"/>
        <v>2</v>
      </c>
      <c r="G452" s="289">
        <v>45884</v>
      </c>
      <c r="H452" s="330">
        <f t="shared" si="32"/>
        <v>45900</v>
      </c>
      <c r="I452" s="331">
        <f t="shared" si="33"/>
        <v>2025</v>
      </c>
      <c r="J452" s="290">
        <f t="shared" si="34"/>
        <v>357</v>
      </c>
      <c r="K452" s="294"/>
      <c r="L452" s="297"/>
      <c r="M452" s="297"/>
      <c r="N452" s="332" t="s">
        <v>249</v>
      </c>
      <c r="O452" s="3">
        <v>7750</v>
      </c>
      <c r="Q452" s="3">
        <f t="shared" si="35"/>
        <v>7750</v>
      </c>
      <c r="R452" s="3">
        <v>5840</v>
      </c>
      <c r="T452" s="42"/>
      <c r="Z452" s="3">
        <f t="shared" si="29"/>
        <v>6</v>
      </c>
    </row>
    <row r="453" spans="1:26" ht="15.75" customHeight="1">
      <c r="A453" s="3">
        <v>1</v>
      </c>
      <c r="B453" s="287" t="s">
        <v>613</v>
      </c>
      <c r="C453" s="290"/>
      <c r="D453" s="289">
        <v>46242</v>
      </c>
      <c r="E453" s="330">
        <f t="shared" si="30"/>
        <v>46265</v>
      </c>
      <c r="F453" s="331">
        <f t="shared" si="31"/>
        <v>2</v>
      </c>
      <c r="G453" s="289">
        <v>45840</v>
      </c>
      <c r="H453" s="330">
        <f t="shared" si="32"/>
        <v>45869</v>
      </c>
      <c r="I453" s="331">
        <f t="shared" si="33"/>
        <v>2025</v>
      </c>
      <c r="J453" s="290">
        <f t="shared" si="34"/>
        <v>402</v>
      </c>
      <c r="K453" s="294"/>
      <c r="L453" s="297"/>
      <c r="M453" s="297"/>
      <c r="N453" s="332" t="s">
        <v>249</v>
      </c>
      <c r="O453" s="3">
        <v>8000</v>
      </c>
      <c r="Q453" s="3">
        <f t="shared" si="35"/>
        <v>8000</v>
      </c>
      <c r="R453" s="3" t="s">
        <v>1225</v>
      </c>
      <c r="T453" s="42">
        <v>7450</v>
      </c>
      <c r="Z453" s="3">
        <f t="shared" si="29"/>
        <v>7</v>
      </c>
    </row>
    <row r="454" spans="1:26" ht="15.75" customHeight="1">
      <c r="A454" s="3">
        <v>1</v>
      </c>
      <c r="B454" s="287" t="s">
        <v>750</v>
      </c>
      <c r="C454" s="290"/>
      <c r="D454" s="289">
        <v>46245</v>
      </c>
      <c r="E454" s="330">
        <f t="shared" si="30"/>
        <v>46265</v>
      </c>
      <c r="F454" s="331">
        <f t="shared" si="31"/>
        <v>2</v>
      </c>
      <c r="G454" s="289">
        <v>46020</v>
      </c>
      <c r="H454" s="330">
        <f t="shared" si="32"/>
        <v>46022</v>
      </c>
      <c r="I454" s="331">
        <f t="shared" si="33"/>
        <v>2025</v>
      </c>
      <c r="J454" s="290">
        <f t="shared" si="34"/>
        <v>225</v>
      </c>
      <c r="K454" s="294"/>
      <c r="L454" s="297"/>
      <c r="M454" s="297"/>
      <c r="N454" s="332" t="s">
        <v>250</v>
      </c>
      <c r="O454" s="3">
        <v>1750</v>
      </c>
      <c r="Q454" s="3">
        <f t="shared" si="35"/>
        <v>1750</v>
      </c>
      <c r="R454" s="346">
        <f>Q454</f>
        <v>1750</v>
      </c>
      <c r="S454" s="346"/>
      <c r="T454" s="42"/>
      <c r="Z454" s="3">
        <f t="shared" si="29"/>
        <v>3</v>
      </c>
    </row>
    <row r="455" spans="1:26" ht="15.75" customHeight="1">
      <c r="A455" s="3">
        <v>1</v>
      </c>
      <c r="B455" s="287" t="s">
        <v>1239</v>
      </c>
      <c r="C455" s="290"/>
      <c r="D455" s="289">
        <v>46248</v>
      </c>
      <c r="E455" s="330">
        <f t="shared" si="30"/>
        <v>46265</v>
      </c>
      <c r="F455" s="331">
        <f t="shared" si="31"/>
        <v>2</v>
      </c>
      <c r="G455" s="289">
        <v>45880</v>
      </c>
      <c r="H455" s="330">
        <f t="shared" si="32"/>
        <v>45900</v>
      </c>
      <c r="I455" s="331">
        <f t="shared" si="33"/>
        <v>2025</v>
      </c>
      <c r="J455" s="290">
        <f t="shared" si="34"/>
        <v>368</v>
      </c>
      <c r="K455" s="294"/>
      <c r="L455" s="297"/>
      <c r="M455" s="297"/>
      <c r="N455" s="332" t="s">
        <v>249</v>
      </c>
      <c r="O455" s="3">
        <v>7750</v>
      </c>
      <c r="Q455" s="3">
        <f t="shared" si="35"/>
        <v>7750</v>
      </c>
      <c r="R455" s="3">
        <v>5840</v>
      </c>
      <c r="T455" s="42"/>
      <c r="Z455" s="3">
        <f t="shared" si="29"/>
        <v>6</v>
      </c>
    </row>
    <row r="456" spans="1:26" ht="15.75" customHeight="1">
      <c r="A456" s="3">
        <v>1</v>
      </c>
      <c r="B456" s="287" t="s">
        <v>752</v>
      </c>
      <c r="C456" s="290"/>
      <c r="D456" s="289">
        <v>46249</v>
      </c>
      <c r="E456" s="330">
        <f t="shared" si="30"/>
        <v>46265</v>
      </c>
      <c r="F456" s="331">
        <f t="shared" si="31"/>
        <v>2</v>
      </c>
      <c r="G456" s="289">
        <v>46045</v>
      </c>
      <c r="H456" s="330">
        <f t="shared" si="32"/>
        <v>46053</v>
      </c>
      <c r="I456" s="331">
        <f t="shared" si="33"/>
        <v>2026</v>
      </c>
      <c r="J456" s="290">
        <f t="shared" si="34"/>
        <v>204</v>
      </c>
      <c r="K456" s="294"/>
      <c r="L456" s="297"/>
      <c r="M456" s="297"/>
      <c r="N456" s="332" t="s">
        <v>249</v>
      </c>
      <c r="O456" s="3">
        <v>8250</v>
      </c>
      <c r="Q456" s="3">
        <f t="shared" si="35"/>
        <v>8250</v>
      </c>
      <c r="R456" s="3">
        <v>4085</v>
      </c>
      <c r="T456" s="42"/>
      <c r="Z456" s="3">
        <f t="shared" si="29"/>
        <v>7</v>
      </c>
    </row>
    <row r="457" spans="1:26" ht="15.75" customHeight="1">
      <c r="A457" s="3">
        <v>1</v>
      </c>
      <c r="B457" s="287" t="s">
        <v>614</v>
      </c>
      <c r="C457" s="290"/>
      <c r="D457" s="289">
        <v>46255</v>
      </c>
      <c r="E457" s="330">
        <f t="shared" si="30"/>
        <v>46265</v>
      </c>
      <c r="F457" s="331">
        <f t="shared" si="31"/>
        <v>2</v>
      </c>
      <c r="G457" s="289">
        <v>45870</v>
      </c>
      <c r="H457" s="330">
        <f t="shared" si="32"/>
        <v>45900</v>
      </c>
      <c r="I457" s="331">
        <f t="shared" si="33"/>
        <v>2025</v>
      </c>
      <c r="J457" s="290">
        <f t="shared" si="34"/>
        <v>385</v>
      </c>
      <c r="K457" s="294"/>
      <c r="L457" s="297"/>
      <c r="M457" s="297"/>
      <c r="N457" s="332" t="s">
        <v>249</v>
      </c>
      <c r="O457" s="3">
        <v>7750</v>
      </c>
      <c r="Q457" s="3">
        <f t="shared" si="35"/>
        <v>7750</v>
      </c>
      <c r="R457" s="3" t="s">
        <v>1225</v>
      </c>
      <c r="T457" s="42">
        <v>1380</v>
      </c>
      <c r="Z457" s="3">
        <f t="shared" si="29"/>
        <v>6</v>
      </c>
    </row>
    <row r="458" spans="1:26" ht="15.75" customHeight="1">
      <c r="A458" s="3">
        <v>1</v>
      </c>
      <c r="B458" s="287" t="s">
        <v>753</v>
      </c>
      <c r="C458" s="290"/>
      <c r="D458" s="289">
        <v>46256</v>
      </c>
      <c r="E458" s="330">
        <f t="shared" si="30"/>
        <v>46265</v>
      </c>
      <c r="F458" s="331">
        <f t="shared" si="31"/>
        <v>2</v>
      </c>
      <c r="G458" s="289">
        <v>45756</v>
      </c>
      <c r="H458" s="330">
        <f t="shared" si="32"/>
        <v>45777</v>
      </c>
      <c r="I458" s="331">
        <f t="shared" si="33"/>
        <v>2025</v>
      </c>
      <c r="J458" s="290">
        <f t="shared" si="34"/>
        <v>500</v>
      </c>
      <c r="K458" s="294"/>
      <c r="L458" s="297"/>
      <c r="M458" s="297"/>
      <c r="N458" s="332" t="s">
        <v>249</v>
      </c>
      <c r="O458" s="3">
        <v>8000</v>
      </c>
      <c r="Q458" s="3">
        <f t="shared" si="35"/>
        <v>8000</v>
      </c>
      <c r="R458" s="3">
        <v>6000</v>
      </c>
      <c r="T458" s="42"/>
      <c r="Z458" s="3">
        <f t="shared" si="29"/>
        <v>7</v>
      </c>
    </row>
    <row r="459" spans="1:26" ht="15.75" customHeight="1">
      <c r="A459" s="3">
        <v>1</v>
      </c>
      <c r="B459" s="287" t="s">
        <v>615</v>
      </c>
      <c r="C459" s="290"/>
      <c r="D459" s="289">
        <v>46257</v>
      </c>
      <c r="E459" s="330">
        <f t="shared" si="30"/>
        <v>46265</v>
      </c>
      <c r="F459" s="331">
        <f t="shared" si="31"/>
        <v>2</v>
      </c>
      <c r="G459" s="289">
        <v>46074</v>
      </c>
      <c r="H459" s="330">
        <f t="shared" si="32"/>
        <v>46081</v>
      </c>
      <c r="I459" s="331">
        <f t="shared" si="33"/>
        <v>2026</v>
      </c>
      <c r="J459" s="290">
        <f t="shared" si="34"/>
        <v>183</v>
      </c>
      <c r="K459" s="294"/>
      <c r="L459" s="297"/>
      <c r="M459" s="297"/>
      <c r="N459" s="332" t="s">
        <v>249</v>
      </c>
      <c r="O459" s="3">
        <v>8250</v>
      </c>
      <c r="Q459" s="3">
        <f t="shared" si="35"/>
        <v>8250</v>
      </c>
      <c r="R459" s="3">
        <v>4000</v>
      </c>
      <c r="T459" s="42">
        <v>27225</v>
      </c>
      <c r="Z459" s="3">
        <f t="shared" si="29"/>
        <v>1</v>
      </c>
    </row>
    <row r="460" spans="1:26" ht="15.75" customHeight="1">
      <c r="A460" s="3">
        <v>1</v>
      </c>
      <c r="B460" s="287" t="s">
        <v>754</v>
      </c>
      <c r="C460" s="290"/>
      <c r="D460" s="289">
        <v>46262</v>
      </c>
      <c r="E460" s="330">
        <f t="shared" si="30"/>
        <v>46265</v>
      </c>
      <c r="F460" s="331">
        <f t="shared" si="31"/>
        <v>2</v>
      </c>
      <c r="G460" s="289">
        <v>45887</v>
      </c>
      <c r="H460" s="330">
        <f t="shared" si="32"/>
        <v>45900</v>
      </c>
      <c r="I460" s="331">
        <f t="shared" si="33"/>
        <v>2025</v>
      </c>
      <c r="J460" s="290">
        <f t="shared" si="34"/>
        <v>375</v>
      </c>
      <c r="K460" s="294"/>
      <c r="L460" s="297"/>
      <c r="M460" s="297"/>
      <c r="N460" s="332" t="s">
        <v>249</v>
      </c>
      <c r="O460" s="3">
        <v>7750</v>
      </c>
      <c r="Q460" s="3">
        <f t="shared" si="35"/>
        <v>7750</v>
      </c>
      <c r="R460" s="3">
        <v>5840</v>
      </c>
      <c r="T460" s="42"/>
      <c r="Z460" s="3">
        <f t="shared" si="29"/>
        <v>6</v>
      </c>
    </row>
    <row r="461" spans="1:26" ht="15.75" customHeight="1">
      <c r="A461" s="3">
        <v>1</v>
      </c>
      <c r="B461" s="287" t="s">
        <v>756</v>
      </c>
      <c r="C461" s="290"/>
      <c r="D461" s="289">
        <v>46263</v>
      </c>
      <c r="E461" s="330">
        <f t="shared" si="30"/>
        <v>46265</v>
      </c>
      <c r="F461" s="331">
        <f t="shared" si="31"/>
        <v>2</v>
      </c>
      <c r="G461" s="289">
        <v>45833</v>
      </c>
      <c r="H461" s="330">
        <f t="shared" si="32"/>
        <v>45838</v>
      </c>
      <c r="I461" s="331">
        <f t="shared" si="33"/>
        <v>2025</v>
      </c>
      <c r="J461" s="290">
        <f t="shared" si="34"/>
        <v>430</v>
      </c>
      <c r="K461" s="294"/>
      <c r="L461" s="297"/>
      <c r="M461" s="297"/>
      <c r="N461" s="332" t="s">
        <v>249</v>
      </c>
      <c r="O461" s="3">
        <v>8000</v>
      </c>
      <c r="Q461" s="3">
        <f t="shared" si="35"/>
        <v>8000</v>
      </c>
      <c r="R461" s="3">
        <v>6000</v>
      </c>
      <c r="T461" s="42"/>
      <c r="Z461" s="3">
        <f t="shared" si="29"/>
        <v>7</v>
      </c>
    </row>
    <row r="462" spans="1:26" ht="15.75" customHeight="1">
      <c r="A462" s="3">
        <v>1</v>
      </c>
      <c r="B462" s="287" t="s">
        <v>762</v>
      </c>
      <c r="C462" s="290"/>
      <c r="D462" s="289">
        <v>46269</v>
      </c>
      <c r="E462" s="330">
        <f t="shared" si="30"/>
        <v>46295</v>
      </c>
      <c r="F462" s="331">
        <f t="shared" si="31"/>
        <v>4</v>
      </c>
      <c r="G462" s="289">
        <v>45818</v>
      </c>
      <c r="H462" s="330">
        <f t="shared" si="32"/>
        <v>45838</v>
      </c>
      <c r="I462" s="331">
        <f t="shared" si="33"/>
        <v>2025</v>
      </c>
      <c r="J462" s="290">
        <f t="shared" si="34"/>
        <v>451</v>
      </c>
      <c r="K462" s="294"/>
      <c r="L462" s="297"/>
      <c r="M462" s="297"/>
      <c r="N462" s="332" t="s">
        <v>249</v>
      </c>
      <c r="O462" s="3">
        <v>7500</v>
      </c>
      <c r="Q462" s="3">
        <f t="shared" si="35"/>
        <v>7500</v>
      </c>
      <c r="R462" s="3">
        <v>3835</v>
      </c>
      <c r="T462" s="42"/>
      <c r="Z462" s="3">
        <f t="shared" si="29"/>
        <v>6</v>
      </c>
    </row>
    <row r="463" spans="1:26" ht="15.75" customHeight="1">
      <c r="A463" s="3">
        <v>1</v>
      </c>
      <c r="B463" s="287" t="s">
        <v>767</v>
      </c>
      <c r="C463" s="290"/>
      <c r="D463" s="289">
        <v>46271</v>
      </c>
      <c r="E463" s="330">
        <f t="shared" si="30"/>
        <v>46295</v>
      </c>
      <c r="F463" s="331">
        <f t="shared" si="31"/>
        <v>4</v>
      </c>
      <c r="G463" s="289">
        <v>45727</v>
      </c>
      <c r="H463" s="330">
        <f t="shared" si="32"/>
        <v>45747</v>
      </c>
      <c r="I463" s="331">
        <f t="shared" si="33"/>
        <v>2025</v>
      </c>
      <c r="J463" s="290">
        <f t="shared" si="34"/>
        <v>544</v>
      </c>
      <c r="K463" s="294"/>
      <c r="L463" s="297"/>
      <c r="M463" s="297"/>
      <c r="N463" s="332" t="s">
        <v>249</v>
      </c>
      <c r="O463" s="3">
        <v>8000</v>
      </c>
      <c r="Q463" s="3">
        <f t="shared" si="35"/>
        <v>8000</v>
      </c>
      <c r="R463" s="3">
        <v>4000</v>
      </c>
      <c r="T463" s="42"/>
      <c r="Z463" s="3">
        <f t="shared" si="29"/>
        <v>1</v>
      </c>
    </row>
    <row r="464" spans="1:26" ht="15.75" customHeight="1">
      <c r="A464" s="3">
        <v>1</v>
      </c>
      <c r="B464" s="287" t="s">
        <v>771</v>
      </c>
      <c r="C464" s="290"/>
      <c r="D464" s="289">
        <v>46277</v>
      </c>
      <c r="E464" s="330">
        <f t="shared" si="30"/>
        <v>46295</v>
      </c>
      <c r="F464" s="331">
        <f t="shared" si="31"/>
        <v>4</v>
      </c>
      <c r="G464" s="289">
        <v>45896</v>
      </c>
      <c r="H464" s="330">
        <f t="shared" si="32"/>
        <v>45900</v>
      </c>
      <c r="I464" s="331">
        <f t="shared" si="33"/>
        <v>2025</v>
      </c>
      <c r="J464" s="290">
        <f t="shared" si="34"/>
        <v>381</v>
      </c>
      <c r="K464" s="294"/>
      <c r="L464" s="297"/>
      <c r="M464" s="297"/>
      <c r="N464" s="332" t="s">
        <v>249</v>
      </c>
      <c r="O464" s="3">
        <v>8250</v>
      </c>
      <c r="Q464" s="3">
        <f t="shared" si="35"/>
        <v>8250</v>
      </c>
      <c r="R464" s="3">
        <v>6080</v>
      </c>
      <c r="T464" s="42"/>
      <c r="Z464" s="3">
        <f t="shared" si="29"/>
        <v>7</v>
      </c>
    </row>
    <row r="465" spans="1:26" ht="15.75" customHeight="1">
      <c r="A465" s="3">
        <v>1</v>
      </c>
      <c r="B465" s="287" t="s">
        <v>772</v>
      </c>
      <c r="C465" s="290"/>
      <c r="D465" s="289">
        <v>46280</v>
      </c>
      <c r="E465" s="330">
        <f t="shared" si="30"/>
        <v>46295</v>
      </c>
      <c r="F465" s="331">
        <f t="shared" si="31"/>
        <v>4</v>
      </c>
      <c r="G465" s="289">
        <v>45818</v>
      </c>
      <c r="H465" s="330">
        <f t="shared" si="32"/>
        <v>45838</v>
      </c>
      <c r="I465" s="331">
        <f t="shared" si="33"/>
        <v>2025</v>
      </c>
      <c r="J465" s="290">
        <f t="shared" si="34"/>
        <v>462</v>
      </c>
      <c r="K465" s="294"/>
      <c r="L465" s="297"/>
      <c r="M465" s="297"/>
      <c r="N465" s="332" t="s">
        <v>250</v>
      </c>
      <c r="O465" s="3">
        <v>1750</v>
      </c>
      <c r="Q465" s="3">
        <f t="shared" si="35"/>
        <v>1750</v>
      </c>
      <c r="R465" s="3">
        <v>1125</v>
      </c>
      <c r="T465" s="42"/>
      <c r="Z465" s="3">
        <f t="shared" si="29"/>
        <v>3</v>
      </c>
    </row>
    <row r="466" spans="1:26" ht="15.75" customHeight="1">
      <c r="A466" s="3">
        <v>1</v>
      </c>
      <c r="B466" s="287" t="s">
        <v>774</v>
      </c>
      <c r="C466" s="290"/>
      <c r="D466" s="289">
        <v>46283</v>
      </c>
      <c r="E466" s="330">
        <f t="shared" si="30"/>
        <v>46295</v>
      </c>
      <c r="F466" s="331">
        <f t="shared" si="31"/>
        <v>4</v>
      </c>
      <c r="G466" s="289">
        <v>45677</v>
      </c>
      <c r="H466" s="330">
        <f t="shared" si="32"/>
        <v>45688</v>
      </c>
      <c r="I466" s="331">
        <f t="shared" si="33"/>
        <v>2025</v>
      </c>
      <c r="J466" s="290">
        <f t="shared" si="34"/>
        <v>606</v>
      </c>
      <c r="K466" s="294"/>
      <c r="L466" s="297"/>
      <c r="M466" s="297"/>
      <c r="N466" s="332" t="s">
        <v>249</v>
      </c>
      <c r="O466" s="3">
        <v>7500</v>
      </c>
      <c r="Q466" s="3">
        <f t="shared" si="35"/>
        <v>7500</v>
      </c>
      <c r="R466" s="3">
        <v>3835</v>
      </c>
      <c r="T466" s="42"/>
      <c r="Z466" s="3">
        <f t="shared" si="29"/>
        <v>6</v>
      </c>
    </row>
    <row r="467" spans="1:26" ht="15.75" customHeight="1">
      <c r="A467" s="3">
        <v>1</v>
      </c>
      <c r="B467" s="287" t="s">
        <v>775</v>
      </c>
      <c r="C467" s="290"/>
      <c r="D467" s="289">
        <v>46284</v>
      </c>
      <c r="E467" s="330">
        <f t="shared" si="30"/>
        <v>46295</v>
      </c>
      <c r="F467" s="331">
        <f t="shared" si="31"/>
        <v>4</v>
      </c>
      <c r="G467" s="289">
        <v>45811</v>
      </c>
      <c r="H467" s="330">
        <f t="shared" si="32"/>
        <v>45838</v>
      </c>
      <c r="I467" s="331">
        <f t="shared" si="33"/>
        <v>2025</v>
      </c>
      <c r="J467" s="290">
        <f t="shared" si="34"/>
        <v>473</v>
      </c>
      <c r="K467" s="294"/>
      <c r="L467" s="297"/>
      <c r="M467" s="297"/>
      <c r="N467" s="332" t="s">
        <v>249</v>
      </c>
      <c r="O467" s="3">
        <v>8000</v>
      </c>
      <c r="Q467" s="3">
        <f t="shared" si="35"/>
        <v>8000</v>
      </c>
      <c r="R467" s="3">
        <v>4000</v>
      </c>
      <c r="T467" s="42"/>
      <c r="Z467" s="3">
        <f t="shared" si="29"/>
        <v>7</v>
      </c>
    </row>
    <row r="468" spans="1:26" ht="15.75" customHeight="1">
      <c r="A468" s="3">
        <v>1</v>
      </c>
      <c r="B468" s="287" t="s">
        <v>617</v>
      </c>
      <c r="C468" s="290"/>
      <c r="D468" s="289">
        <v>46285</v>
      </c>
      <c r="E468" s="330">
        <f t="shared" si="30"/>
        <v>46295</v>
      </c>
      <c r="F468" s="331">
        <f t="shared" si="31"/>
        <v>4</v>
      </c>
      <c r="G468" s="289">
        <v>45889</v>
      </c>
      <c r="H468" s="330">
        <f t="shared" si="32"/>
        <v>45900</v>
      </c>
      <c r="I468" s="331">
        <f t="shared" si="33"/>
        <v>2025</v>
      </c>
      <c r="J468" s="290">
        <f t="shared" si="34"/>
        <v>396</v>
      </c>
      <c r="K468" s="294"/>
      <c r="L468" s="297"/>
      <c r="M468" s="297"/>
      <c r="N468" s="332" t="s">
        <v>249</v>
      </c>
      <c r="O468" s="3">
        <v>8250</v>
      </c>
      <c r="Q468" s="3">
        <f t="shared" si="35"/>
        <v>8250</v>
      </c>
      <c r="R468" s="3" t="s">
        <v>1225</v>
      </c>
      <c r="T468" s="42">
        <v>2600</v>
      </c>
      <c r="Z468" s="3">
        <f t="shared" si="29"/>
        <v>1</v>
      </c>
    </row>
    <row r="469" spans="1:26" ht="15.75" customHeight="1">
      <c r="A469" s="3">
        <v>1</v>
      </c>
      <c r="B469" s="287" t="s">
        <v>778</v>
      </c>
      <c r="C469" s="290"/>
      <c r="D469" s="289">
        <v>46287</v>
      </c>
      <c r="E469" s="330">
        <f t="shared" si="30"/>
        <v>46295</v>
      </c>
      <c r="F469" s="331">
        <f t="shared" si="31"/>
        <v>4</v>
      </c>
      <c r="G469" s="289">
        <v>45768</v>
      </c>
      <c r="H469" s="330">
        <f t="shared" si="32"/>
        <v>45777</v>
      </c>
      <c r="I469" s="331">
        <f t="shared" si="33"/>
        <v>2025</v>
      </c>
      <c r="J469" s="290">
        <f t="shared" si="34"/>
        <v>519</v>
      </c>
      <c r="K469" s="294"/>
      <c r="L469" s="297"/>
      <c r="M469" s="297"/>
      <c r="N469" s="332" t="s">
        <v>250</v>
      </c>
      <c r="O469" s="3">
        <v>1500</v>
      </c>
      <c r="Q469" s="3">
        <f t="shared" si="35"/>
        <v>1500</v>
      </c>
      <c r="R469" s="3">
        <v>500</v>
      </c>
      <c r="T469" s="42"/>
      <c r="Z469" s="3">
        <f t="shared" si="29"/>
        <v>3</v>
      </c>
    </row>
    <row r="470" spans="1:26" ht="15.75" customHeight="1">
      <c r="A470" s="3">
        <v>1</v>
      </c>
      <c r="B470" s="287" t="s">
        <v>779</v>
      </c>
      <c r="C470" s="290"/>
      <c r="D470" s="289">
        <v>46290</v>
      </c>
      <c r="E470" s="330">
        <f t="shared" si="30"/>
        <v>46295</v>
      </c>
      <c r="F470" s="331">
        <f t="shared" si="31"/>
        <v>4</v>
      </c>
      <c r="G470" s="289">
        <v>45855</v>
      </c>
      <c r="H470" s="330">
        <f t="shared" si="32"/>
        <v>45869</v>
      </c>
      <c r="I470" s="331">
        <f t="shared" si="33"/>
        <v>2025</v>
      </c>
      <c r="J470" s="290">
        <f t="shared" si="34"/>
        <v>435</v>
      </c>
      <c r="K470" s="294"/>
      <c r="L470" s="297"/>
      <c r="M470" s="297"/>
      <c r="N470" s="332" t="s">
        <v>249</v>
      </c>
      <c r="O470" s="3">
        <v>7500</v>
      </c>
      <c r="Q470" s="3">
        <f t="shared" si="35"/>
        <v>7500</v>
      </c>
      <c r="R470" s="3">
        <v>3835</v>
      </c>
      <c r="T470" s="42"/>
      <c r="Z470" s="3">
        <f t="shared" si="29"/>
        <v>6</v>
      </c>
    </row>
    <row r="471" spans="1:26" ht="15.75" customHeight="1">
      <c r="A471" s="3">
        <v>1</v>
      </c>
      <c r="B471" s="287" t="s">
        <v>781</v>
      </c>
      <c r="C471" s="290"/>
      <c r="D471" s="289">
        <v>46291</v>
      </c>
      <c r="E471" s="330">
        <f t="shared" si="30"/>
        <v>46295</v>
      </c>
      <c r="F471" s="331">
        <f t="shared" si="31"/>
        <v>4</v>
      </c>
      <c r="G471" s="289">
        <v>45688</v>
      </c>
      <c r="H471" s="330">
        <f t="shared" si="32"/>
        <v>45688</v>
      </c>
      <c r="I471" s="331">
        <f t="shared" si="33"/>
        <v>2025</v>
      </c>
      <c r="J471" s="290">
        <f t="shared" si="34"/>
        <v>603</v>
      </c>
      <c r="K471" s="294"/>
      <c r="L471" s="297"/>
      <c r="M471" s="297"/>
      <c r="N471" s="332" t="s">
        <v>249</v>
      </c>
      <c r="O471" s="3">
        <v>8000</v>
      </c>
      <c r="Q471" s="3">
        <f t="shared" si="35"/>
        <v>8000</v>
      </c>
      <c r="R471" s="3">
        <v>4000</v>
      </c>
      <c r="T471" s="42"/>
      <c r="Z471" s="3">
        <f t="shared" si="29"/>
        <v>7</v>
      </c>
    </row>
    <row r="472" spans="1:26" ht="15.75" customHeight="1">
      <c r="A472" s="3">
        <v>1</v>
      </c>
      <c r="B472" s="287" t="s">
        <v>783</v>
      </c>
      <c r="C472" s="290"/>
      <c r="D472" s="289">
        <v>46292</v>
      </c>
      <c r="E472" s="330">
        <f t="shared" si="30"/>
        <v>46295</v>
      </c>
      <c r="F472" s="331">
        <f t="shared" si="31"/>
        <v>4</v>
      </c>
      <c r="G472" s="289">
        <v>45751</v>
      </c>
      <c r="H472" s="330">
        <f t="shared" si="32"/>
        <v>45777</v>
      </c>
      <c r="I472" s="331">
        <f t="shared" si="33"/>
        <v>2025</v>
      </c>
      <c r="J472" s="290">
        <f t="shared" si="34"/>
        <v>541</v>
      </c>
      <c r="K472" s="294"/>
      <c r="L472" s="297"/>
      <c r="M472" s="297"/>
      <c r="N472" s="332" t="s">
        <v>249</v>
      </c>
      <c r="O472" s="3">
        <v>8000</v>
      </c>
      <c r="Q472" s="3">
        <f t="shared" si="35"/>
        <v>8000</v>
      </c>
      <c r="R472" s="3" t="s">
        <v>1240</v>
      </c>
      <c r="T472" s="42"/>
      <c r="Z472" s="3">
        <f t="shared" si="29"/>
        <v>1</v>
      </c>
    </row>
    <row r="473" spans="1:26" ht="15.75" customHeight="1">
      <c r="A473" s="3">
        <v>1</v>
      </c>
      <c r="B473" s="287" t="s">
        <v>785</v>
      </c>
      <c r="C473" s="290"/>
      <c r="D473" s="289">
        <v>46294</v>
      </c>
      <c r="E473" s="330">
        <f t="shared" si="30"/>
        <v>46295</v>
      </c>
      <c r="F473" s="331">
        <f t="shared" si="31"/>
        <v>4</v>
      </c>
      <c r="G473" s="289">
        <v>46036</v>
      </c>
      <c r="H473" s="330">
        <f t="shared" si="32"/>
        <v>46053</v>
      </c>
      <c r="I473" s="331">
        <f t="shared" si="33"/>
        <v>2026</v>
      </c>
      <c r="J473" s="290">
        <f t="shared" si="34"/>
        <v>258</v>
      </c>
      <c r="K473" s="294"/>
      <c r="L473" s="297"/>
      <c r="M473" s="297"/>
      <c r="N473" s="332" t="s">
        <v>250</v>
      </c>
      <c r="O473" s="3">
        <v>1750</v>
      </c>
      <c r="Q473" s="3">
        <f t="shared" si="35"/>
        <v>1750</v>
      </c>
      <c r="R473" s="3">
        <v>1750</v>
      </c>
      <c r="T473" s="42"/>
      <c r="Z473" s="3">
        <f t="shared" si="29"/>
        <v>3</v>
      </c>
    </row>
    <row r="474" spans="1:26" ht="15.75" customHeight="1">
      <c r="A474" s="3">
        <v>1</v>
      </c>
      <c r="B474" s="287" t="s">
        <v>784</v>
      </c>
      <c r="C474" s="290"/>
      <c r="D474" s="289">
        <v>46294</v>
      </c>
      <c r="E474" s="330">
        <f t="shared" si="30"/>
        <v>46295</v>
      </c>
      <c r="F474" s="331">
        <f t="shared" si="31"/>
        <v>4</v>
      </c>
      <c r="G474" s="289">
        <v>46006</v>
      </c>
      <c r="H474" s="330">
        <f t="shared" si="32"/>
        <v>46022</v>
      </c>
      <c r="I474" s="331">
        <f t="shared" si="33"/>
        <v>2025</v>
      </c>
      <c r="J474" s="290">
        <f t="shared" si="34"/>
        <v>288</v>
      </c>
      <c r="K474" s="294"/>
      <c r="L474" s="297"/>
      <c r="M474" s="297"/>
      <c r="N474" s="332" t="s">
        <v>250</v>
      </c>
      <c r="O474" s="3">
        <v>1750</v>
      </c>
      <c r="Q474" s="3">
        <f t="shared" si="35"/>
        <v>1750</v>
      </c>
      <c r="R474" s="3">
        <v>500</v>
      </c>
      <c r="T474" s="42"/>
      <c r="Z474" s="3">
        <f t="shared" si="29"/>
        <v>3</v>
      </c>
    </row>
    <row r="475" spans="1:26" ht="15.75" customHeight="1">
      <c r="A475" s="3">
        <v>1</v>
      </c>
      <c r="B475" s="287" t="s">
        <v>787</v>
      </c>
      <c r="C475" s="290"/>
      <c r="D475" s="289">
        <v>46297</v>
      </c>
      <c r="E475" s="330">
        <f t="shared" si="30"/>
        <v>46326</v>
      </c>
      <c r="F475" s="331">
        <f t="shared" si="31"/>
        <v>7</v>
      </c>
      <c r="G475" s="289">
        <v>45814</v>
      </c>
      <c r="H475" s="330">
        <f t="shared" si="32"/>
        <v>45838</v>
      </c>
      <c r="I475" s="331">
        <f t="shared" si="33"/>
        <v>2025</v>
      </c>
      <c r="J475" s="290">
        <f t="shared" si="34"/>
        <v>483</v>
      </c>
      <c r="K475" s="294"/>
      <c r="L475" s="297"/>
      <c r="M475" s="297"/>
      <c r="N475" s="332" t="s">
        <v>249</v>
      </c>
      <c r="O475" s="3">
        <v>7500</v>
      </c>
      <c r="Q475" s="3">
        <f t="shared" si="35"/>
        <v>7500</v>
      </c>
      <c r="R475" s="3">
        <v>3800</v>
      </c>
      <c r="T475" s="42"/>
      <c r="Z475" s="3">
        <f t="shared" si="29"/>
        <v>6</v>
      </c>
    </row>
    <row r="476" spans="1:26" ht="15.75" customHeight="1">
      <c r="A476" s="3">
        <v>1</v>
      </c>
      <c r="B476" s="287" t="s">
        <v>789</v>
      </c>
      <c r="C476" s="290"/>
      <c r="D476" s="289">
        <v>46298</v>
      </c>
      <c r="E476" s="330">
        <f t="shared" si="30"/>
        <v>46326</v>
      </c>
      <c r="F476" s="331">
        <f t="shared" si="31"/>
        <v>7</v>
      </c>
      <c r="G476" s="289">
        <v>45561</v>
      </c>
      <c r="H476" s="330">
        <f t="shared" si="32"/>
        <v>45565</v>
      </c>
      <c r="I476" s="331">
        <f t="shared" si="33"/>
        <v>2024</v>
      </c>
      <c r="J476" s="290">
        <f t="shared" si="34"/>
        <v>737</v>
      </c>
      <c r="K476" s="294"/>
      <c r="L476" s="297"/>
      <c r="M476" s="297"/>
      <c r="N476" s="332" t="s">
        <v>249</v>
      </c>
      <c r="O476" s="3">
        <v>7750</v>
      </c>
      <c r="Q476" s="3">
        <f t="shared" si="35"/>
        <v>7750</v>
      </c>
      <c r="R476" s="3">
        <v>3920</v>
      </c>
      <c r="T476" s="42"/>
      <c r="Z476" s="3">
        <f t="shared" si="29"/>
        <v>7</v>
      </c>
    </row>
    <row r="477" spans="1:26" ht="15.75" customHeight="1">
      <c r="A477" s="3">
        <v>1</v>
      </c>
      <c r="B477" s="287" t="s">
        <v>790</v>
      </c>
      <c r="C477" s="290"/>
      <c r="D477" s="289">
        <v>46299</v>
      </c>
      <c r="E477" s="330">
        <f t="shared" si="30"/>
        <v>46326</v>
      </c>
      <c r="F477" s="331">
        <f t="shared" si="31"/>
        <v>7</v>
      </c>
      <c r="G477" s="289">
        <v>45677</v>
      </c>
      <c r="H477" s="330">
        <f t="shared" si="32"/>
        <v>45688</v>
      </c>
      <c r="I477" s="331">
        <f t="shared" si="33"/>
        <v>2025</v>
      </c>
      <c r="J477" s="290">
        <f t="shared" si="34"/>
        <v>622</v>
      </c>
      <c r="K477" s="294"/>
      <c r="L477" s="297"/>
      <c r="M477" s="297"/>
      <c r="N477" s="332" t="s">
        <v>249</v>
      </c>
      <c r="O477" s="3">
        <v>8000</v>
      </c>
      <c r="Q477" s="3">
        <f t="shared" si="35"/>
        <v>8000</v>
      </c>
      <c r="R477" s="3">
        <v>6000</v>
      </c>
      <c r="T477" s="42"/>
      <c r="Z477" s="3">
        <f t="shared" si="29"/>
        <v>1</v>
      </c>
    </row>
    <row r="478" spans="1:26" ht="15.75" customHeight="1">
      <c r="A478" s="3">
        <v>1</v>
      </c>
      <c r="B478" s="287" t="s">
        <v>792</v>
      </c>
      <c r="C478" s="290"/>
      <c r="D478" s="289">
        <v>46301</v>
      </c>
      <c r="E478" s="330">
        <f t="shared" si="30"/>
        <v>46326</v>
      </c>
      <c r="F478" s="331">
        <f t="shared" si="31"/>
        <v>7</v>
      </c>
      <c r="G478" s="289">
        <v>46073</v>
      </c>
      <c r="H478" s="330">
        <f t="shared" si="32"/>
        <v>46081</v>
      </c>
      <c r="I478" s="331">
        <f t="shared" si="33"/>
        <v>2026</v>
      </c>
      <c r="J478" s="290">
        <f t="shared" si="34"/>
        <v>228</v>
      </c>
      <c r="K478" s="294"/>
      <c r="L478" s="297"/>
      <c r="M478" s="297"/>
      <c r="N478" s="332" t="s">
        <v>249</v>
      </c>
      <c r="O478" s="3">
        <v>1750</v>
      </c>
      <c r="Q478" s="3">
        <f t="shared" si="35"/>
        <v>1750</v>
      </c>
      <c r="R478" s="3">
        <v>1750</v>
      </c>
      <c r="T478" s="42"/>
      <c r="Z478" s="3">
        <f t="shared" si="29"/>
        <v>3</v>
      </c>
    </row>
    <row r="479" spans="1:26" ht="15.75" customHeight="1">
      <c r="A479" s="3">
        <v>1</v>
      </c>
      <c r="B479" s="287" t="s">
        <v>791</v>
      </c>
      <c r="C479" s="290"/>
      <c r="D479" s="289">
        <v>46301</v>
      </c>
      <c r="E479" s="330">
        <f t="shared" si="30"/>
        <v>46326</v>
      </c>
      <c r="F479" s="331">
        <f t="shared" si="31"/>
        <v>7</v>
      </c>
      <c r="G479" s="289">
        <v>45967</v>
      </c>
      <c r="H479" s="330">
        <f t="shared" si="32"/>
        <v>45991</v>
      </c>
      <c r="I479" s="331">
        <f t="shared" si="33"/>
        <v>2025</v>
      </c>
      <c r="J479" s="290">
        <f t="shared" si="34"/>
        <v>334</v>
      </c>
      <c r="K479" s="294"/>
      <c r="L479" s="297"/>
      <c r="M479" s="297"/>
      <c r="N479" s="332" t="s">
        <v>250</v>
      </c>
      <c r="O479" s="3">
        <v>1750</v>
      </c>
      <c r="Q479" s="3">
        <f t="shared" si="35"/>
        <v>1750</v>
      </c>
      <c r="R479" s="3">
        <v>500</v>
      </c>
      <c r="T479" s="42"/>
      <c r="Z479" s="3">
        <f t="shared" si="29"/>
        <v>3</v>
      </c>
    </row>
    <row r="480" spans="1:26" ht="15.75" customHeight="1">
      <c r="A480" s="3">
        <v>1</v>
      </c>
      <c r="B480" s="287" t="s">
        <v>794</v>
      </c>
      <c r="C480" s="290"/>
      <c r="D480" s="289">
        <v>46304</v>
      </c>
      <c r="E480" s="330">
        <f t="shared" si="30"/>
        <v>46326</v>
      </c>
      <c r="F480" s="331">
        <f t="shared" si="31"/>
        <v>7</v>
      </c>
      <c r="G480" s="289">
        <v>45860</v>
      </c>
      <c r="H480" s="330">
        <f t="shared" si="32"/>
        <v>45869</v>
      </c>
      <c r="I480" s="331">
        <f t="shared" si="33"/>
        <v>2025</v>
      </c>
      <c r="J480" s="290">
        <f t="shared" si="34"/>
        <v>444</v>
      </c>
      <c r="K480" s="294"/>
      <c r="L480" s="297"/>
      <c r="M480" s="297"/>
      <c r="N480" s="332" t="s">
        <v>249</v>
      </c>
      <c r="O480" s="3">
        <v>7750</v>
      </c>
      <c r="Q480" s="3">
        <f t="shared" si="35"/>
        <v>7750</v>
      </c>
      <c r="R480" s="3">
        <v>3915</v>
      </c>
      <c r="T480" s="42"/>
      <c r="Z480" s="3">
        <f t="shared" si="29"/>
        <v>6</v>
      </c>
    </row>
    <row r="481" spans="1:26" ht="15.75" customHeight="1">
      <c r="A481" s="3">
        <v>1</v>
      </c>
      <c r="B481" s="287" t="s">
        <v>795</v>
      </c>
      <c r="C481" s="290"/>
      <c r="D481" s="289">
        <v>46305</v>
      </c>
      <c r="E481" s="330">
        <f t="shared" si="30"/>
        <v>46326</v>
      </c>
      <c r="F481" s="331">
        <f t="shared" si="31"/>
        <v>7</v>
      </c>
      <c r="G481" s="289">
        <v>45496</v>
      </c>
      <c r="H481" s="330">
        <f t="shared" si="32"/>
        <v>45504</v>
      </c>
      <c r="I481" s="331">
        <f t="shared" si="33"/>
        <v>2024</v>
      </c>
      <c r="J481" s="290">
        <f t="shared" si="34"/>
        <v>809</v>
      </c>
      <c r="K481" s="294"/>
      <c r="L481" s="297"/>
      <c r="M481" s="297"/>
      <c r="N481" s="332" t="s">
        <v>249</v>
      </c>
      <c r="O481" s="3">
        <v>7750</v>
      </c>
      <c r="Q481" s="3">
        <f t="shared" si="35"/>
        <v>7750</v>
      </c>
      <c r="R481" s="3">
        <v>3915</v>
      </c>
      <c r="T481" s="42"/>
      <c r="Z481" s="3">
        <f t="shared" si="29"/>
        <v>7</v>
      </c>
    </row>
    <row r="482" spans="1:26" ht="15.75" customHeight="1">
      <c r="A482" s="3">
        <v>1</v>
      </c>
      <c r="B482" s="287" t="s">
        <v>796</v>
      </c>
      <c r="C482" s="290"/>
      <c r="D482" s="289">
        <v>46306</v>
      </c>
      <c r="E482" s="330">
        <f t="shared" si="30"/>
        <v>46326</v>
      </c>
      <c r="F482" s="331">
        <f t="shared" si="31"/>
        <v>7</v>
      </c>
      <c r="G482" s="289">
        <v>45897</v>
      </c>
      <c r="H482" s="330">
        <f t="shared" si="32"/>
        <v>45900</v>
      </c>
      <c r="I482" s="331">
        <f t="shared" si="33"/>
        <v>2025</v>
      </c>
      <c r="J482" s="290">
        <f t="shared" si="34"/>
        <v>409</v>
      </c>
      <c r="K482" s="294"/>
      <c r="L482" s="297"/>
      <c r="M482" s="297"/>
      <c r="N482" s="332" t="s">
        <v>249</v>
      </c>
      <c r="O482" s="3">
        <v>7750</v>
      </c>
      <c r="Q482" s="3">
        <f t="shared" si="35"/>
        <v>7750</v>
      </c>
      <c r="R482" s="3">
        <v>3916</v>
      </c>
      <c r="T482" s="42"/>
      <c r="Z482" s="3">
        <f t="shared" si="29"/>
        <v>1</v>
      </c>
    </row>
    <row r="483" spans="1:26" ht="15.75" customHeight="1">
      <c r="A483" s="3">
        <v>1</v>
      </c>
      <c r="B483" s="287" t="s">
        <v>798</v>
      </c>
      <c r="C483" s="290"/>
      <c r="D483" s="289">
        <v>46308</v>
      </c>
      <c r="E483" s="330">
        <f t="shared" si="30"/>
        <v>46326</v>
      </c>
      <c r="F483" s="331">
        <f t="shared" si="31"/>
        <v>7</v>
      </c>
      <c r="G483" s="289">
        <v>46031</v>
      </c>
      <c r="H483" s="330">
        <f t="shared" si="32"/>
        <v>46053</v>
      </c>
      <c r="I483" s="331">
        <f t="shared" si="33"/>
        <v>2026</v>
      </c>
      <c r="J483" s="290">
        <f t="shared" si="34"/>
        <v>277</v>
      </c>
      <c r="K483" s="294"/>
      <c r="L483" s="297"/>
      <c r="M483" s="297"/>
      <c r="N483" s="332" t="s">
        <v>250</v>
      </c>
      <c r="O483" s="3">
        <v>1750</v>
      </c>
      <c r="Q483" s="3">
        <f t="shared" si="35"/>
        <v>1750</v>
      </c>
      <c r="R483" s="3">
        <v>500</v>
      </c>
      <c r="T483" s="42"/>
      <c r="Z483" s="3">
        <f t="shared" si="29"/>
        <v>3</v>
      </c>
    </row>
    <row r="484" spans="1:26" ht="15.75" customHeight="1">
      <c r="A484" s="3">
        <v>1</v>
      </c>
      <c r="B484" s="287" t="s">
        <v>797</v>
      </c>
      <c r="C484" s="290"/>
      <c r="D484" s="289">
        <v>46308</v>
      </c>
      <c r="E484" s="330">
        <f t="shared" si="30"/>
        <v>46326</v>
      </c>
      <c r="F484" s="331">
        <f t="shared" si="31"/>
        <v>7</v>
      </c>
      <c r="G484" s="289">
        <v>46030</v>
      </c>
      <c r="H484" s="330">
        <f t="shared" si="32"/>
        <v>46053</v>
      </c>
      <c r="I484" s="331">
        <f t="shared" si="33"/>
        <v>2026</v>
      </c>
      <c r="J484" s="290">
        <f t="shared" si="34"/>
        <v>278</v>
      </c>
      <c r="K484" s="294"/>
      <c r="L484" s="297"/>
      <c r="M484" s="297"/>
      <c r="N484" s="332" t="s">
        <v>250</v>
      </c>
      <c r="O484" s="3">
        <v>1750</v>
      </c>
      <c r="Q484" s="3">
        <f t="shared" si="35"/>
        <v>1750</v>
      </c>
      <c r="R484" s="3">
        <v>500</v>
      </c>
      <c r="T484" s="42"/>
      <c r="Z484" s="3">
        <f t="shared" si="29"/>
        <v>3</v>
      </c>
    </row>
    <row r="485" spans="1:26" ht="15.75" customHeight="1">
      <c r="A485" s="3">
        <v>1</v>
      </c>
      <c r="B485" s="287" t="s">
        <v>800</v>
      </c>
      <c r="C485" s="290"/>
      <c r="D485" s="289">
        <v>46311</v>
      </c>
      <c r="E485" s="330">
        <f t="shared" si="30"/>
        <v>46326</v>
      </c>
      <c r="F485" s="331">
        <f t="shared" si="31"/>
        <v>7</v>
      </c>
      <c r="G485" s="289">
        <v>45707</v>
      </c>
      <c r="H485" s="330">
        <f t="shared" si="32"/>
        <v>45716</v>
      </c>
      <c r="I485" s="331">
        <f t="shared" si="33"/>
        <v>2025</v>
      </c>
      <c r="J485" s="290">
        <f t="shared" si="34"/>
        <v>604</v>
      </c>
      <c r="K485" s="294"/>
      <c r="L485" s="297"/>
      <c r="M485" s="297"/>
      <c r="N485" s="332" t="s">
        <v>249</v>
      </c>
      <c r="O485" s="3">
        <v>9000</v>
      </c>
      <c r="Q485" s="3">
        <f t="shared" si="35"/>
        <v>9000</v>
      </c>
      <c r="R485" s="3">
        <v>4335</v>
      </c>
      <c r="T485" s="42"/>
      <c r="Z485" s="3">
        <f t="shared" si="29"/>
        <v>6</v>
      </c>
    </row>
    <row r="486" spans="1:26" ht="15.75" customHeight="1">
      <c r="A486" s="3">
        <v>1</v>
      </c>
      <c r="B486" s="287" t="s">
        <v>1241</v>
      </c>
      <c r="C486" s="290"/>
      <c r="D486" s="289">
        <v>46312</v>
      </c>
      <c r="E486" s="330">
        <f t="shared" si="30"/>
        <v>46326</v>
      </c>
      <c r="F486" s="331">
        <f t="shared" si="31"/>
        <v>7</v>
      </c>
      <c r="G486" s="289">
        <v>45446</v>
      </c>
      <c r="H486" s="330">
        <f t="shared" si="32"/>
        <v>45473</v>
      </c>
      <c r="I486" s="331">
        <f t="shared" si="33"/>
        <v>2024</v>
      </c>
      <c r="J486" s="290">
        <f t="shared" si="34"/>
        <v>866</v>
      </c>
      <c r="K486" s="294"/>
      <c r="L486" s="297"/>
      <c r="M486" s="297"/>
      <c r="N486" s="332" t="s">
        <v>249</v>
      </c>
      <c r="O486" s="3">
        <v>7750</v>
      </c>
      <c r="Q486" s="3">
        <f t="shared" si="35"/>
        <v>7750</v>
      </c>
      <c r="R486" s="3">
        <v>5480</v>
      </c>
      <c r="T486" s="42"/>
      <c r="Z486" s="3">
        <f t="shared" si="29"/>
        <v>7</v>
      </c>
    </row>
    <row r="487" spans="1:26" ht="15.75" customHeight="1">
      <c r="A487" s="3">
        <v>1</v>
      </c>
      <c r="B487" s="287" t="s">
        <v>805</v>
      </c>
      <c r="C487" s="290"/>
      <c r="D487" s="289">
        <v>46313</v>
      </c>
      <c r="E487" s="330">
        <f t="shared" si="30"/>
        <v>46326</v>
      </c>
      <c r="F487" s="331">
        <f t="shared" si="31"/>
        <v>7</v>
      </c>
      <c r="G487" s="289">
        <v>45862</v>
      </c>
      <c r="H487" s="330">
        <f t="shared" si="32"/>
        <v>45869</v>
      </c>
      <c r="I487" s="331">
        <f t="shared" si="33"/>
        <v>2025</v>
      </c>
      <c r="J487" s="290">
        <f t="shared" si="34"/>
        <v>451</v>
      </c>
      <c r="K487" s="294"/>
      <c r="L487" s="297"/>
      <c r="M487" s="297"/>
      <c r="N487" s="332" t="s">
        <v>249</v>
      </c>
      <c r="O487" s="3">
        <v>8250</v>
      </c>
      <c r="Q487" s="3">
        <f t="shared" si="35"/>
        <v>8250</v>
      </c>
      <c r="R487" s="3">
        <v>4085</v>
      </c>
      <c r="T487" s="42"/>
      <c r="Z487" s="3">
        <f t="shared" si="29"/>
        <v>1</v>
      </c>
    </row>
    <row r="488" spans="1:26" ht="15.75" customHeight="1">
      <c r="A488" s="3">
        <v>1</v>
      </c>
      <c r="B488" s="287" t="s">
        <v>806</v>
      </c>
      <c r="C488" s="290"/>
      <c r="D488" s="289">
        <v>46315</v>
      </c>
      <c r="E488" s="330">
        <f t="shared" si="30"/>
        <v>46326</v>
      </c>
      <c r="F488" s="331">
        <f t="shared" si="31"/>
        <v>7</v>
      </c>
      <c r="G488" s="289">
        <v>45841</v>
      </c>
      <c r="H488" s="330">
        <f t="shared" si="32"/>
        <v>45869</v>
      </c>
      <c r="I488" s="331">
        <f t="shared" si="33"/>
        <v>2025</v>
      </c>
      <c r="J488" s="290">
        <f t="shared" si="34"/>
        <v>474</v>
      </c>
      <c r="K488" s="294"/>
      <c r="L488" s="297"/>
      <c r="M488" s="297"/>
      <c r="N488" s="332" t="s">
        <v>250</v>
      </c>
      <c r="O488" s="3">
        <v>1750</v>
      </c>
      <c r="Q488" s="3">
        <f t="shared" si="35"/>
        <v>1750</v>
      </c>
      <c r="R488" s="3">
        <v>1125</v>
      </c>
      <c r="T488" s="42"/>
      <c r="Z488" s="3">
        <f t="shared" si="29"/>
        <v>3</v>
      </c>
    </row>
    <row r="489" spans="1:26" ht="15.75" customHeight="1">
      <c r="A489" s="3">
        <v>1</v>
      </c>
      <c r="B489" s="287" t="s">
        <v>809</v>
      </c>
      <c r="C489" s="290"/>
      <c r="D489" s="289">
        <v>46318</v>
      </c>
      <c r="E489" s="330">
        <f t="shared" si="30"/>
        <v>46326</v>
      </c>
      <c r="F489" s="331">
        <f t="shared" si="31"/>
        <v>7</v>
      </c>
      <c r="G489" s="289">
        <v>45845</v>
      </c>
      <c r="H489" s="330">
        <f t="shared" si="32"/>
        <v>45869</v>
      </c>
      <c r="I489" s="331">
        <f t="shared" si="33"/>
        <v>2025</v>
      </c>
      <c r="J489" s="290">
        <f t="shared" si="34"/>
        <v>473</v>
      </c>
      <c r="K489" s="294"/>
      <c r="L489" s="297"/>
      <c r="M489" s="297"/>
      <c r="N489" s="332" t="s">
        <v>249</v>
      </c>
      <c r="O489" s="3">
        <v>7500</v>
      </c>
      <c r="Q489" s="3">
        <f t="shared" si="35"/>
        <v>7500</v>
      </c>
      <c r="R489" s="3">
        <v>3835</v>
      </c>
      <c r="T489" s="42"/>
      <c r="Z489" s="3">
        <f t="shared" si="29"/>
        <v>6</v>
      </c>
    </row>
    <row r="490" spans="1:26" ht="15.75" customHeight="1">
      <c r="A490" s="3">
        <v>1</v>
      </c>
      <c r="B490" s="287" t="s">
        <v>811</v>
      </c>
      <c r="C490" s="290"/>
      <c r="D490" s="289">
        <v>46319</v>
      </c>
      <c r="E490" s="330">
        <f t="shared" si="30"/>
        <v>46326</v>
      </c>
      <c r="F490" s="331">
        <f t="shared" si="31"/>
        <v>7</v>
      </c>
      <c r="G490" s="289">
        <v>45812</v>
      </c>
      <c r="H490" s="330">
        <f t="shared" si="32"/>
        <v>45838</v>
      </c>
      <c r="I490" s="331">
        <f t="shared" si="33"/>
        <v>2025</v>
      </c>
      <c r="J490" s="290">
        <f t="shared" si="34"/>
        <v>507</v>
      </c>
      <c r="K490" s="294"/>
      <c r="L490" s="297"/>
      <c r="M490" s="297"/>
      <c r="N490" s="332" t="s">
        <v>249</v>
      </c>
      <c r="O490" s="3">
        <v>8000</v>
      </c>
      <c r="Q490" s="3">
        <f t="shared" si="35"/>
        <v>8000</v>
      </c>
      <c r="R490" s="3">
        <v>4000</v>
      </c>
      <c r="T490" s="42"/>
      <c r="Z490" s="3">
        <f t="shared" si="29"/>
        <v>7</v>
      </c>
    </row>
    <row r="491" spans="1:26" ht="15.75" customHeight="1">
      <c r="A491" s="3">
        <v>1</v>
      </c>
      <c r="B491" s="287" t="s">
        <v>813</v>
      </c>
      <c r="C491" s="290"/>
      <c r="D491" s="289">
        <v>46320</v>
      </c>
      <c r="E491" s="330">
        <f t="shared" si="30"/>
        <v>46326</v>
      </c>
      <c r="F491" s="331">
        <f t="shared" si="31"/>
        <v>7</v>
      </c>
      <c r="G491" s="289">
        <v>45912</v>
      </c>
      <c r="H491" s="330">
        <f t="shared" si="32"/>
        <v>45930</v>
      </c>
      <c r="I491" s="331">
        <f t="shared" si="33"/>
        <v>2025</v>
      </c>
      <c r="J491" s="290">
        <f t="shared" si="34"/>
        <v>408</v>
      </c>
      <c r="K491" s="294"/>
      <c r="L491" s="297"/>
      <c r="M491" s="297"/>
      <c r="N491" s="332" t="s">
        <v>249</v>
      </c>
      <c r="O491" s="3">
        <v>8250</v>
      </c>
      <c r="Q491" s="3">
        <f t="shared" si="35"/>
        <v>8250</v>
      </c>
      <c r="R491" s="3">
        <v>4085</v>
      </c>
      <c r="T491" s="42"/>
      <c r="Z491" s="3">
        <f t="shared" si="29"/>
        <v>1</v>
      </c>
    </row>
    <row r="492" spans="1:26" ht="15.75" customHeight="1">
      <c r="A492" s="3">
        <v>1</v>
      </c>
      <c r="B492" s="287" t="s">
        <v>814</v>
      </c>
      <c r="C492" s="290"/>
      <c r="D492" s="289">
        <v>46322</v>
      </c>
      <c r="E492" s="330">
        <f t="shared" si="30"/>
        <v>46326</v>
      </c>
      <c r="F492" s="331">
        <f t="shared" si="31"/>
        <v>7</v>
      </c>
      <c r="G492" s="289">
        <v>46000</v>
      </c>
      <c r="H492" s="330">
        <f t="shared" si="32"/>
        <v>46022</v>
      </c>
      <c r="I492" s="331">
        <f t="shared" si="33"/>
        <v>2025</v>
      </c>
      <c r="J492" s="290">
        <f t="shared" si="34"/>
        <v>322</v>
      </c>
      <c r="K492" s="294"/>
      <c r="L492" s="297"/>
      <c r="M492" s="297"/>
      <c r="N492" s="332" t="s">
        <v>250</v>
      </c>
      <c r="O492" s="3">
        <v>1750</v>
      </c>
      <c r="Q492" s="3">
        <f t="shared" si="35"/>
        <v>1750</v>
      </c>
      <c r="R492" s="3">
        <v>500</v>
      </c>
      <c r="T492" s="42"/>
      <c r="Z492" s="3">
        <f t="shared" si="29"/>
        <v>3</v>
      </c>
    </row>
    <row r="493" spans="1:26" ht="15.75" customHeight="1">
      <c r="A493" s="3">
        <v>1</v>
      </c>
      <c r="B493" s="287" t="s">
        <v>816</v>
      </c>
      <c r="C493" s="290"/>
      <c r="D493" s="289">
        <v>46327</v>
      </c>
      <c r="E493" s="330">
        <f t="shared" si="30"/>
        <v>46356</v>
      </c>
      <c r="F493" s="331">
        <f t="shared" si="31"/>
        <v>2</v>
      </c>
      <c r="G493" s="289">
        <v>45965</v>
      </c>
      <c r="H493" s="330">
        <f t="shared" si="32"/>
        <v>45991</v>
      </c>
      <c r="I493" s="331">
        <f t="shared" si="33"/>
        <v>2025</v>
      </c>
      <c r="J493" s="290">
        <f t="shared" si="34"/>
        <v>362</v>
      </c>
      <c r="K493" s="294"/>
      <c r="L493" s="297"/>
      <c r="M493" s="297"/>
      <c r="N493" s="332" t="s">
        <v>249</v>
      </c>
      <c r="O493" s="3">
        <v>8250</v>
      </c>
      <c r="Q493" s="3">
        <f t="shared" si="35"/>
        <v>8250</v>
      </c>
      <c r="R493" s="3">
        <v>4085</v>
      </c>
      <c r="T493" s="42"/>
      <c r="Z493" s="3">
        <f t="shared" si="29"/>
        <v>1</v>
      </c>
    </row>
    <row r="494" spans="1:26" ht="15.75" customHeight="1">
      <c r="A494" s="3">
        <v>1</v>
      </c>
      <c r="B494" s="287" t="s">
        <v>817</v>
      </c>
      <c r="C494" s="290"/>
      <c r="D494" s="289">
        <v>46332</v>
      </c>
      <c r="E494" s="330">
        <f t="shared" si="30"/>
        <v>46356</v>
      </c>
      <c r="F494" s="331">
        <f t="shared" si="31"/>
        <v>2</v>
      </c>
      <c r="G494" s="289">
        <v>45989</v>
      </c>
      <c r="H494" s="330">
        <f t="shared" si="32"/>
        <v>45991</v>
      </c>
      <c r="I494" s="331">
        <f t="shared" si="33"/>
        <v>2025</v>
      </c>
      <c r="J494" s="290">
        <f t="shared" si="34"/>
        <v>343</v>
      </c>
      <c r="K494" s="294"/>
      <c r="L494" s="297"/>
      <c r="M494" s="297"/>
      <c r="N494" s="332" t="s">
        <v>249</v>
      </c>
      <c r="O494" s="3">
        <v>7750</v>
      </c>
      <c r="Q494" s="3">
        <f t="shared" si="35"/>
        <v>7750</v>
      </c>
      <c r="R494" s="3">
        <v>3920</v>
      </c>
      <c r="T494" s="42"/>
      <c r="Z494" s="3">
        <f t="shared" si="29"/>
        <v>6</v>
      </c>
    </row>
    <row r="495" spans="1:26" ht="15.75" customHeight="1">
      <c r="A495" s="3">
        <v>1</v>
      </c>
      <c r="B495" s="287" t="s">
        <v>619</v>
      </c>
      <c r="C495" s="290"/>
      <c r="D495" s="289">
        <v>46333</v>
      </c>
      <c r="E495" s="330">
        <f t="shared" si="30"/>
        <v>46356</v>
      </c>
      <c r="F495" s="331">
        <f t="shared" si="31"/>
        <v>2</v>
      </c>
      <c r="G495" s="289">
        <v>45706</v>
      </c>
      <c r="H495" s="330">
        <f t="shared" si="32"/>
        <v>45716</v>
      </c>
      <c r="I495" s="331">
        <f t="shared" si="33"/>
        <v>2025</v>
      </c>
      <c r="J495" s="290">
        <f t="shared" si="34"/>
        <v>627</v>
      </c>
      <c r="K495" s="294"/>
      <c r="L495" s="297"/>
      <c r="M495" s="297"/>
      <c r="N495" s="332" t="s">
        <v>249</v>
      </c>
      <c r="O495" s="3">
        <v>8000</v>
      </c>
      <c r="Q495" s="3">
        <f t="shared" si="35"/>
        <v>8000</v>
      </c>
      <c r="R495" s="3" t="s">
        <v>1225</v>
      </c>
      <c r="T495" s="42">
        <v>15865</v>
      </c>
      <c r="Z495" s="3">
        <f t="shared" si="29"/>
        <v>7</v>
      </c>
    </row>
    <row r="496" spans="1:26" ht="15.75" customHeight="1">
      <c r="A496" s="3">
        <v>1</v>
      </c>
      <c r="B496" s="287" t="s">
        <v>819</v>
      </c>
      <c r="C496" s="290"/>
      <c r="D496" s="289">
        <v>46334</v>
      </c>
      <c r="E496" s="330">
        <f t="shared" si="30"/>
        <v>46356</v>
      </c>
      <c r="F496" s="331">
        <f t="shared" si="31"/>
        <v>2</v>
      </c>
      <c r="G496" s="289">
        <v>46010</v>
      </c>
      <c r="H496" s="330">
        <f t="shared" si="32"/>
        <v>46022</v>
      </c>
      <c r="I496" s="331">
        <f t="shared" si="33"/>
        <v>2025</v>
      </c>
      <c r="J496" s="290">
        <f t="shared" si="34"/>
        <v>324</v>
      </c>
      <c r="K496" s="294"/>
      <c r="L496" s="297"/>
      <c r="M496" s="297"/>
      <c r="N496" s="332" t="s">
        <v>249</v>
      </c>
      <c r="O496" s="3">
        <v>8250</v>
      </c>
      <c r="P496" s="298"/>
      <c r="Q496" s="3">
        <f t="shared" si="35"/>
        <v>8250</v>
      </c>
      <c r="R496" s="3">
        <v>4085</v>
      </c>
      <c r="T496" s="329"/>
      <c r="Z496" s="3">
        <f t="shared" si="29"/>
        <v>1</v>
      </c>
    </row>
    <row r="497" spans="1:26" ht="15.75" customHeight="1">
      <c r="A497" s="3">
        <v>1</v>
      </c>
      <c r="B497" s="287" t="s">
        <v>822</v>
      </c>
      <c r="C497" s="290"/>
      <c r="D497" s="289">
        <v>46339</v>
      </c>
      <c r="E497" s="330">
        <f t="shared" si="30"/>
        <v>46356</v>
      </c>
      <c r="F497" s="331">
        <f t="shared" si="31"/>
        <v>2</v>
      </c>
      <c r="G497" s="289">
        <v>45790</v>
      </c>
      <c r="H497" s="330">
        <f t="shared" si="32"/>
        <v>45808</v>
      </c>
      <c r="I497" s="331">
        <f t="shared" si="33"/>
        <v>2025</v>
      </c>
      <c r="J497" s="290">
        <f t="shared" si="34"/>
        <v>549</v>
      </c>
      <c r="K497" s="294"/>
      <c r="L497" s="297"/>
      <c r="M497" s="297"/>
      <c r="N497" s="332" t="s">
        <v>249</v>
      </c>
      <c r="O497" s="3">
        <v>9000</v>
      </c>
      <c r="P497" s="298"/>
      <c r="Q497" s="3">
        <f t="shared" si="35"/>
        <v>9000</v>
      </c>
      <c r="R497" s="3">
        <v>4335</v>
      </c>
      <c r="T497" s="329"/>
      <c r="Z497" s="3">
        <f t="shared" si="29"/>
        <v>6</v>
      </c>
    </row>
    <row r="498" spans="1:26" ht="15.75" customHeight="1">
      <c r="A498" s="3">
        <v>1</v>
      </c>
      <c r="B498" s="287" t="s">
        <v>823</v>
      </c>
      <c r="C498" s="290"/>
      <c r="D498" s="289">
        <v>46340</v>
      </c>
      <c r="E498" s="330">
        <f t="shared" si="30"/>
        <v>46356</v>
      </c>
      <c r="F498" s="331">
        <f t="shared" si="31"/>
        <v>2</v>
      </c>
      <c r="G498" s="289">
        <v>45583</v>
      </c>
      <c r="H498" s="330">
        <f t="shared" si="32"/>
        <v>45596</v>
      </c>
      <c r="I498" s="331">
        <f t="shared" si="33"/>
        <v>2024</v>
      </c>
      <c r="J498" s="290">
        <f t="shared" si="34"/>
        <v>757</v>
      </c>
      <c r="K498" s="294"/>
      <c r="L498" s="297"/>
      <c r="M498" s="297"/>
      <c r="N498" s="332" t="s">
        <v>249</v>
      </c>
      <c r="O498" s="3">
        <v>7750</v>
      </c>
      <c r="P498" s="298"/>
      <c r="Q498" s="3">
        <f t="shared" si="35"/>
        <v>7750</v>
      </c>
      <c r="R498" s="3">
        <v>3915</v>
      </c>
      <c r="T498" s="329"/>
      <c r="Z498" s="3">
        <f t="shared" si="29"/>
        <v>7</v>
      </c>
    </row>
    <row r="499" spans="1:26" ht="15.75" customHeight="1">
      <c r="A499" s="3">
        <v>1</v>
      </c>
      <c r="B499" s="287" t="s">
        <v>1242</v>
      </c>
      <c r="C499" s="290"/>
      <c r="D499" s="289">
        <v>46346</v>
      </c>
      <c r="E499" s="330">
        <f t="shared" si="30"/>
        <v>46356</v>
      </c>
      <c r="F499" s="331">
        <f t="shared" si="31"/>
        <v>2</v>
      </c>
      <c r="G499" s="289">
        <v>46042</v>
      </c>
      <c r="H499" s="330">
        <f t="shared" si="32"/>
        <v>46053</v>
      </c>
      <c r="I499" s="331">
        <f t="shared" si="33"/>
        <v>2026</v>
      </c>
      <c r="J499" s="290">
        <f t="shared" si="34"/>
        <v>304</v>
      </c>
      <c r="K499" s="294"/>
      <c r="L499" s="297"/>
      <c r="M499" s="297"/>
      <c r="N499" s="332" t="s">
        <v>249</v>
      </c>
      <c r="O499" s="3">
        <v>7250</v>
      </c>
      <c r="P499" s="298"/>
      <c r="Q499" s="3">
        <f t="shared" si="35"/>
        <v>7250</v>
      </c>
      <c r="R499" s="3">
        <v>3750</v>
      </c>
      <c r="T499" s="329"/>
      <c r="Z499" s="3">
        <f t="shared" si="29"/>
        <v>6</v>
      </c>
    </row>
    <row r="500" spans="1:26" ht="15.75" customHeight="1">
      <c r="A500" s="3">
        <v>1</v>
      </c>
      <c r="B500" s="287" t="s">
        <v>826</v>
      </c>
      <c r="C500" s="290"/>
      <c r="D500" s="289">
        <v>46347</v>
      </c>
      <c r="E500" s="330">
        <f t="shared" si="30"/>
        <v>46356</v>
      </c>
      <c r="F500" s="331">
        <f t="shared" si="31"/>
        <v>2</v>
      </c>
      <c r="G500" s="289">
        <v>46070</v>
      </c>
      <c r="H500" s="330">
        <f t="shared" si="32"/>
        <v>46081</v>
      </c>
      <c r="I500" s="331">
        <f t="shared" si="33"/>
        <v>2026</v>
      </c>
      <c r="J500" s="290">
        <f t="shared" si="34"/>
        <v>277</v>
      </c>
      <c r="K500" s="294"/>
      <c r="L500" s="297"/>
      <c r="M500" s="297"/>
      <c r="N500" s="332" t="s">
        <v>249</v>
      </c>
      <c r="O500" s="3">
        <v>8250</v>
      </c>
      <c r="P500" s="298"/>
      <c r="Q500" s="3">
        <f t="shared" si="35"/>
        <v>8250</v>
      </c>
      <c r="R500" s="3">
        <v>2000</v>
      </c>
      <c r="T500" s="329"/>
      <c r="Z500" s="3">
        <f t="shared" si="29"/>
        <v>7</v>
      </c>
    </row>
    <row r="501" spans="1:26" ht="15.75" customHeight="1">
      <c r="A501" s="3">
        <v>1</v>
      </c>
      <c r="B501" s="287" t="s">
        <v>832</v>
      </c>
      <c r="C501" s="290"/>
      <c r="D501" s="289">
        <v>46368</v>
      </c>
      <c r="E501" s="330">
        <f t="shared" si="30"/>
        <v>46387</v>
      </c>
      <c r="F501" s="331">
        <f t="shared" si="31"/>
        <v>5</v>
      </c>
      <c r="G501" s="289">
        <v>46044</v>
      </c>
      <c r="H501" s="330">
        <f t="shared" si="32"/>
        <v>46053</v>
      </c>
      <c r="I501" s="331">
        <f t="shared" si="33"/>
        <v>2026</v>
      </c>
      <c r="J501" s="290">
        <f t="shared" si="34"/>
        <v>324</v>
      </c>
      <c r="K501" s="294"/>
      <c r="L501" s="297"/>
      <c r="M501" s="297"/>
      <c r="N501" s="332" t="s">
        <v>249</v>
      </c>
      <c r="O501" s="3">
        <v>8250</v>
      </c>
      <c r="P501" s="298"/>
      <c r="Q501" s="3">
        <f t="shared" si="35"/>
        <v>8250</v>
      </c>
      <c r="R501" s="3">
        <v>2000</v>
      </c>
      <c r="T501" s="329"/>
      <c r="Z501" s="3">
        <f t="shared" si="29"/>
        <v>7</v>
      </c>
    </row>
    <row r="502" spans="1:26" ht="15.75" customHeight="1">
      <c r="B502" s="287"/>
      <c r="C502" s="290"/>
      <c r="D502" s="289"/>
      <c r="E502" s="330"/>
      <c r="F502" s="330"/>
      <c r="G502" s="289"/>
      <c r="H502" s="330"/>
      <c r="I502" s="331"/>
      <c r="J502" s="290"/>
      <c r="K502" s="294"/>
      <c r="L502" s="297"/>
      <c r="M502" s="297"/>
      <c r="N502" s="332"/>
      <c r="P502" s="298"/>
      <c r="T502" s="329"/>
      <c r="Z502" s="3">
        <f t="shared" si="29"/>
        <v>7</v>
      </c>
    </row>
    <row r="503" spans="1:26" ht="15.75" customHeight="1">
      <c r="A503" s="3">
        <v>1</v>
      </c>
      <c r="B503" s="287" t="s">
        <v>838</v>
      </c>
      <c r="C503" s="290"/>
      <c r="D503" s="289">
        <v>46494</v>
      </c>
      <c r="E503" s="330">
        <f t="shared" ref="E503:E535" si="42">EOMONTH(D503,0)</f>
        <v>46507</v>
      </c>
      <c r="F503" s="331">
        <f t="shared" ref="F503:F535" si="43">WEEKDAY(E503)</f>
        <v>6</v>
      </c>
      <c r="G503" s="289">
        <v>45897</v>
      </c>
      <c r="H503" s="330">
        <f t="shared" ref="H503:H535" si="44">EOMONTH(G503,0)</f>
        <v>45900</v>
      </c>
      <c r="I503" s="331">
        <f t="shared" ref="I503:I535" si="45">YEAR(H503)</f>
        <v>2025</v>
      </c>
      <c r="J503" s="290">
        <f t="shared" ref="J503:J535" si="46">(D503-G503)</f>
        <v>597</v>
      </c>
      <c r="K503" s="294"/>
      <c r="L503" s="297"/>
      <c r="M503" s="297"/>
      <c r="N503" s="332" t="s">
        <v>248</v>
      </c>
      <c r="O503" s="3">
        <v>0</v>
      </c>
      <c r="P503" s="298"/>
      <c r="Q503" s="3">
        <f t="shared" ref="Q503:Q535" si="47">SUM(O503:P503)</f>
        <v>0</v>
      </c>
      <c r="R503" s="3">
        <v>0</v>
      </c>
      <c r="T503" s="329"/>
      <c r="Z503" s="3">
        <f t="shared" si="29"/>
        <v>7</v>
      </c>
    </row>
    <row r="504" spans="1:26" ht="15.75" customHeight="1">
      <c r="A504" s="3">
        <v>1</v>
      </c>
      <c r="B504" s="287" t="s">
        <v>844</v>
      </c>
      <c r="C504" s="290"/>
      <c r="D504" s="289">
        <v>46508</v>
      </c>
      <c r="E504" s="330">
        <f t="shared" si="42"/>
        <v>46538</v>
      </c>
      <c r="F504" s="331">
        <f t="shared" si="43"/>
        <v>2</v>
      </c>
      <c r="G504" s="289">
        <v>46073</v>
      </c>
      <c r="H504" s="330">
        <f t="shared" si="44"/>
        <v>46081</v>
      </c>
      <c r="I504" s="331">
        <f t="shared" si="45"/>
        <v>2026</v>
      </c>
      <c r="J504" s="290">
        <f t="shared" si="46"/>
        <v>435</v>
      </c>
      <c r="K504" s="294"/>
      <c r="L504" s="297"/>
      <c r="M504" s="297"/>
      <c r="N504" s="332" t="s">
        <v>248</v>
      </c>
      <c r="O504" s="3">
        <v>7500</v>
      </c>
      <c r="P504" s="298"/>
      <c r="Q504" s="3">
        <f t="shared" si="47"/>
        <v>7500</v>
      </c>
      <c r="R504" s="3">
        <v>2500</v>
      </c>
      <c r="T504" s="329"/>
      <c r="Z504" s="3">
        <f t="shared" si="29"/>
        <v>7</v>
      </c>
    </row>
    <row r="505" spans="1:26" ht="15.75" customHeight="1">
      <c r="A505" s="3">
        <v>1</v>
      </c>
      <c r="B505" s="287" t="s">
        <v>621</v>
      </c>
      <c r="C505" s="290"/>
      <c r="D505" s="289">
        <v>46521</v>
      </c>
      <c r="E505" s="330">
        <f t="shared" si="42"/>
        <v>46538</v>
      </c>
      <c r="F505" s="331">
        <f t="shared" si="43"/>
        <v>2</v>
      </c>
      <c r="G505" s="289">
        <v>46079</v>
      </c>
      <c r="H505" s="330">
        <f t="shared" si="44"/>
        <v>46081</v>
      </c>
      <c r="I505" s="331">
        <f t="shared" si="45"/>
        <v>2026</v>
      </c>
      <c r="J505" s="290">
        <f t="shared" si="46"/>
        <v>442</v>
      </c>
      <c r="K505" s="294"/>
      <c r="L505" s="297"/>
      <c r="M505" s="297"/>
      <c r="N505" s="332" t="s">
        <v>248</v>
      </c>
      <c r="O505" s="3">
        <v>6750</v>
      </c>
      <c r="P505" s="298"/>
      <c r="Q505" s="3">
        <f t="shared" si="47"/>
        <v>6750</v>
      </c>
      <c r="R505" s="3">
        <v>4000</v>
      </c>
      <c r="T505" s="329"/>
      <c r="Z505" s="3">
        <f t="shared" si="29"/>
        <v>6</v>
      </c>
    </row>
    <row r="506" spans="1:26" ht="15.75" customHeight="1">
      <c r="A506" s="3">
        <v>1</v>
      </c>
      <c r="B506" s="287" t="s">
        <v>850</v>
      </c>
      <c r="C506" s="290"/>
      <c r="D506" s="289">
        <v>46522</v>
      </c>
      <c r="E506" s="330">
        <f t="shared" si="42"/>
        <v>46538</v>
      </c>
      <c r="F506" s="331">
        <f t="shared" si="43"/>
        <v>2</v>
      </c>
      <c r="G506" s="289">
        <v>46041</v>
      </c>
      <c r="H506" s="330">
        <f t="shared" si="44"/>
        <v>46053</v>
      </c>
      <c r="I506" s="331">
        <f t="shared" si="45"/>
        <v>2026</v>
      </c>
      <c r="J506" s="290">
        <f t="shared" si="46"/>
        <v>481</v>
      </c>
      <c r="K506" s="294"/>
      <c r="L506" s="297"/>
      <c r="M506" s="297"/>
      <c r="N506" s="332" t="s">
        <v>248</v>
      </c>
      <c r="O506" s="3">
        <v>7500</v>
      </c>
      <c r="P506" s="298"/>
      <c r="Q506" s="3">
        <f t="shared" si="47"/>
        <v>7500</v>
      </c>
      <c r="R506" s="3">
        <v>2000</v>
      </c>
      <c r="T506" s="329"/>
      <c r="Z506" s="3">
        <f t="shared" si="29"/>
        <v>7</v>
      </c>
    </row>
    <row r="507" spans="1:26" ht="15.75" customHeight="1">
      <c r="A507" s="3">
        <v>1</v>
      </c>
      <c r="B507" s="287" t="s">
        <v>856</v>
      </c>
      <c r="C507" s="290"/>
      <c r="D507" s="289">
        <v>46536</v>
      </c>
      <c r="E507" s="330">
        <f t="shared" si="42"/>
        <v>46538</v>
      </c>
      <c r="F507" s="331">
        <f t="shared" si="43"/>
        <v>2</v>
      </c>
      <c r="G507" s="289">
        <v>46049</v>
      </c>
      <c r="H507" s="330">
        <f t="shared" si="44"/>
        <v>46053</v>
      </c>
      <c r="I507" s="331">
        <f t="shared" si="45"/>
        <v>2026</v>
      </c>
      <c r="J507" s="290">
        <f t="shared" si="46"/>
        <v>487</v>
      </c>
      <c r="K507" s="294"/>
      <c r="L507" s="297"/>
      <c r="M507" s="297"/>
      <c r="N507" s="332" t="s">
        <v>248</v>
      </c>
      <c r="O507" s="3">
        <v>7500</v>
      </c>
      <c r="P507" s="298"/>
      <c r="Q507" s="3">
        <f t="shared" si="47"/>
        <v>7500</v>
      </c>
      <c r="R507" s="3">
        <v>2000</v>
      </c>
      <c r="T507" s="329"/>
      <c r="Z507" s="3">
        <f t="shared" si="29"/>
        <v>7</v>
      </c>
    </row>
    <row r="508" spans="1:26" ht="15.75" customHeight="1">
      <c r="A508" s="3">
        <v>1</v>
      </c>
      <c r="B508" s="287" t="s">
        <v>874</v>
      </c>
      <c r="C508" s="290"/>
      <c r="D508" s="289">
        <v>46634</v>
      </c>
      <c r="E508" s="330">
        <f t="shared" si="42"/>
        <v>46660</v>
      </c>
      <c r="F508" s="331">
        <f t="shared" si="43"/>
        <v>5</v>
      </c>
      <c r="G508" s="289">
        <v>46070</v>
      </c>
      <c r="H508" s="330">
        <f t="shared" si="44"/>
        <v>46081</v>
      </c>
      <c r="I508" s="331">
        <f t="shared" si="45"/>
        <v>2026</v>
      </c>
      <c r="J508" s="290">
        <f t="shared" si="46"/>
        <v>564</v>
      </c>
      <c r="K508" s="294"/>
      <c r="L508" s="297"/>
      <c r="M508" s="297"/>
      <c r="N508" s="332" t="s">
        <v>248</v>
      </c>
      <c r="O508" s="3">
        <v>7500</v>
      </c>
      <c r="P508" s="298"/>
      <c r="Q508" s="3">
        <f t="shared" si="47"/>
        <v>7500</v>
      </c>
      <c r="R508" s="3">
        <v>2500</v>
      </c>
      <c r="T508" s="329"/>
      <c r="Z508" s="3">
        <f t="shared" si="29"/>
        <v>7</v>
      </c>
    </row>
    <row r="509" spans="1:26" ht="15.75" customHeight="1">
      <c r="A509" s="3">
        <v>1</v>
      </c>
      <c r="B509" s="287" t="s">
        <v>881</v>
      </c>
      <c r="C509" s="290"/>
      <c r="D509" s="289">
        <v>46669</v>
      </c>
      <c r="E509" s="330">
        <f t="shared" si="42"/>
        <v>46691</v>
      </c>
      <c r="F509" s="331">
        <f t="shared" si="43"/>
        <v>1</v>
      </c>
      <c r="G509" s="289">
        <v>45874</v>
      </c>
      <c r="H509" s="330">
        <f t="shared" si="44"/>
        <v>45900</v>
      </c>
      <c r="I509" s="331">
        <f t="shared" si="45"/>
        <v>2025</v>
      </c>
      <c r="J509" s="290">
        <f t="shared" si="46"/>
        <v>795</v>
      </c>
      <c r="K509" s="294"/>
      <c r="L509" s="297"/>
      <c r="M509" s="297"/>
      <c r="N509" s="332" t="s">
        <v>248</v>
      </c>
      <c r="O509" s="3">
        <v>7500</v>
      </c>
      <c r="P509" s="298"/>
      <c r="Q509" s="3">
        <f t="shared" si="47"/>
        <v>7500</v>
      </c>
      <c r="R509" s="3">
        <v>2000</v>
      </c>
      <c r="T509" s="329"/>
      <c r="Z509" s="3">
        <f t="shared" si="29"/>
        <v>7</v>
      </c>
    </row>
    <row r="510" spans="1:26" ht="15.75" customHeight="1">
      <c r="A510" s="3">
        <v>1</v>
      </c>
      <c r="B510" s="287" t="s">
        <v>884</v>
      </c>
      <c r="C510" s="290"/>
      <c r="D510" s="289">
        <v>46696</v>
      </c>
      <c r="E510" s="330">
        <f t="shared" si="42"/>
        <v>46721</v>
      </c>
      <c r="F510" s="331">
        <f t="shared" si="43"/>
        <v>3</v>
      </c>
      <c r="G510" s="289">
        <v>46039</v>
      </c>
      <c r="H510" s="330">
        <f t="shared" si="44"/>
        <v>46053</v>
      </c>
      <c r="I510" s="331">
        <f t="shared" si="45"/>
        <v>2026</v>
      </c>
      <c r="J510" s="290">
        <f t="shared" si="46"/>
        <v>657</v>
      </c>
      <c r="K510" s="294"/>
      <c r="L510" s="297"/>
      <c r="M510" s="297"/>
      <c r="N510" s="332" t="s">
        <v>248</v>
      </c>
      <c r="O510" s="3">
        <v>6750</v>
      </c>
      <c r="P510" s="298"/>
      <c r="Q510" s="3">
        <f t="shared" si="47"/>
        <v>6750</v>
      </c>
      <c r="R510" s="3">
        <v>2000</v>
      </c>
      <c r="T510" s="329"/>
      <c r="Z510" s="3">
        <f t="shared" si="29"/>
        <v>6</v>
      </c>
    </row>
    <row r="511" spans="1:26" ht="15.75" customHeight="1">
      <c r="A511" s="3">
        <v>1</v>
      </c>
      <c r="B511" s="287" t="s">
        <v>1243</v>
      </c>
      <c r="C511" s="290"/>
      <c r="D511" s="289">
        <v>46486</v>
      </c>
      <c r="E511" s="330">
        <f t="shared" si="42"/>
        <v>46507</v>
      </c>
      <c r="F511" s="331">
        <f t="shared" si="43"/>
        <v>6</v>
      </c>
      <c r="G511" s="289">
        <v>46078</v>
      </c>
      <c r="H511" s="330">
        <f t="shared" si="44"/>
        <v>46081</v>
      </c>
      <c r="I511" s="331">
        <f t="shared" si="45"/>
        <v>2026</v>
      </c>
      <c r="J511" s="290">
        <f t="shared" si="46"/>
        <v>408</v>
      </c>
      <c r="K511" s="294"/>
      <c r="L511" s="297"/>
      <c r="M511" s="297"/>
      <c r="N511" s="332" t="s">
        <v>249</v>
      </c>
      <c r="O511" s="3">
        <v>8500</v>
      </c>
      <c r="P511" s="298"/>
      <c r="Q511" s="3">
        <f t="shared" si="47"/>
        <v>8500</v>
      </c>
      <c r="R511" s="3">
        <v>2500</v>
      </c>
      <c r="T511" s="329"/>
      <c r="Z511" s="3">
        <f t="shared" si="29"/>
        <v>6</v>
      </c>
    </row>
    <row r="512" spans="1:26" ht="15.75" customHeight="1">
      <c r="A512" s="3">
        <v>1</v>
      </c>
      <c r="B512" s="287" t="s">
        <v>836</v>
      </c>
      <c r="C512" s="290"/>
      <c r="D512" s="289">
        <v>46487</v>
      </c>
      <c r="E512" s="330">
        <f t="shared" si="42"/>
        <v>46507</v>
      </c>
      <c r="F512" s="331">
        <f t="shared" si="43"/>
        <v>6</v>
      </c>
      <c r="G512" s="289">
        <v>45747</v>
      </c>
      <c r="H512" s="330">
        <f t="shared" si="44"/>
        <v>45747</v>
      </c>
      <c r="I512" s="331">
        <f t="shared" si="45"/>
        <v>2025</v>
      </c>
      <c r="J512" s="290">
        <f t="shared" si="46"/>
        <v>740</v>
      </c>
      <c r="K512" s="294"/>
      <c r="L512" s="297"/>
      <c r="M512" s="297"/>
      <c r="N512" s="332" t="s">
        <v>249</v>
      </c>
      <c r="O512" s="3">
        <v>10500</v>
      </c>
      <c r="P512" s="298"/>
      <c r="Q512" s="3">
        <f t="shared" si="47"/>
        <v>10500</v>
      </c>
      <c r="R512" s="3">
        <v>2000</v>
      </c>
      <c r="T512" s="329"/>
      <c r="Z512" s="3">
        <f t="shared" si="29"/>
        <v>7</v>
      </c>
    </row>
    <row r="513" spans="1:26" ht="15.75" customHeight="1">
      <c r="A513" s="3">
        <v>1</v>
      </c>
      <c r="B513" s="287" t="s">
        <v>837</v>
      </c>
      <c r="C513" s="290"/>
      <c r="D513" s="289">
        <v>46493</v>
      </c>
      <c r="E513" s="330">
        <f t="shared" si="42"/>
        <v>46507</v>
      </c>
      <c r="F513" s="331">
        <f t="shared" si="43"/>
        <v>6</v>
      </c>
      <c r="G513" s="289">
        <v>46079</v>
      </c>
      <c r="H513" s="330">
        <f t="shared" si="44"/>
        <v>46081</v>
      </c>
      <c r="I513" s="331">
        <f t="shared" si="45"/>
        <v>2026</v>
      </c>
      <c r="J513" s="290">
        <f t="shared" si="46"/>
        <v>414</v>
      </c>
      <c r="K513" s="294"/>
      <c r="L513" s="297"/>
      <c r="M513" s="297"/>
      <c r="N513" s="332" t="s">
        <v>249</v>
      </c>
      <c r="O513" s="3">
        <v>10000</v>
      </c>
      <c r="P513" s="298"/>
      <c r="Q513" s="3">
        <f t="shared" si="47"/>
        <v>10000</v>
      </c>
      <c r="R513" s="3">
        <v>2500</v>
      </c>
      <c r="T513" s="329"/>
      <c r="Z513" s="3">
        <f t="shared" ref="Z513:Z535" si="48">WEEKDAY(D513)</f>
        <v>6</v>
      </c>
    </row>
    <row r="514" spans="1:26" ht="15.75" customHeight="1">
      <c r="A514" s="3">
        <v>1</v>
      </c>
      <c r="B514" s="287" t="s">
        <v>840</v>
      </c>
      <c r="C514" s="290"/>
      <c r="D514" s="289">
        <v>46494</v>
      </c>
      <c r="E514" s="330">
        <f t="shared" si="42"/>
        <v>46507</v>
      </c>
      <c r="F514" s="331">
        <f t="shared" si="43"/>
        <v>6</v>
      </c>
      <c r="G514" s="289">
        <v>46022</v>
      </c>
      <c r="H514" s="330">
        <f t="shared" si="44"/>
        <v>46022</v>
      </c>
      <c r="I514" s="331">
        <f t="shared" si="45"/>
        <v>2025</v>
      </c>
      <c r="J514" s="290">
        <f t="shared" si="46"/>
        <v>472</v>
      </c>
      <c r="K514" s="294"/>
      <c r="L514" s="297"/>
      <c r="M514" s="297"/>
      <c r="N514" s="332" t="s">
        <v>249</v>
      </c>
      <c r="O514" s="3">
        <v>8500</v>
      </c>
      <c r="P514" s="298"/>
      <c r="Q514" s="3">
        <f t="shared" si="47"/>
        <v>8500</v>
      </c>
      <c r="R514" s="3">
        <v>5000</v>
      </c>
      <c r="T514" s="329"/>
      <c r="Z514" s="3">
        <f t="shared" si="48"/>
        <v>7</v>
      </c>
    </row>
    <row r="515" spans="1:26" ht="15.75" customHeight="1">
      <c r="A515" s="3">
        <v>1</v>
      </c>
      <c r="B515" s="287" t="s">
        <v>842</v>
      </c>
      <c r="C515" s="290"/>
      <c r="D515" s="289">
        <v>46501</v>
      </c>
      <c r="E515" s="330">
        <f t="shared" si="42"/>
        <v>46507</v>
      </c>
      <c r="F515" s="331">
        <f t="shared" si="43"/>
        <v>6</v>
      </c>
      <c r="G515" s="289">
        <v>45979</v>
      </c>
      <c r="H515" s="330">
        <f t="shared" si="44"/>
        <v>45991</v>
      </c>
      <c r="I515" s="331">
        <f t="shared" si="45"/>
        <v>2025</v>
      </c>
      <c r="J515" s="290">
        <f t="shared" si="46"/>
        <v>522</v>
      </c>
      <c r="K515" s="294"/>
      <c r="L515" s="297"/>
      <c r="M515" s="297"/>
      <c r="N515" s="332" t="s">
        <v>249</v>
      </c>
      <c r="O515" s="3">
        <v>8500</v>
      </c>
      <c r="P515" s="298"/>
      <c r="Q515" s="3">
        <f t="shared" si="47"/>
        <v>8500</v>
      </c>
      <c r="R515" s="3">
        <v>2000</v>
      </c>
      <c r="T515" s="329"/>
      <c r="Z515" s="3">
        <f t="shared" si="48"/>
        <v>7</v>
      </c>
    </row>
    <row r="516" spans="1:26" ht="15.75" customHeight="1">
      <c r="A516" s="3">
        <v>1</v>
      </c>
      <c r="B516" s="287" t="s">
        <v>845</v>
      </c>
      <c r="C516" s="290"/>
      <c r="D516" s="289">
        <v>46508</v>
      </c>
      <c r="E516" s="330">
        <f t="shared" si="42"/>
        <v>46538</v>
      </c>
      <c r="F516" s="331">
        <f t="shared" si="43"/>
        <v>2</v>
      </c>
      <c r="G516" s="289">
        <v>45927</v>
      </c>
      <c r="H516" s="330">
        <f t="shared" si="44"/>
        <v>45930</v>
      </c>
      <c r="I516" s="331">
        <f t="shared" si="45"/>
        <v>2025</v>
      </c>
      <c r="J516" s="290">
        <f t="shared" si="46"/>
        <v>581</v>
      </c>
      <c r="K516" s="294"/>
      <c r="L516" s="297"/>
      <c r="M516" s="297"/>
      <c r="N516" s="332" t="s">
        <v>249</v>
      </c>
      <c r="O516" s="3">
        <v>8500</v>
      </c>
      <c r="P516" s="298"/>
      <c r="Q516" s="3">
        <f t="shared" si="47"/>
        <v>8500</v>
      </c>
      <c r="R516" s="3">
        <v>2000</v>
      </c>
      <c r="T516" s="329"/>
      <c r="Z516" s="3">
        <f t="shared" si="48"/>
        <v>7</v>
      </c>
    </row>
    <row r="517" spans="1:26" ht="15.75" customHeight="1">
      <c r="A517" s="3">
        <v>1</v>
      </c>
      <c r="B517" s="287" t="s">
        <v>848</v>
      </c>
      <c r="C517" s="290"/>
      <c r="D517" s="289">
        <v>46515</v>
      </c>
      <c r="E517" s="330">
        <f t="shared" si="42"/>
        <v>46538</v>
      </c>
      <c r="F517" s="331">
        <f t="shared" si="43"/>
        <v>2</v>
      </c>
      <c r="G517" s="289">
        <v>46063</v>
      </c>
      <c r="H517" s="330">
        <f t="shared" si="44"/>
        <v>46081</v>
      </c>
      <c r="I517" s="331">
        <f t="shared" si="45"/>
        <v>2026</v>
      </c>
      <c r="J517" s="290">
        <f t="shared" si="46"/>
        <v>452</v>
      </c>
      <c r="K517" s="294"/>
      <c r="L517" s="297"/>
      <c r="M517" s="297"/>
      <c r="N517" s="332" t="s">
        <v>249</v>
      </c>
      <c r="O517" s="3">
        <v>9000</v>
      </c>
      <c r="P517" s="298"/>
      <c r="Q517" s="3">
        <f t="shared" si="47"/>
        <v>9000</v>
      </c>
      <c r="R517" s="3">
        <v>2500</v>
      </c>
      <c r="T517" s="329"/>
      <c r="Z517" s="3">
        <f t="shared" si="48"/>
        <v>7</v>
      </c>
    </row>
    <row r="518" spans="1:26" ht="15.75" customHeight="1">
      <c r="A518" s="3">
        <v>1</v>
      </c>
      <c r="B518" s="287" t="s">
        <v>851</v>
      </c>
      <c r="C518" s="290"/>
      <c r="D518" s="289">
        <v>46522</v>
      </c>
      <c r="E518" s="330">
        <f t="shared" si="42"/>
        <v>46538</v>
      </c>
      <c r="F518" s="331">
        <f t="shared" si="43"/>
        <v>2</v>
      </c>
      <c r="G518" s="289">
        <v>45884</v>
      </c>
      <c r="H518" s="330">
        <f t="shared" si="44"/>
        <v>45900</v>
      </c>
      <c r="I518" s="331">
        <f t="shared" si="45"/>
        <v>2025</v>
      </c>
      <c r="J518" s="290">
        <f t="shared" si="46"/>
        <v>638</v>
      </c>
      <c r="K518" s="294"/>
      <c r="L518" s="297"/>
      <c r="M518" s="297"/>
      <c r="N518" s="332" t="s">
        <v>249</v>
      </c>
      <c r="O518" s="3">
        <v>8250</v>
      </c>
      <c r="P518" s="298"/>
      <c r="Q518" s="3">
        <f t="shared" si="47"/>
        <v>8250</v>
      </c>
      <c r="R518" s="3">
        <v>2000</v>
      </c>
      <c r="T518" s="329"/>
      <c r="Z518" s="3">
        <f t="shared" si="48"/>
        <v>7</v>
      </c>
    </row>
    <row r="519" spans="1:26" ht="15.75" customHeight="1">
      <c r="A519" s="3">
        <v>1</v>
      </c>
      <c r="B519" s="287" t="s">
        <v>852</v>
      </c>
      <c r="C519" s="290"/>
      <c r="D519" s="289">
        <v>46523</v>
      </c>
      <c r="E519" s="330">
        <f t="shared" si="42"/>
        <v>46538</v>
      </c>
      <c r="F519" s="331">
        <f t="shared" si="43"/>
        <v>2</v>
      </c>
      <c r="G519" s="289">
        <v>46071</v>
      </c>
      <c r="H519" s="330">
        <f t="shared" si="44"/>
        <v>46081</v>
      </c>
      <c r="I519" s="331">
        <f t="shared" si="45"/>
        <v>2026</v>
      </c>
      <c r="J519" s="290">
        <f t="shared" si="46"/>
        <v>452</v>
      </c>
      <c r="K519" s="294"/>
      <c r="L519" s="297"/>
      <c r="M519" s="297"/>
      <c r="N519" s="332" t="s">
        <v>249</v>
      </c>
      <c r="O519" s="3">
        <v>9000</v>
      </c>
      <c r="P519" s="298"/>
      <c r="Q519" s="3">
        <f t="shared" si="47"/>
        <v>9000</v>
      </c>
      <c r="R519" s="3">
        <v>2500</v>
      </c>
      <c r="T519" s="329"/>
      <c r="Z519" s="3">
        <f t="shared" si="48"/>
        <v>1</v>
      </c>
    </row>
    <row r="520" spans="1:26" ht="15.75" customHeight="1">
      <c r="A520" s="3">
        <v>1</v>
      </c>
      <c r="B520" s="287" t="s">
        <v>622</v>
      </c>
      <c r="C520" s="290"/>
      <c r="D520" s="289">
        <v>46528</v>
      </c>
      <c r="E520" s="330">
        <f t="shared" si="42"/>
        <v>46538</v>
      </c>
      <c r="F520" s="331">
        <f t="shared" si="43"/>
        <v>2</v>
      </c>
      <c r="G520" s="289">
        <v>46043</v>
      </c>
      <c r="H520" s="330">
        <f t="shared" si="44"/>
        <v>46053</v>
      </c>
      <c r="I520" s="331">
        <f t="shared" si="45"/>
        <v>2026</v>
      </c>
      <c r="J520" s="290">
        <f t="shared" si="46"/>
        <v>485</v>
      </c>
      <c r="K520" s="294"/>
      <c r="L520" s="297"/>
      <c r="M520" s="297"/>
      <c r="N520" s="332" t="s">
        <v>249</v>
      </c>
      <c r="O520" s="3">
        <v>8250</v>
      </c>
      <c r="P520" s="298"/>
      <c r="Q520" s="3">
        <f t="shared" si="47"/>
        <v>8250</v>
      </c>
      <c r="R520" s="3">
        <v>2000</v>
      </c>
      <c r="T520" s="329"/>
      <c r="Z520" s="3">
        <f t="shared" si="48"/>
        <v>6</v>
      </c>
    </row>
    <row r="521" spans="1:26" ht="15.75" customHeight="1">
      <c r="A521" s="3">
        <v>1</v>
      </c>
      <c r="B521" s="287" t="s">
        <v>1244</v>
      </c>
      <c r="C521" s="290"/>
      <c r="D521" s="289">
        <v>46529</v>
      </c>
      <c r="E521" s="330">
        <f t="shared" si="42"/>
        <v>46538</v>
      </c>
      <c r="F521" s="331">
        <f t="shared" si="43"/>
        <v>2</v>
      </c>
      <c r="G521" s="289">
        <v>45810</v>
      </c>
      <c r="H521" s="330">
        <f t="shared" si="44"/>
        <v>45838</v>
      </c>
      <c r="I521" s="331">
        <f t="shared" si="45"/>
        <v>2025</v>
      </c>
      <c r="J521" s="290">
        <f t="shared" si="46"/>
        <v>719</v>
      </c>
      <c r="K521" s="294"/>
      <c r="L521" s="297"/>
      <c r="M521" s="297"/>
      <c r="N521" s="332" t="s">
        <v>249</v>
      </c>
      <c r="O521" s="3">
        <v>8000</v>
      </c>
      <c r="P521" s="298"/>
      <c r="Q521" s="3">
        <f t="shared" si="47"/>
        <v>8000</v>
      </c>
      <c r="R521" s="3">
        <v>2000</v>
      </c>
      <c r="T521" s="329"/>
      <c r="Z521" s="3">
        <f t="shared" si="48"/>
        <v>7</v>
      </c>
    </row>
    <row r="522" spans="1:26" ht="15.75" customHeight="1">
      <c r="A522" s="3">
        <v>1</v>
      </c>
      <c r="B522" s="287" t="s">
        <v>854</v>
      </c>
      <c r="C522" s="290"/>
      <c r="D522" s="289">
        <v>46530</v>
      </c>
      <c r="E522" s="330">
        <f t="shared" si="42"/>
        <v>46538</v>
      </c>
      <c r="F522" s="331">
        <f t="shared" si="43"/>
        <v>2</v>
      </c>
      <c r="G522" s="289">
        <v>46014</v>
      </c>
      <c r="H522" s="330">
        <f t="shared" si="44"/>
        <v>46022</v>
      </c>
      <c r="I522" s="331">
        <f t="shared" si="45"/>
        <v>2025</v>
      </c>
      <c r="J522" s="290">
        <f t="shared" si="46"/>
        <v>516</v>
      </c>
      <c r="K522" s="294"/>
      <c r="L522" s="297"/>
      <c r="M522" s="297"/>
      <c r="N522" s="332" t="s">
        <v>249</v>
      </c>
      <c r="O522" s="3">
        <v>8500</v>
      </c>
      <c r="P522" s="298"/>
      <c r="Q522" s="3">
        <f t="shared" si="47"/>
        <v>8500</v>
      </c>
      <c r="R522" s="3">
        <v>2000</v>
      </c>
      <c r="T522" s="329"/>
      <c r="Z522" s="3">
        <f t="shared" si="48"/>
        <v>1</v>
      </c>
    </row>
    <row r="523" spans="1:26" ht="15.75" customHeight="1">
      <c r="A523" s="3">
        <v>1</v>
      </c>
      <c r="B523" s="287" t="s">
        <v>855</v>
      </c>
      <c r="C523" s="290"/>
      <c r="D523" s="289">
        <v>46535</v>
      </c>
      <c r="E523" s="330">
        <f t="shared" si="42"/>
        <v>46538</v>
      </c>
      <c r="F523" s="331">
        <f t="shared" si="43"/>
        <v>2</v>
      </c>
      <c r="G523" s="289">
        <v>45845</v>
      </c>
      <c r="H523" s="330">
        <f t="shared" si="44"/>
        <v>45869</v>
      </c>
      <c r="I523" s="331">
        <f t="shared" si="45"/>
        <v>2025</v>
      </c>
      <c r="J523" s="290">
        <f t="shared" si="46"/>
        <v>690</v>
      </c>
      <c r="K523" s="294"/>
      <c r="L523" s="297"/>
      <c r="M523" s="297"/>
      <c r="N523" s="332" t="s">
        <v>249</v>
      </c>
      <c r="O523" s="3">
        <v>7500</v>
      </c>
      <c r="P523" s="298"/>
      <c r="Q523" s="3">
        <f t="shared" si="47"/>
        <v>7500</v>
      </c>
      <c r="R523" s="3">
        <v>2000</v>
      </c>
      <c r="T523" s="329"/>
      <c r="Z523" s="3">
        <f t="shared" si="48"/>
        <v>6</v>
      </c>
    </row>
    <row r="524" spans="1:26" ht="15.75" customHeight="1">
      <c r="A524" s="3">
        <v>1</v>
      </c>
      <c r="B524" s="287" t="s">
        <v>857</v>
      </c>
      <c r="C524" s="290"/>
      <c r="D524" s="289">
        <v>46536</v>
      </c>
      <c r="E524" s="330">
        <f t="shared" si="42"/>
        <v>46538</v>
      </c>
      <c r="F524" s="331">
        <f t="shared" si="43"/>
        <v>2</v>
      </c>
      <c r="G524" s="289">
        <v>45924</v>
      </c>
      <c r="H524" s="330">
        <f t="shared" si="44"/>
        <v>45930</v>
      </c>
      <c r="I524" s="331">
        <f t="shared" si="45"/>
        <v>2025</v>
      </c>
      <c r="J524" s="290">
        <f t="shared" si="46"/>
        <v>612</v>
      </c>
      <c r="K524" s="294"/>
      <c r="L524" s="297"/>
      <c r="M524" s="297"/>
      <c r="N524" s="332" t="s">
        <v>249</v>
      </c>
      <c r="O524" s="3">
        <v>8500</v>
      </c>
      <c r="P524" s="298"/>
      <c r="Q524" s="3">
        <f t="shared" si="47"/>
        <v>8500</v>
      </c>
      <c r="R524" s="3">
        <v>2000</v>
      </c>
      <c r="T524" s="329"/>
      <c r="Z524" s="3">
        <f t="shared" si="48"/>
        <v>7</v>
      </c>
    </row>
    <row r="525" spans="1:26" ht="15.75" customHeight="1">
      <c r="A525" s="3">
        <v>1</v>
      </c>
      <c r="B525" s="287" t="s">
        <v>859</v>
      </c>
      <c r="C525" s="290"/>
      <c r="D525" s="289">
        <v>46542</v>
      </c>
      <c r="E525" s="330">
        <f t="shared" si="42"/>
        <v>46568</v>
      </c>
      <c r="F525" s="331">
        <f t="shared" si="43"/>
        <v>4</v>
      </c>
      <c r="G525" s="289">
        <v>45944</v>
      </c>
      <c r="H525" s="330">
        <f t="shared" si="44"/>
        <v>45961</v>
      </c>
      <c r="I525" s="331">
        <f t="shared" si="45"/>
        <v>2025</v>
      </c>
      <c r="J525" s="290">
        <f t="shared" si="46"/>
        <v>598</v>
      </c>
      <c r="K525" s="294"/>
      <c r="L525" s="297"/>
      <c r="M525" s="297"/>
      <c r="N525" s="332" t="s">
        <v>249</v>
      </c>
      <c r="O525" s="3">
        <v>8000</v>
      </c>
      <c r="P525" s="298"/>
      <c r="Q525" s="3">
        <f t="shared" si="47"/>
        <v>8000</v>
      </c>
      <c r="R525" s="3">
        <v>2000</v>
      </c>
      <c r="T525" s="329"/>
      <c r="Z525" s="3">
        <f t="shared" si="48"/>
        <v>6</v>
      </c>
    </row>
    <row r="526" spans="1:26" ht="15.75" customHeight="1">
      <c r="A526" s="3">
        <v>1</v>
      </c>
      <c r="B526" s="287" t="s">
        <v>860</v>
      </c>
      <c r="C526" s="290"/>
      <c r="D526" s="289">
        <v>46543</v>
      </c>
      <c r="E526" s="330">
        <f t="shared" si="42"/>
        <v>46568</v>
      </c>
      <c r="F526" s="331">
        <f t="shared" si="43"/>
        <v>4</v>
      </c>
      <c r="G526" s="289">
        <v>45982</v>
      </c>
      <c r="H526" s="330">
        <f t="shared" si="44"/>
        <v>45991</v>
      </c>
      <c r="I526" s="331">
        <f t="shared" si="45"/>
        <v>2025</v>
      </c>
      <c r="J526" s="290">
        <f t="shared" si="46"/>
        <v>561</v>
      </c>
      <c r="K526" s="294"/>
      <c r="L526" s="297"/>
      <c r="M526" s="297"/>
      <c r="N526" s="332" t="s">
        <v>249</v>
      </c>
      <c r="O526" s="3">
        <v>8500</v>
      </c>
      <c r="P526" s="298"/>
      <c r="Q526" s="3">
        <f t="shared" si="47"/>
        <v>8500</v>
      </c>
      <c r="R526" s="3">
        <v>2000</v>
      </c>
      <c r="T526" s="329"/>
      <c r="Z526" s="3">
        <f t="shared" si="48"/>
        <v>7</v>
      </c>
    </row>
    <row r="527" spans="1:26" ht="15.75" customHeight="1">
      <c r="A527" s="3">
        <v>1</v>
      </c>
      <c r="B527" s="287" t="s">
        <v>861</v>
      </c>
      <c r="C527" s="290"/>
      <c r="D527" s="289">
        <v>46545</v>
      </c>
      <c r="E527" s="330">
        <f t="shared" si="42"/>
        <v>46568</v>
      </c>
      <c r="F527" s="331">
        <f t="shared" si="43"/>
        <v>4</v>
      </c>
      <c r="G527" s="289">
        <v>45847</v>
      </c>
      <c r="H527" s="330">
        <f t="shared" si="44"/>
        <v>45869</v>
      </c>
      <c r="I527" s="331">
        <f t="shared" si="45"/>
        <v>2025</v>
      </c>
      <c r="J527" s="290">
        <f t="shared" si="46"/>
        <v>698</v>
      </c>
      <c r="K527" s="294"/>
      <c r="L527" s="297"/>
      <c r="M527" s="297"/>
      <c r="N527" s="332" t="s">
        <v>249</v>
      </c>
      <c r="O527" s="3">
        <v>7750</v>
      </c>
      <c r="P527" s="298"/>
      <c r="Q527" s="3">
        <f t="shared" si="47"/>
        <v>7750</v>
      </c>
      <c r="R527" s="3">
        <v>2000</v>
      </c>
      <c r="T527" s="329"/>
      <c r="Z527" s="3">
        <f t="shared" si="48"/>
        <v>2</v>
      </c>
    </row>
    <row r="528" spans="1:26" ht="15.75" customHeight="1">
      <c r="A528" s="3">
        <v>1</v>
      </c>
      <c r="B528" s="287" t="s">
        <v>623</v>
      </c>
      <c r="C528" s="290"/>
      <c r="D528" s="289">
        <v>46550</v>
      </c>
      <c r="E528" s="330">
        <f t="shared" si="42"/>
        <v>46568</v>
      </c>
      <c r="F528" s="331">
        <f t="shared" si="43"/>
        <v>4</v>
      </c>
      <c r="G528" s="289">
        <v>45940</v>
      </c>
      <c r="H528" s="330">
        <f t="shared" si="44"/>
        <v>45961</v>
      </c>
      <c r="I528" s="331">
        <f t="shared" si="45"/>
        <v>2025</v>
      </c>
      <c r="J528" s="290">
        <f t="shared" si="46"/>
        <v>610</v>
      </c>
      <c r="K528" s="294"/>
      <c r="L528" s="297"/>
      <c r="M528" s="297"/>
      <c r="N528" s="332" t="s">
        <v>249</v>
      </c>
      <c r="O528" s="3">
        <v>8500</v>
      </c>
      <c r="P528" s="298"/>
      <c r="Q528" s="3">
        <f t="shared" si="47"/>
        <v>8500</v>
      </c>
      <c r="R528" s="3">
        <v>4000</v>
      </c>
      <c r="T528" s="329"/>
      <c r="Z528" s="3">
        <f t="shared" si="48"/>
        <v>7</v>
      </c>
    </row>
    <row r="529" spans="1:26" ht="15.75" customHeight="1">
      <c r="A529" s="3">
        <v>1</v>
      </c>
      <c r="B529" s="287" t="s">
        <v>865</v>
      </c>
      <c r="C529" s="290"/>
      <c r="D529" s="289">
        <v>46556</v>
      </c>
      <c r="E529" s="330">
        <f t="shared" si="42"/>
        <v>46568</v>
      </c>
      <c r="F529" s="331">
        <f t="shared" si="43"/>
        <v>4</v>
      </c>
      <c r="G529" s="289">
        <v>45986</v>
      </c>
      <c r="H529" s="330">
        <f t="shared" si="44"/>
        <v>45991</v>
      </c>
      <c r="I529" s="331">
        <f t="shared" si="45"/>
        <v>2025</v>
      </c>
      <c r="J529" s="290">
        <f t="shared" si="46"/>
        <v>570</v>
      </c>
      <c r="K529" s="294"/>
      <c r="L529" s="297"/>
      <c r="M529" s="297"/>
      <c r="N529" s="332" t="s">
        <v>249</v>
      </c>
      <c r="O529" s="3">
        <v>9025</v>
      </c>
      <c r="P529" s="298"/>
      <c r="Q529" s="3">
        <f t="shared" si="47"/>
        <v>9025</v>
      </c>
      <c r="R529" s="3">
        <v>9025</v>
      </c>
      <c r="T529" s="329"/>
      <c r="Z529" s="3">
        <f t="shared" si="48"/>
        <v>6</v>
      </c>
    </row>
    <row r="530" spans="1:26" ht="15.75" customHeight="1">
      <c r="A530" s="3">
        <v>1</v>
      </c>
      <c r="B530" s="287" t="s">
        <v>866</v>
      </c>
      <c r="C530" s="290"/>
      <c r="D530" s="289">
        <v>46557</v>
      </c>
      <c r="E530" s="330">
        <f t="shared" si="42"/>
        <v>46568</v>
      </c>
      <c r="F530" s="331">
        <f t="shared" si="43"/>
        <v>4</v>
      </c>
      <c r="G530" s="289">
        <v>46044</v>
      </c>
      <c r="H530" s="330">
        <f t="shared" si="44"/>
        <v>46053</v>
      </c>
      <c r="I530" s="331">
        <f t="shared" si="45"/>
        <v>2026</v>
      </c>
      <c r="J530" s="290">
        <f t="shared" si="46"/>
        <v>513</v>
      </c>
      <c r="K530" s="294"/>
      <c r="L530" s="297"/>
      <c r="M530" s="297"/>
      <c r="N530" s="332" t="s">
        <v>249</v>
      </c>
      <c r="O530" s="3">
        <v>8500</v>
      </c>
      <c r="P530" s="298"/>
      <c r="Q530" s="3">
        <f t="shared" si="47"/>
        <v>8500</v>
      </c>
      <c r="R530" s="3">
        <v>2000</v>
      </c>
      <c r="T530" s="329"/>
      <c r="Z530" s="3">
        <f t="shared" si="48"/>
        <v>7</v>
      </c>
    </row>
    <row r="531" spans="1:26" ht="15.75" customHeight="1">
      <c r="A531" s="3">
        <v>1</v>
      </c>
      <c r="B531" s="287" t="s">
        <v>877</v>
      </c>
      <c r="C531" s="290"/>
      <c r="D531" s="289">
        <v>46648</v>
      </c>
      <c r="E531" s="330">
        <f t="shared" si="42"/>
        <v>46660</v>
      </c>
      <c r="F531" s="331">
        <f t="shared" si="43"/>
        <v>5</v>
      </c>
      <c r="G531" s="289">
        <v>45929</v>
      </c>
      <c r="H531" s="330">
        <f t="shared" si="44"/>
        <v>45930</v>
      </c>
      <c r="I531" s="331">
        <f t="shared" si="45"/>
        <v>2025</v>
      </c>
      <c r="J531" s="290">
        <f t="shared" si="46"/>
        <v>719</v>
      </c>
      <c r="K531" s="294"/>
      <c r="L531" s="297"/>
      <c r="M531" s="297"/>
      <c r="N531" s="332" t="s">
        <v>249</v>
      </c>
      <c r="O531" s="3">
        <v>8500</v>
      </c>
      <c r="P531" s="298"/>
      <c r="Q531" s="3">
        <f t="shared" si="47"/>
        <v>8500</v>
      </c>
      <c r="R531" s="3">
        <v>2000</v>
      </c>
      <c r="T531" s="329"/>
      <c r="Z531" s="3">
        <f t="shared" si="48"/>
        <v>7</v>
      </c>
    </row>
    <row r="532" spans="1:26" ht="15.75" customHeight="1">
      <c r="A532" s="3">
        <v>1</v>
      </c>
      <c r="B532" s="287" t="s">
        <v>879</v>
      </c>
      <c r="C532" s="290"/>
      <c r="D532" s="289">
        <v>46655</v>
      </c>
      <c r="E532" s="330">
        <f t="shared" si="42"/>
        <v>46660</v>
      </c>
      <c r="F532" s="331">
        <f t="shared" si="43"/>
        <v>5</v>
      </c>
      <c r="G532" s="289">
        <v>46010</v>
      </c>
      <c r="H532" s="330">
        <f t="shared" si="44"/>
        <v>46022</v>
      </c>
      <c r="I532" s="331">
        <f t="shared" si="45"/>
        <v>2025</v>
      </c>
      <c r="J532" s="290">
        <f t="shared" si="46"/>
        <v>645</v>
      </c>
      <c r="K532" s="294"/>
      <c r="L532" s="297"/>
      <c r="M532" s="297"/>
      <c r="N532" s="332" t="s">
        <v>249</v>
      </c>
      <c r="O532" s="3">
        <v>8500</v>
      </c>
      <c r="P532" s="298"/>
      <c r="Q532" s="3">
        <f t="shared" si="47"/>
        <v>8500</v>
      </c>
      <c r="R532" s="3">
        <v>2000</v>
      </c>
      <c r="T532" s="329"/>
      <c r="Z532" s="3">
        <f t="shared" si="48"/>
        <v>7</v>
      </c>
    </row>
    <row r="533" spans="1:26" ht="15.75" customHeight="1">
      <c r="A533" s="3">
        <v>1</v>
      </c>
      <c r="B533" s="287" t="s">
        <v>625</v>
      </c>
      <c r="C533" s="290"/>
      <c r="D533" s="289">
        <v>46662</v>
      </c>
      <c r="E533" s="330">
        <f t="shared" si="42"/>
        <v>46691</v>
      </c>
      <c r="F533" s="331">
        <f t="shared" si="43"/>
        <v>1</v>
      </c>
      <c r="G533" s="289">
        <v>46028</v>
      </c>
      <c r="H533" s="330">
        <f t="shared" si="44"/>
        <v>46053</v>
      </c>
      <c r="I533" s="331">
        <f t="shared" si="45"/>
        <v>2026</v>
      </c>
      <c r="J533" s="290">
        <f t="shared" si="46"/>
        <v>634</v>
      </c>
      <c r="K533" s="294"/>
      <c r="L533" s="297"/>
      <c r="M533" s="297"/>
      <c r="N533" s="332" t="s">
        <v>249</v>
      </c>
      <c r="O533" s="3">
        <v>8500</v>
      </c>
      <c r="P533" s="298"/>
      <c r="Q533" s="3">
        <f t="shared" si="47"/>
        <v>8500</v>
      </c>
      <c r="R533" s="3">
        <v>4000</v>
      </c>
      <c r="T533" s="329"/>
      <c r="Z533" s="3">
        <f t="shared" si="48"/>
        <v>7</v>
      </c>
    </row>
    <row r="534" spans="1:26" ht="15.75" customHeight="1">
      <c r="A534" s="3">
        <v>1</v>
      </c>
      <c r="B534" s="287" t="s">
        <v>883</v>
      </c>
      <c r="C534" s="290"/>
      <c r="D534" s="289">
        <v>46676</v>
      </c>
      <c r="E534" s="330">
        <f t="shared" si="42"/>
        <v>46691</v>
      </c>
      <c r="F534" s="331">
        <f t="shared" si="43"/>
        <v>1</v>
      </c>
      <c r="G534" s="289">
        <v>45982</v>
      </c>
      <c r="H534" s="330">
        <f t="shared" si="44"/>
        <v>45991</v>
      </c>
      <c r="I534" s="331">
        <f t="shared" si="45"/>
        <v>2025</v>
      </c>
      <c r="J534" s="290">
        <f t="shared" si="46"/>
        <v>694</v>
      </c>
      <c r="K534" s="294"/>
      <c r="L534" s="297"/>
      <c r="M534" s="297"/>
      <c r="N534" s="332" t="s">
        <v>249</v>
      </c>
      <c r="O534" s="3">
        <v>8500</v>
      </c>
      <c r="P534" s="298"/>
      <c r="Q534" s="3">
        <f t="shared" si="47"/>
        <v>8500</v>
      </c>
      <c r="R534" s="3">
        <v>2000</v>
      </c>
      <c r="T534" s="329"/>
      <c r="Z534" s="3">
        <f t="shared" si="48"/>
        <v>7</v>
      </c>
    </row>
    <row r="535" spans="1:26" ht="15.75" customHeight="1">
      <c r="A535" s="3">
        <v>1</v>
      </c>
      <c r="B535" s="287" t="s">
        <v>1245</v>
      </c>
      <c r="C535" s="290"/>
      <c r="D535" s="289">
        <v>46697</v>
      </c>
      <c r="E535" s="330">
        <f t="shared" si="42"/>
        <v>46721</v>
      </c>
      <c r="F535" s="331">
        <f t="shared" si="43"/>
        <v>3</v>
      </c>
      <c r="G535" s="289">
        <v>46010</v>
      </c>
      <c r="H535" s="330">
        <f t="shared" si="44"/>
        <v>46022</v>
      </c>
      <c r="I535" s="331">
        <f t="shared" si="45"/>
        <v>2025</v>
      </c>
      <c r="J535" s="290">
        <f t="shared" si="46"/>
        <v>687</v>
      </c>
      <c r="K535" s="294"/>
      <c r="L535" s="297"/>
      <c r="M535" s="297"/>
      <c r="N535" s="332" t="s">
        <v>249</v>
      </c>
      <c r="O535" s="3">
        <v>8500</v>
      </c>
      <c r="P535" s="298"/>
      <c r="Q535" s="3">
        <f t="shared" si="47"/>
        <v>8500</v>
      </c>
      <c r="T535" s="329"/>
      <c r="Z535" s="3">
        <f t="shared" si="48"/>
        <v>7</v>
      </c>
    </row>
    <row r="536" spans="1:26" ht="15.75" customHeight="1"/>
    <row r="537" spans="1:26" ht="15.75" customHeight="1"/>
    <row r="538" spans="1:26" ht="15.75" customHeight="1"/>
    <row r="539" spans="1:26" ht="15.75" customHeight="1"/>
    <row r="540" spans="1:26" ht="15.75" customHeight="1"/>
    <row r="541" spans="1:26" ht="15.75" customHeight="1"/>
    <row r="542" spans="1:26" ht="15.75" customHeight="1"/>
    <row r="543" spans="1:26" ht="15.75" customHeight="1"/>
    <row r="544" spans="1:26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4296875" defaultRowHeight="15" customHeight="1"/>
  <cols>
    <col min="1" max="1" width="32" customWidth="1"/>
    <col min="2" max="2" width="13.54296875" customWidth="1"/>
    <col min="3" max="3" width="32.81640625" customWidth="1"/>
    <col min="4" max="5" width="13.1796875" customWidth="1"/>
    <col min="6" max="7" width="15.54296875" customWidth="1"/>
    <col min="8" max="8" width="9.453125" customWidth="1"/>
    <col min="9" max="26" width="8.54296875" customWidth="1"/>
  </cols>
  <sheetData>
    <row r="1" spans="1:26" ht="14.5">
      <c r="D1" s="3" t="s">
        <v>1246</v>
      </c>
      <c r="E1" s="3" t="s">
        <v>1246</v>
      </c>
      <c r="F1" s="3" t="s">
        <v>1247</v>
      </c>
    </row>
    <row r="2" spans="1:26" ht="14.5">
      <c r="C2" s="332"/>
      <c r="D2" s="347">
        <v>2023</v>
      </c>
      <c r="E2" s="347">
        <v>2024</v>
      </c>
      <c r="F2" s="347">
        <v>2025</v>
      </c>
      <c r="G2" s="347" t="s">
        <v>1248</v>
      </c>
      <c r="H2" s="65">
        <v>45688</v>
      </c>
      <c r="I2" s="65">
        <f t="shared" ref="I2:X2" si="0">EOMONTH(H2,1)</f>
        <v>45716</v>
      </c>
      <c r="J2" s="65">
        <f t="shared" si="0"/>
        <v>45747</v>
      </c>
      <c r="K2" s="65">
        <f t="shared" si="0"/>
        <v>45777</v>
      </c>
      <c r="L2" s="65">
        <f t="shared" si="0"/>
        <v>45808</v>
      </c>
      <c r="M2" s="65">
        <f t="shared" si="0"/>
        <v>45838</v>
      </c>
      <c r="N2" s="65">
        <f t="shared" si="0"/>
        <v>45869</v>
      </c>
      <c r="O2" s="65">
        <f t="shared" si="0"/>
        <v>45900</v>
      </c>
      <c r="P2" s="65">
        <f t="shared" si="0"/>
        <v>45930</v>
      </c>
      <c r="Q2" s="65">
        <f t="shared" si="0"/>
        <v>45961</v>
      </c>
      <c r="R2" s="65">
        <f t="shared" si="0"/>
        <v>45991</v>
      </c>
      <c r="S2" s="65">
        <f t="shared" si="0"/>
        <v>46022</v>
      </c>
      <c r="T2" s="65">
        <f t="shared" si="0"/>
        <v>46053</v>
      </c>
      <c r="U2" s="65">
        <f t="shared" si="0"/>
        <v>46081</v>
      </c>
      <c r="V2" s="65">
        <f t="shared" si="0"/>
        <v>46112</v>
      </c>
      <c r="W2" s="65">
        <f t="shared" si="0"/>
        <v>46142</v>
      </c>
      <c r="X2" s="65">
        <f t="shared" si="0"/>
        <v>46173</v>
      </c>
      <c r="Y2" s="42"/>
      <c r="Z2" s="42"/>
    </row>
    <row r="3" spans="1:26" ht="14.5">
      <c r="C3" s="332" t="s">
        <v>1249</v>
      </c>
      <c r="D3" s="332"/>
      <c r="E3" s="332"/>
      <c r="F3" s="332"/>
      <c r="G3" s="33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5">
      <c r="C4" s="332" t="s">
        <v>1250</v>
      </c>
      <c r="D4" s="348">
        <v>1475303.89</v>
      </c>
      <c r="E4" s="348">
        <v>1903415.72</v>
      </c>
      <c r="F4" s="348">
        <f>'2025 FY P&amp;L'!B7</f>
        <v>1308685.8999999999</v>
      </c>
      <c r="G4" s="348"/>
      <c r="K4" s="42"/>
      <c r="L4" s="42"/>
      <c r="M4" s="42"/>
      <c r="N4" s="42"/>
      <c r="O4" s="42"/>
      <c r="P4" s="42"/>
      <c r="Q4" s="42"/>
      <c r="R4" s="42"/>
      <c r="S4" s="42"/>
      <c r="T4" s="349">
        <f>SUMIFS('2026 P&amp;L'!$M:$M,'2026 P&amp;L'!$B:$B,$C4,'2026 P&amp;L'!$E:$E,T$2)</f>
        <v>99048.1</v>
      </c>
      <c r="U4" s="349">
        <f>SUMIFS('2026 P&amp;L'!$M:$M,'2026 P&amp;L'!$B:$B,$C4,'2026 P&amp;L'!$E:$E,U$2)</f>
        <v>113949.8</v>
      </c>
      <c r="V4" s="349">
        <f>SUMIFS('2026 P&amp;L'!$M:$M,'2026 P&amp;L'!$B:$B,$C4,'2026 P&amp;L'!$E:$E,V$2)</f>
        <v>145896.40000000002</v>
      </c>
      <c r="W4" s="349">
        <f>SUMIFS('2026 P&amp;L'!$M:$M,'2026 P&amp;L'!$B:$B,$C4,'2026 P&amp;L'!$E:$E,W$2)</f>
        <v>153086.92000000001</v>
      </c>
      <c r="X4" s="349">
        <f>SUMIFS('2026 P&amp;L'!$M:$M,'2026 P&amp;L'!$B:$B,$C4,'2026 P&amp;L'!$E:$E,X$2)</f>
        <v>63433.409999999996</v>
      </c>
      <c r="Y4" s="42"/>
      <c r="Z4" s="42"/>
    </row>
    <row r="5" spans="1:26" ht="14.5">
      <c r="C5" s="332" t="s">
        <v>1251</v>
      </c>
      <c r="D5" s="348">
        <v>4302.5</v>
      </c>
      <c r="E5" s="348">
        <v>5500</v>
      </c>
      <c r="F5" s="348">
        <v>0</v>
      </c>
      <c r="G5" s="348"/>
      <c r="K5" s="42"/>
      <c r="L5" s="42"/>
      <c r="M5" s="42"/>
      <c r="N5" s="42"/>
      <c r="O5" s="42"/>
      <c r="P5" s="42"/>
      <c r="Q5" s="42"/>
      <c r="R5" s="42"/>
      <c r="S5" s="42"/>
      <c r="T5" s="349">
        <f>SUMIFS('2026 P&amp;L'!$M:$M,'2026 P&amp;L'!$B:$B,$C5,'2026 P&amp;L'!$E:$E,T$2)</f>
        <v>0</v>
      </c>
      <c r="U5" s="349">
        <f>SUMIFS('2026 P&amp;L'!$M:$M,'2026 P&amp;L'!$B:$B,$C5,'2026 P&amp;L'!$E:$E,U$2)</f>
        <v>0</v>
      </c>
      <c r="V5" s="349">
        <f>SUMIFS('2026 P&amp;L'!$M:$M,'2026 P&amp;L'!$B:$B,$C5,'2026 P&amp;L'!$E:$E,V$2)</f>
        <v>0</v>
      </c>
      <c r="W5" s="349">
        <f>SUMIFS('2026 P&amp;L'!$M:$M,'2026 P&amp;L'!$B:$B,$C5,'2026 P&amp;L'!$E:$E,W$2)</f>
        <v>0</v>
      </c>
      <c r="X5" s="349">
        <f>SUMIFS('2026 P&amp;L'!$M:$M,'2026 P&amp;L'!$B:$B,$C5,'2026 P&amp;L'!$E:$E,X$2)</f>
        <v>0</v>
      </c>
      <c r="Y5" s="42"/>
      <c r="Z5" s="42"/>
    </row>
    <row r="6" spans="1:26" ht="14.5">
      <c r="C6" s="332" t="s">
        <v>1252</v>
      </c>
      <c r="D6" s="348" t="s">
        <v>121</v>
      </c>
      <c r="E6" s="348">
        <v>-7808.23</v>
      </c>
      <c r="F6" s="348">
        <f>'2025 FY P&amp;L'!B8</f>
        <v>2392.77</v>
      </c>
      <c r="G6" s="348"/>
      <c r="K6" s="42"/>
      <c r="L6" s="42"/>
      <c r="M6" s="42"/>
      <c r="N6" s="42"/>
      <c r="O6" s="42"/>
      <c r="P6" s="42"/>
      <c r="Q6" s="42"/>
      <c r="R6" s="42"/>
      <c r="S6" s="42"/>
      <c r="T6" s="349">
        <f>SUMIFS('2026 P&amp;L'!$M:$M,'2026 P&amp;L'!$B:$B,$C6,'2026 P&amp;L'!$E:$E,T$2)</f>
        <v>0</v>
      </c>
      <c r="U6" s="349">
        <f>SUMIFS('2026 P&amp;L'!$M:$M,'2026 P&amp;L'!$B:$B,$C6,'2026 P&amp;L'!$E:$E,U$2)</f>
        <v>0</v>
      </c>
      <c r="V6" s="349">
        <f>SUMIFS('2026 P&amp;L'!$M:$M,'2026 P&amp;L'!$B:$B,$C6,'2026 P&amp;L'!$E:$E,V$2)</f>
        <v>0</v>
      </c>
      <c r="W6" s="349">
        <f>SUMIFS('2026 P&amp;L'!$M:$M,'2026 P&amp;L'!$B:$B,$C6,'2026 P&amp;L'!$E:$E,W$2)</f>
        <v>0</v>
      </c>
      <c r="X6" s="349">
        <f>SUMIFS('2026 P&amp;L'!$M:$M,'2026 P&amp;L'!$B:$B,$C6,'2026 P&amp;L'!$E:$E,X$2)</f>
        <v>0</v>
      </c>
      <c r="Y6" s="42"/>
      <c r="Z6" s="42"/>
    </row>
    <row r="7" spans="1:26" ht="14.5">
      <c r="C7" s="350" t="s">
        <v>1253</v>
      </c>
      <c r="D7" s="351">
        <f t="shared" ref="D7:F7" si="1">SUM(D4:D6)</f>
        <v>1479606.39</v>
      </c>
      <c r="E7" s="351">
        <f t="shared" si="1"/>
        <v>1901107.49</v>
      </c>
      <c r="F7" s="351">
        <f t="shared" si="1"/>
        <v>1311078.67</v>
      </c>
      <c r="G7" s="351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5">
      <c r="C8" s="332"/>
      <c r="D8" s="348"/>
      <c r="E8" s="348"/>
      <c r="F8" s="348"/>
      <c r="G8" s="348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5">
      <c r="C9" s="332" t="s">
        <v>1254</v>
      </c>
      <c r="D9" s="348"/>
      <c r="E9" s="348"/>
      <c r="F9" s="348"/>
      <c r="G9" s="348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5">
      <c r="A10" s="8" t="s">
        <v>165</v>
      </c>
      <c r="C10" s="332" t="s">
        <v>364</v>
      </c>
      <c r="D10" s="348">
        <v>12448.38</v>
      </c>
      <c r="E10" s="348">
        <v>42519.81</v>
      </c>
      <c r="F10" s="348">
        <f>SUMIFS('2025 FY P&amp;L'!B:B,'2025 FY P&amp;L'!$A:$A,$C10)</f>
        <v>53442.33</v>
      </c>
      <c r="G10" s="352">
        <f t="shared" ref="G10:G58" si="2">SUM(L10:W10)</f>
        <v>45268.11</v>
      </c>
      <c r="H10" s="349">
        <f>SUMIFS('2025 FY P&amp;L'!D:D,'2025 FY P&amp;L'!$A:$A,$C10)</f>
        <v>2784.15</v>
      </c>
      <c r="I10" s="349">
        <f>SUMIFS('2025 FY P&amp;L'!E:E,'2025 FY P&amp;L'!$A:$A,$C10)</f>
        <v>3712.93</v>
      </c>
      <c r="J10" s="349">
        <f>SUMIFS('2025 FY P&amp;L'!F:F,'2025 FY P&amp;L'!$A:$A,$C10)</f>
        <v>3417</v>
      </c>
      <c r="K10" s="349">
        <f>SUMIFS('2025 FY P&amp;L'!G:G,'2025 FY P&amp;L'!$A:$A,$C10)</f>
        <v>2879.75</v>
      </c>
      <c r="L10" s="349">
        <f>SUMIFS('2025 FY P&amp;L'!H:H,'2025 FY P&amp;L'!$A:$A,$C10)</f>
        <v>6391.47</v>
      </c>
      <c r="M10" s="349">
        <f>SUMIFS('2025 FY P&amp;L'!I:I,'2025 FY P&amp;L'!$A:$A,$C10)</f>
        <v>9521.5</v>
      </c>
      <c r="N10" s="349">
        <f>SUMIFS('2025 FY P&amp;L'!J:J,'2025 FY P&amp;L'!$A:$A,$C10)</f>
        <v>3000</v>
      </c>
      <c r="O10" s="349">
        <f>SUMIFS('2025 FY P&amp;L'!K:K,'2025 FY P&amp;L'!$A:$A,$C10)</f>
        <v>3873.7799999999997</v>
      </c>
      <c r="P10" s="349">
        <f>SUMIFS('2025 FY P&amp;L'!L:L,'2025 FY P&amp;L'!$A:$A,$C10)</f>
        <v>7354.5</v>
      </c>
      <c r="Q10" s="349">
        <f>SUMIFS('2025 FY P&amp;L'!M:M,'2025 FY P&amp;L'!$A:$A,$C10)</f>
        <v>1211.99</v>
      </c>
      <c r="R10" s="349">
        <f>SUMIFS('2025 FY P&amp;L'!N:N,'2025 FY P&amp;L'!$A:$A,$C10)</f>
        <v>7572.12</v>
      </c>
      <c r="S10" s="349">
        <f>SUMIFS('2025 FY P&amp;L'!O:O,'2025 FY P&amp;L'!$A:$A,$C10)</f>
        <v>1723.14</v>
      </c>
      <c r="T10" s="349">
        <f>SUMIFS('2026 P&amp;L'!$M:$M,'2026 P&amp;L'!$B:$B,$C10,'2026 P&amp;L'!$E:$E,T$2)</f>
        <v>1962.99</v>
      </c>
      <c r="U10" s="349">
        <f>SUMIFS('2026 P&amp;L'!$M:$M,'2026 P&amp;L'!$B:$B,$C10,'2026 P&amp;L'!$E:$E,U$2)</f>
        <v>0</v>
      </c>
      <c r="V10" s="349">
        <f>SUMIFS('2026 P&amp;L'!$M:$M,'2026 P&amp;L'!$B:$B,$C10,'2026 P&amp;L'!$E:$E,V$2)</f>
        <v>2656.62</v>
      </c>
      <c r="W10" s="349">
        <f>SUMIFS('2026 P&amp;L'!$M:$M,'2026 P&amp;L'!$B:$B,$C10,'2026 P&amp;L'!$E:$E,W$2)</f>
        <v>0</v>
      </c>
      <c r="X10" s="349">
        <f>SUMIFS('2026 P&amp;L'!$M:$M,'2026 P&amp;L'!$B:$B,$C10,'2026 P&amp;L'!$E:$E,X$2)</f>
        <v>0</v>
      </c>
      <c r="Y10" s="42"/>
      <c r="Z10" s="42"/>
    </row>
    <row r="11" spans="1:26" ht="14.5">
      <c r="A11" s="353" t="s">
        <v>137</v>
      </c>
      <c r="B11" s="354"/>
      <c r="C11" s="355" t="s">
        <v>346</v>
      </c>
      <c r="D11" s="356">
        <v>208373.64</v>
      </c>
      <c r="E11" s="356">
        <v>167410.99</v>
      </c>
      <c r="F11" s="356">
        <f>SUMIFS('2025 FY P&amp;L'!B:B,'2025 FY P&amp;L'!$A:$A,$C11)</f>
        <v>275866.43</v>
      </c>
      <c r="G11" s="348">
        <f t="shared" si="2"/>
        <v>258657.73999999996</v>
      </c>
      <c r="H11" s="349">
        <f>SUMIFS('2025 FY P&amp;L'!D:D,'2025 FY P&amp;L'!$A:$A,$C11)</f>
        <v>10136.86</v>
      </c>
      <c r="I11" s="349">
        <f>SUMIFS('2025 FY P&amp;L'!E:E,'2025 FY P&amp;L'!$A:$A,$C11)</f>
        <v>24616.83</v>
      </c>
      <c r="J11" s="349">
        <f>SUMIFS('2025 FY P&amp;L'!F:F,'2025 FY P&amp;L'!$A:$A,$C11)</f>
        <v>3753.58</v>
      </c>
      <c r="K11" s="349">
        <f>SUMIFS('2025 FY P&amp;L'!G:G,'2025 FY P&amp;L'!$A:$A,$C11)</f>
        <v>4242.67</v>
      </c>
      <c r="L11" s="349">
        <f>SUMIFS('2025 FY P&amp;L'!H:H,'2025 FY P&amp;L'!$A:$A,$C11)</f>
        <v>33514.18</v>
      </c>
      <c r="M11" s="349">
        <f>SUMIFS('2025 FY P&amp;L'!I:I,'2025 FY P&amp;L'!$A:$A,$C11)</f>
        <v>44748.149999999994</v>
      </c>
      <c r="N11" s="349">
        <f>SUMIFS('2025 FY P&amp;L'!J:J,'2025 FY P&amp;L'!$A:$A,$C11)</f>
        <v>8977.39</v>
      </c>
      <c r="O11" s="349">
        <f>SUMIFS('2025 FY P&amp;L'!K:K,'2025 FY P&amp;L'!$A:$A,$C11)</f>
        <v>11289.529999999999</v>
      </c>
      <c r="P11" s="349">
        <f>SUMIFS('2025 FY P&amp;L'!L:L,'2025 FY P&amp;L'!$A:$A,$C11)</f>
        <v>37846.240000000005</v>
      </c>
      <c r="Q11" s="349">
        <f>SUMIFS('2025 FY P&amp;L'!M:M,'2025 FY P&amp;L'!$A:$A,$C11)</f>
        <v>51036.66</v>
      </c>
      <c r="R11" s="349">
        <f>SUMIFS('2025 FY P&amp;L'!N:N,'2025 FY P&amp;L'!$A:$A,$C11)</f>
        <v>43109.399999999994</v>
      </c>
      <c r="S11" s="349">
        <f>SUMIFS('2025 FY P&amp;L'!O:O,'2025 FY P&amp;L'!$A:$A,$C11)</f>
        <v>2594.94</v>
      </c>
      <c r="T11" s="349">
        <f>SUMIFS('2026 P&amp;L'!$M:$M,'2026 P&amp;L'!$B:$B,$C11,'2026 P&amp;L'!$E:$E,T$2)</f>
        <v>888.55</v>
      </c>
      <c r="U11" s="349">
        <f>SUMIFS('2026 P&amp;L'!$M:$M,'2026 P&amp;L'!$B:$B,$C11,'2026 P&amp;L'!$E:$E,U$2)</f>
        <v>1247</v>
      </c>
      <c r="V11" s="349">
        <f>SUMIFS('2026 P&amp;L'!$M:$M,'2026 P&amp;L'!$B:$B,$C11,'2026 P&amp;L'!$E:$E,V$2)</f>
        <v>5957.36</v>
      </c>
      <c r="W11" s="349">
        <f>SUMIFS('2026 P&amp;L'!$M:$M,'2026 P&amp;L'!$B:$B,$C11,'2026 P&amp;L'!$E:$E,W$2)</f>
        <v>17448.34</v>
      </c>
      <c r="X11" s="349">
        <f>SUMIFS('2026 P&amp;L'!$M:$M,'2026 P&amp;L'!$B:$B,$C11,'2026 P&amp;L'!$E:$E,X$2)</f>
        <v>14061.189999999999</v>
      </c>
      <c r="Y11" s="42"/>
      <c r="Z11" s="42"/>
    </row>
    <row r="12" spans="1:26" ht="14.5">
      <c r="A12" s="8" t="s">
        <v>172</v>
      </c>
      <c r="B12" s="3" t="s">
        <v>426</v>
      </c>
      <c r="C12" s="332" t="s">
        <v>354</v>
      </c>
      <c r="D12" s="348">
        <v>4718.1499999999996</v>
      </c>
      <c r="E12" s="348">
        <v>12369.37</v>
      </c>
      <c r="F12" s="348">
        <f>SUMIFS('2025 FY P&amp;L'!B:B,'2025 FY P&amp;L'!$A:$A,$C12)</f>
        <v>31419.1</v>
      </c>
      <c r="G12" s="348">
        <f t="shared" si="2"/>
        <v>31964.259999999995</v>
      </c>
      <c r="H12" s="349">
        <f>SUMIFS('2025 FY P&amp;L'!D:D,'2025 FY P&amp;L'!$A:$A,$C12)</f>
        <v>566.69000000000005</v>
      </c>
      <c r="I12" s="349">
        <f>SUMIFS('2025 FY P&amp;L'!E:E,'2025 FY P&amp;L'!$A:$A,$C12)</f>
        <v>566.69000000000005</v>
      </c>
      <c r="J12" s="349">
        <f>SUMIFS('2025 FY P&amp;L'!F:F,'2025 FY P&amp;L'!$A:$A,$C12)</f>
        <v>566.69000000000005</v>
      </c>
      <c r="K12" s="349">
        <f>SUMIFS('2025 FY P&amp;L'!G:G,'2025 FY P&amp;L'!$A:$A,$C12)</f>
        <v>566.69000000000005</v>
      </c>
      <c r="L12" s="349">
        <f>SUMIFS('2025 FY P&amp;L'!H:H,'2025 FY P&amp;L'!$A:$A,$C12)</f>
        <v>24586.69</v>
      </c>
      <c r="M12" s="349">
        <f>SUMIFS('2025 FY P&amp;L'!I:I,'2025 FY P&amp;L'!$A:$A,$C12)</f>
        <v>566.69000000000005</v>
      </c>
      <c r="N12" s="349">
        <f>SUMIFS('2025 FY P&amp;L'!J:J,'2025 FY P&amp;L'!$A:$A,$C12)</f>
        <v>682.2</v>
      </c>
      <c r="O12" s="349">
        <f>SUMIFS('2025 FY P&amp;L'!K:K,'2025 FY P&amp;L'!$A:$A,$C12)</f>
        <v>566.69000000000005</v>
      </c>
      <c r="P12" s="349">
        <f>SUMIFS('2025 FY P&amp;L'!L:L,'2025 FY P&amp;L'!$A:$A,$C12)</f>
        <v>570.06000000000006</v>
      </c>
      <c r="Q12" s="349">
        <f>SUMIFS('2025 FY P&amp;L'!M:M,'2025 FY P&amp;L'!$A:$A,$C12)</f>
        <v>566.69000000000005</v>
      </c>
      <c r="R12" s="349">
        <f>SUMIFS('2025 FY P&amp;L'!N:N,'2025 FY P&amp;L'!$A:$A,$C12)</f>
        <v>791.87000000000012</v>
      </c>
      <c r="S12" s="349">
        <f>SUMIFS('2025 FY P&amp;L'!O:O,'2025 FY P&amp;L'!$A:$A,$C12)</f>
        <v>821.45</v>
      </c>
      <c r="T12" s="349">
        <f>SUMIFS('2026 P&amp;L'!$M:$M,'2026 P&amp;L'!$B:$B,$C12,'2026 P&amp;L'!$E:$E,T$2)</f>
        <v>566.69000000000005</v>
      </c>
      <c r="U12" s="349">
        <f>SUMIFS('2026 P&amp;L'!$M:$M,'2026 P&amp;L'!$B:$B,$C12,'2026 P&amp;L'!$E:$E,U$2)</f>
        <v>839.27</v>
      </c>
      <c r="V12" s="349">
        <f>SUMIFS('2026 P&amp;L'!$M:$M,'2026 P&amp;L'!$B:$B,$C12,'2026 P&amp;L'!$E:$E,V$2)</f>
        <v>839.27</v>
      </c>
      <c r="W12" s="349">
        <f>SUMIFS('2026 P&amp;L'!$M:$M,'2026 P&amp;L'!$B:$B,$C12,'2026 P&amp;L'!$E:$E,W$2)</f>
        <v>566.69000000000005</v>
      </c>
      <c r="X12" s="349">
        <f>SUMIFS('2026 P&amp;L'!$M:$M,'2026 P&amp;L'!$B:$B,$C12,'2026 P&amp;L'!$E:$E,X$2)</f>
        <v>0</v>
      </c>
      <c r="Y12" s="42"/>
      <c r="Z12" s="42"/>
    </row>
    <row r="13" spans="1:26" ht="14.5">
      <c r="A13" s="8" t="s">
        <v>183</v>
      </c>
      <c r="C13" s="332" t="s">
        <v>1255</v>
      </c>
      <c r="D13" s="348">
        <v>725.66</v>
      </c>
      <c r="E13" s="348" t="s">
        <v>121</v>
      </c>
      <c r="F13" s="348">
        <f>SUMIFS('2025 FY P&amp;L'!B:B,'2025 FY P&amp;L'!$A:$A,$C13)</f>
        <v>0</v>
      </c>
      <c r="G13" s="348">
        <f t="shared" si="2"/>
        <v>0</v>
      </c>
      <c r="H13" s="349">
        <f>SUMIFS('2025 FY P&amp;L'!D:D,'2025 FY P&amp;L'!$A:$A,$C13)</f>
        <v>0</v>
      </c>
      <c r="I13" s="349">
        <f>SUMIFS('2025 FY P&amp;L'!E:E,'2025 FY P&amp;L'!$A:$A,$C13)</f>
        <v>0</v>
      </c>
      <c r="J13" s="349">
        <f>SUMIFS('2025 FY P&amp;L'!F:F,'2025 FY P&amp;L'!$A:$A,$C13)</f>
        <v>0</v>
      </c>
      <c r="K13" s="349">
        <f>SUMIFS('2025 FY P&amp;L'!G:G,'2025 FY P&amp;L'!$A:$A,$C13)</f>
        <v>0</v>
      </c>
      <c r="L13" s="349">
        <f>SUMIFS('2025 FY P&amp;L'!H:H,'2025 FY P&amp;L'!$A:$A,$C13)</f>
        <v>0</v>
      </c>
      <c r="M13" s="349">
        <f>SUMIFS('2025 FY P&amp;L'!I:I,'2025 FY P&amp;L'!$A:$A,$C13)</f>
        <v>0</v>
      </c>
      <c r="N13" s="349">
        <f>SUMIFS('2025 FY P&amp;L'!J:J,'2025 FY P&amp;L'!$A:$A,$C13)</f>
        <v>0</v>
      </c>
      <c r="O13" s="349">
        <f>SUMIFS('2025 FY P&amp;L'!K:K,'2025 FY P&amp;L'!$A:$A,$C13)</f>
        <v>0</v>
      </c>
      <c r="P13" s="349">
        <f>SUMIFS('2025 FY P&amp;L'!L:L,'2025 FY P&amp;L'!$A:$A,$C13)</f>
        <v>0</v>
      </c>
      <c r="Q13" s="349">
        <f>SUMIFS('2025 FY P&amp;L'!M:M,'2025 FY P&amp;L'!$A:$A,$C13)</f>
        <v>0</v>
      </c>
      <c r="R13" s="349">
        <f>SUMIFS('2025 FY P&amp;L'!N:N,'2025 FY P&amp;L'!$A:$A,$C13)</f>
        <v>0</v>
      </c>
      <c r="S13" s="349">
        <f>SUMIFS('2025 FY P&amp;L'!O:O,'2025 FY P&amp;L'!$A:$A,$C13)</f>
        <v>0</v>
      </c>
      <c r="T13" s="349">
        <f>SUMIFS('2026 P&amp;L'!$M:$M,'2026 P&amp;L'!$B:$B,$C13,'2026 P&amp;L'!$E:$E,T$2)</f>
        <v>0</v>
      </c>
      <c r="U13" s="349">
        <f>SUMIFS('2026 P&amp;L'!$M:$M,'2026 P&amp;L'!$B:$B,$C13,'2026 P&amp;L'!$E:$E,U$2)</f>
        <v>0</v>
      </c>
      <c r="V13" s="349">
        <f>SUMIFS('2026 P&amp;L'!$M:$M,'2026 P&amp;L'!$B:$B,$C13,'2026 P&amp;L'!$E:$E,V$2)</f>
        <v>0</v>
      </c>
      <c r="W13" s="349">
        <f>SUMIFS('2026 P&amp;L'!$M:$M,'2026 P&amp;L'!$B:$B,$C13,'2026 P&amp;L'!$E:$E,W$2)</f>
        <v>0</v>
      </c>
      <c r="X13" s="349">
        <f>SUMIFS('2026 P&amp;L'!$M:$M,'2026 P&amp;L'!$B:$B,$C13,'2026 P&amp;L'!$E:$E,X$2)</f>
        <v>0</v>
      </c>
      <c r="Y13" s="42"/>
      <c r="Z13" s="42"/>
    </row>
    <row r="14" spans="1:26" ht="14.5">
      <c r="A14" s="8" t="s">
        <v>174</v>
      </c>
      <c r="C14" s="332" t="s">
        <v>1256</v>
      </c>
      <c r="D14" s="348">
        <v>12576</v>
      </c>
      <c r="E14" s="348">
        <v>0</v>
      </c>
      <c r="F14" s="348">
        <f>SUMIFS('2025 FY P&amp;L'!B:B,'2025 FY P&amp;L'!$A:$A,$C14)</f>
        <v>5522.71</v>
      </c>
      <c r="G14" s="348">
        <f t="shared" si="2"/>
        <v>10335.200000000001</v>
      </c>
      <c r="H14" s="349">
        <f>SUMIFS('2025 FY P&amp;L'!D:D,'2025 FY P&amp;L'!$A:$A,$C14)</f>
        <v>0</v>
      </c>
      <c r="I14" s="349">
        <f>SUMIFS('2025 FY P&amp;L'!E:E,'2025 FY P&amp;L'!$A:$A,$C14)</f>
        <v>0</v>
      </c>
      <c r="J14" s="349">
        <f>SUMIFS('2025 FY P&amp;L'!F:F,'2025 FY P&amp;L'!$A:$A,$C14)</f>
        <v>0</v>
      </c>
      <c r="K14" s="349">
        <f>SUMIFS('2025 FY P&amp;L'!G:G,'2025 FY P&amp;L'!$A:$A,$C14)</f>
        <v>100</v>
      </c>
      <c r="L14" s="349">
        <f>SUMIFS('2025 FY P&amp;L'!H:H,'2025 FY P&amp;L'!$A:$A,$C14)</f>
        <v>0</v>
      </c>
      <c r="M14" s="349">
        <f>SUMIFS('2025 FY P&amp;L'!I:I,'2025 FY P&amp;L'!$A:$A,$C14)</f>
        <v>0</v>
      </c>
      <c r="N14" s="349">
        <f>SUMIFS('2025 FY P&amp;L'!J:J,'2025 FY P&amp;L'!$A:$A,$C14)</f>
        <v>0</v>
      </c>
      <c r="O14" s="349">
        <f>SUMIFS('2025 FY P&amp;L'!K:K,'2025 FY P&amp;L'!$A:$A,$C14)</f>
        <v>0</v>
      </c>
      <c r="P14" s="349">
        <f>SUMIFS('2025 FY P&amp;L'!L:L,'2025 FY P&amp;L'!$A:$A,$C14)</f>
        <v>3272</v>
      </c>
      <c r="Q14" s="349">
        <f>SUMIFS('2025 FY P&amp;L'!M:M,'2025 FY P&amp;L'!$A:$A,$C14)</f>
        <v>0</v>
      </c>
      <c r="R14" s="349">
        <f>SUMIFS('2025 FY P&amp;L'!N:N,'2025 FY P&amp;L'!$A:$A,$C14)</f>
        <v>1620</v>
      </c>
      <c r="S14" s="349">
        <f>SUMIFS('2025 FY P&amp;L'!O:O,'2025 FY P&amp;L'!$A:$A,$C14)</f>
        <v>530.71</v>
      </c>
      <c r="T14" s="349">
        <f>SUMIFS('2026 P&amp;L'!$M:$M,'2026 P&amp;L'!$B:$B,$C14,'2026 P&amp;L'!$E:$E,T$2)</f>
        <v>0</v>
      </c>
      <c r="U14" s="349">
        <f>SUMIFS('2026 P&amp;L'!$M:$M,'2026 P&amp;L'!$B:$B,$C14,'2026 P&amp;L'!$E:$E,U$2)</f>
        <v>0</v>
      </c>
      <c r="V14" s="349">
        <f>SUMIFS('2026 P&amp;L'!$M:$M,'2026 P&amp;L'!$B:$B,$C14,'2026 P&amp;L'!$E:$E,V$2)</f>
        <v>0</v>
      </c>
      <c r="W14" s="349">
        <f>SUMIFS('2026 P&amp;L'!$M:$M,'2026 P&amp;L'!$B:$B,$C14,'2026 P&amp;L'!$E:$E,W$2)</f>
        <v>4912.49</v>
      </c>
      <c r="X14" s="349">
        <f>SUMIFS('2026 P&amp;L'!$M:$M,'2026 P&amp;L'!$B:$B,$C14,'2026 P&amp;L'!$E:$E,X$2)</f>
        <v>0</v>
      </c>
      <c r="Y14" s="42"/>
      <c r="Z14" s="42"/>
    </row>
    <row r="15" spans="1:26" ht="14.5">
      <c r="A15" s="8" t="s">
        <v>165</v>
      </c>
      <c r="C15" s="332" t="s">
        <v>395</v>
      </c>
      <c r="D15" s="348">
        <v>5905</v>
      </c>
      <c r="E15" s="348">
        <v>405</v>
      </c>
      <c r="F15" s="348">
        <f>SUMIFS('2025 FY P&amp;L'!B:B,'2025 FY P&amp;L'!$A:$A,$C15)</f>
        <v>2775</v>
      </c>
      <c r="G15" s="348">
        <f t="shared" si="2"/>
        <v>2775</v>
      </c>
      <c r="H15" s="349">
        <f>SUMIFS('2025 FY P&amp;L'!D:D,'2025 FY P&amp;L'!$A:$A,$C15)</f>
        <v>0</v>
      </c>
      <c r="I15" s="349">
        <f>SUMIFS('2025 FY P&amp;L'!E:E,'2025 FY P&amp;L'!$A:$A,$C15)</f>
        <v>100</v>
      </c>
      <c r="J15" s="349">
        <f>SUMIFS('2025 FY P&amp;L'!F:F,'2025 FY P&amp;L'!$A:$A,$C15)</f>
        <v>0</v>
      </c>
      <c r="K15" s="349">
        <f>SUMIFS('2025 FY P&amp;L'!G:G,'2025 FY P&amp;L'!$A:$A,$C15)</f>
        <v>0</v>
      </c>
      <c r="L15" s="349">
        <f>SUMIFS('2025 FY P&amp;L'!H:H,'2025 FY P&amp;L'!$A:$A,$C15)</f>
        <v>0</v>
      </c>
      <c r="M15" s="349">
        <f>SUMIFS('2025 FY P&amp;L'!I:I,'2025 FY P&amp;L'!$A:$A,$C15)</f>
        <v>0</v>
      </c>
      <c r="N15" s="349">
        <f>SUMIFS('2025 FY P&amp;L'!J:J,'2025 FY P&amp;L'!$A:$A,$C15)</f>
        <v>0</v>
      </c>
      <c r="O15" s="349">
        <f>SUMIFS('2025 FY P&amp;L'!K:K,'2025 FY P&amp;L'!$A:$A,$C15)</f>
        <v>155</v>
      </c>
      <c r="P15" s="349">
        <f>SUMIFS('2025 FY P&amp;L'!L:L,'2025 FY P&amp;L'!$A:$A,$C15)</f>
        <v>520</v>
      </c>
      <c r="Q15" s="349">
        <f>SUMIFS('2025 FY P&amp;L'!M:M,'2025 FY P&amp;L'!$A:$A,$C15)</f>
        <v>0</v>
      </c>
      <c r="R15" s="349">
        <f>SUMIFS('2025 FY P&amp;L'!N:N,'2025 FY P&amp;L'!$A:$A,$C15)</f>
        <v>200</v>
      </c>
      <c r="S15" s="349">
        <f>SUMIFS('2025 FY P&amp;L'!O:O,'2025 FY P&amp;L'!$A:$A,$C15)</f>
        <v>1800</v>
      </c>
      <c r="T15" s="349">
        <f>SUMIFS('2026 P&amp;L'!$M:$M,'2026 P&amp;L'!$B:$B,$C15,'2026 P&amp;L'!$E:$E,T$2)</f>
        <v>0</v>
      </c>
      <c r="U15" s="349">
        <f>SUMIFS('2026 P&amp;L'!$M:$M,'2026 P&amp;L'!$B:$B,$C15,'2026 P&amp;L'!$E:$E,U$2)</f>
        <v>100</v>
      </c>
      <c r="V15" s="349">
        <f>SUMIFS('2026 P&amp;L'!$M:$M,'2026 P&amp;L'!$B:$B,$C15,'2026 P&amp;L'!$E:$E,V$2)</f>
        <v>0</v>
      </c>
      <c r="W15" s="349">
        <f>SUMIFS('2026 P&amp;L'!$M:$M,'2026 P&amp;L'!$B:$B,$C15,'2026 P&amp;L'!$E:$E,W$2)</f>
        <v>0</v>
      </c>
      <c r="X15" s="349">
        <f>SUMIFS('2026 P&amp;L'!$M:$M,'2026 P&amp;L'!$B:$B,$C15,'2026 P&amp;L'!$E:$E,X$2)</f>
        <v>0</v>
      </c>
      <c r="Y15" s="42"/>
      <c r="Z15" s="42"/>
    </row>
    <row r="16" spans="1:26" ht="14.5">
      <c r="A16" s="8" t="s">
        <v>140</v>
      </c>
      <c r="C16" s="332" t="s">
        <v>1257</v>
      </c>
      <c r="D16" s="348">
        <v>4873.2700000000004</v>
      </c>
      <c r="E16" s="348">
        <v>1221.92</v>
      </c>
      <c r="F16" s="348">
        <f>SUMIFS('2025 FY P&amp;L'!B:B,'2025 FY P&amp;L'!$A:$A,$C16)</f>
        <v>665.35</v>
      </c>
      <c r="G16" s="348">
        <f t="shared" si="2"/>
        <v>62.52</v>
      </c>
      <c r="H16" s="349">
        <f>SUMIFS('2025 FY P&amp;L'!D:D,'2025 FY P&amp;L'!$A:$A,$C16)</f>
        <v>256.49</v>
      </c>
      <c r="I16" s="349">
        <f>SUMIFS('2025 FY P&amp;L'!E:E,'2025 FY P&amp;L'!$A:$A,$C16)</f>
        <v>0</v>
      </c>
      <c r="J16" s="349">
        <f>SUMIFS('2025 FY P&amp;L'!F:F,'2025 FY P&amp;L'!$A:$A,$C16)</f>
        <v>236.52</v>
      </c>
      <c r="K16" s="349">
        <f>SUMIFS('2025 FY P&amp;L'!G:G,'2025 FY P&amp;L'!$A:$A,$C16)</f>
        <v>109.82</v>
      </c>
      <c r="L16" s="349">
        <f>SUMIFS('2025 FY P&amp;L'!H:H,'2025 FY P&amp;L'!$A:$A,$C16)</f>
        <v>16</v>
      </c>
      <c r="M16" s="349">
        <f>SUMIFS('2025 FY P&amp;L'!I:I,'2025 FY P&amp;L'!$A:$A,$C16)</f>
        <v>0</v>
      </c>
      <c r="N16" s="349">
        <f>SUMIFS('2025 FY P&amp;L'!J:J,'2025 FY P&amp;L'!$A:$A,$C16)</f>
        <v>0</v>
      </c>
      <c r="O16" s="349">
        <f>SUMIFS('2025 FY P&amp;L'!K:K,'2025 FY P&amp;L'!$A:$A,$C16)</f>
        <v>0</v>
      </c>
      <c r="P16" s="349">
        <f>SUMIFS('2025 FY P&amp;L'!L:L,'2025 FY P&amp;L'!$A:$A,$C16)</f>
        <v>0</v>
      </c>
      <c r="Q16" s="349">
        <f>SUMIFS('2025 FY P&amp;L'!M:M,'2025 FY P&amp;L'!$A:$A,$C16)</f>
        <v>0</v>
      </c>
      <c r="R16" s="349">
        <f>SUMIFS('2025 FY P&amp;L'!N:N,'2025 FY P&amp;L'!$A:$A,$C16)</f>
        <v>46.52</v>
      </c>
      <c r="S16" s="349">
        <f>SUMIFS('2025 FY P&amp;L'!O:O,'2025 FY P&amp;L'!$A:$A,$C16)</f>
        <v>0</v>
      </c>
      <c r="T16" s="349">
        <f>SUMIFS('2026 P&amp;L'!$M:$M,'2026 P&amp;L'!$B:$B,$C16,'2026 P&amp;L'!$E:$E,T$2)</f>
        <v>0</v>
      </c>
      <c r="U16" s="349">
        <f>SUMIFS('2026 P&amp;L'!$M:$M,'2026 P&amp;L'!$B:$B,$C16,'2026 P&amp;L'!$E:$E,U$2)</f>
        <v>0</v>
      </c>
      <c r="V16" s="349">
        <f>SUMIFS('2026 P&amp;L'!$M:$M,'2026 P&amp;L'!$B:$B,$C16,'2026 P&amp;L'!$E:$E,V$2)</f>
        <v>0</v>
      </c>
      <c r="W16" s="349">
        <f>SUMIFS('2026 P&amp;L'!$M:$M,'2026 P&amp;L'!$B:$B,$C16,'2026 P&amp;L'!$E:$E,W$2)</f>
        <v>0</v>
      </c>
      <c r="X16" s="349">
        <f>SUMIFS('2026 P&amp;L'!$M:$M,'2026 P&amp;L'!$B:$B,$C16,'2026 P&amp;L'!$E:$E,X$2)</f>
        <v>0</v>
      </c>
      <c r="Y16" s="42"/>
      <c r="Z16" s="42"/>
    </row>
    <row r="17" spans="1:26" ht="14.5">
      <c r="A17" s="8" t="s">
        <v>171</v>
      </c>
      <c r="C17" s="332" t="s">
        <v>421</v>
      </c>
      <c r="D17" s="348">
        <v>7221.6</v>
      </c>
      <c r="E17" s="348">
        <v>3264.44</v>
      </c>
      <c r="F17" s="348">
        <f>SUMIFS('2025 FY P&amp;L'!B:B,'2025 FY P&amp;L'!$A:$A,$C17)</f>
        <v>12725.9</v>
      </c>
      <c r="G17" s="348">
        <f t="shared" si="2"/>
        <v>8526.02</v>
      </c>
      <c r="H17" s="349">
        <f>SUMIFS('2025 FY P&amp;L'!D:D,'2025 FY P&amp;L'!$A:$A,$C17)</f>
        <v>1068.1400000000001</v>
      </c>
      <c r="I17" s="349">
        <f>SUMIFS('2025 FY P&amp;L'!E:E,'2025 FY P&amp;L'!$A:$A,$C17)</f>
        <v>772.01</v>
      </c>
      <c r="J17" s="349">
        <f>SUMIFS('2025 FY P&amp;L'!F:F,'2025 FY P&amp;L'!$A:$A,$C17)</f>
        <v>1635.1999999999998</v>
      </c>
      <c r="K17" s="349">
        <f>SUMIFS('2025 FY P&amp;L'!G:G,'2025 FY P&amp;L'!$A:$A,$C17)</f>
        <v>724.53</v>
      </c>
      <c r="L17" s="349">
        <f>SUMIFS('2025 FY P&amp;L'!H:H,'2025 FY P&amp;L'!$A:$A,$C17)</f>
        <v>980.08999999999992</v>
      </c>
      <c r="M17" s="349">
        <f>SUMIFS('2025 FY P&amp;L'!I:I,'2025 FY P&amp;L'!$A:$A,$C17)</f>
        <v>1425.4399999999998</v>
      </c>
      <c r="N17" s="349">
        <f>SUMIFS('2025 FY P&amp;L'!J:J,'2025 FY P&amp;L'!$A:$A,$C17)</f>
        <v>1024.97</v>
      </c>
      <c r="O17" s="349">
        <f>SUMIFS('2025 FY P&amp;L'!K:K,'2025 FY P&amp;L'!$A:$A,$C17)</f>
        <v>729.86</v>
      </c>
      <c r="P17" s="349">
        <f>SUMIFS('2025 FY P&amp;L'!L:L,'2025 FY P&amp;L'!$A:$A,$C17)</f>
        <v>555</v>
      </c>
      <c r="Q17" s="349">
        <f>SUMIFS('2025 FY P&amp;L'!M:M,'2025 FY P&amp;L'!$A:$A,$C17)</f>
        <v>1525.59</v>
      </c>
      <c r="R17" s="349">
        <f>SUMIFS('2025 FY P&amp;L'!N:N,'2025 FY P&amp;L'!$A:$A,$C17)</f>
        <v>0</v>
      </c>
      <c r="S17" s="349">
        <f>SUMIFS('2025 FY P&amp;L'!O:O,'2025 FY P&amp;L'!$A:$A,$C17)</f>
        <v>2285.0700000000002</v>
      </c>
      <c r="T17" s="349">
        <f>SUMIFS('2026 P&amp;L'!$M:$M,'2026 P&amp;L'!$B:$B,$C17,'2026 P&amp;L'!$E:$E,T$2)</f>
        <v>0</v>
      </c>
      <c r="U17" s="349">
        <f>SUMIFS('2026 P&amp;L'!$M:$M,'2026 P&amp;L'!$B:$B,$C17,'2026 P&amp;L'!$E:$E,U$2)</f>
        <v>0</v>
      </c>
      <c r="V17" s="349">
        <f>SUMIFS('2026 P&amp;L'!$M:$M,'2026 P&amp;L'!$B:$B,$C17,'2026 P&amp;L'!$E:$E,V$2)</f>
        <v>0</v>
      </c>
      <c r="W17" s="349">
        <f>SUMIFS('2026 P&amp;L'!$M:$M,'2026 P&amp;L'!$B:$B,$C17,'2026 P&amp;L'!$E:$E,W$2)</f>
        <v>0</v>
      </c>
      <c r="X17" s="349">
        <f>SUMIFS('2026 P&amp;L'!$M:$M,'2026 P&amp;L'!$B:$B,$C17,'2026 P&amp;L'!$E:$E,X$2)</f>
        <v>0</v>
      </c>
      <c r="Y17" s="42"/>
      <c r="Z17" s="42"/>
    </row>
    <row r="18" spans="1:26" ht="14.5">
      <c r="A18" s="8" t="s">
        <v>183</v>
      </c>
      <c r="B18" s="3" t="s">
        <v>1258</v>
      </c>
      <c r="C18" s="332" t="s">
        <v>414</v>
      </c>
      <c r="D18" s="348">
        <v>0</v>
      </c>
      <c r="E18" s="348">
        <v>0</v>
      </c>
      <c r="F18" s="348">
        <f>SUMIFS('2025 FY P&amp;L'!B:B,'2025 FY P&amp;L'!$A:$A,$C18)</f>
        <v>17230</v>
      </c>
      <c r="G18" s="348">
        <f t="shared" si="2"/>
        <v>19080</v>
      </c>
      <c r="H18" s="349">
        <f>SUMIFS('2025 FY P&amp;L'!D:D,'2025 FY P&amp;L'!$A:$A,$C18)</f>
        <v>1450</v>
      </c>
      <c r="I18" s="349">
        <f>SUMIFS('2025 FY P&amp;L'!E:E,'2025 FY P&amp;L'!$A:$A,$C18)</f>
        <v>6780</v>
      </c>
      <c r="J18" s="349">
        <f>SUMIFS('2025 FY P&amp;L'!F:F,'2025 FY P&amp;L'!$A:$A,$C18)</f>
        <v>9000</v>
      </c>
      <c r="K18" s="349">
        <f>SUMIFS('2025 FY P&amp;L'!G:G,'2025 FY P&amp;L'!$A:$A,$C18)</f>
        <v>0</v>
      </c>
      <c r="L18" s="349">
        <f>SUMIFS('2025 FY P&amp;L'!H:H,'2025 FY P&amp;L'!$A:$A,$C18)</f>
        <v>0</v>
      </c>
      <c r="M18" s="349">
        <f>SUMIFS('2025 FY P&amp;L'!I:I,'2025 FY P&amp;L'!$A:$A,$C18)</f>
        <v>0</v>
      </c>
      <c r="N18" s="349">
        <f>SUMIFS('2025 FY P&amp;L'!J:J,'2025 FY P&amp;L'!$A:$A,$C18)</f>
        <v>0</v>
      </c>
      <c r="O18" s="349">
        <f>SUMIFS('2025 FY P&amp;L'!K:K,'2025 FY P&amp;L'!$A:$A,$C18)</f>
        <v>0</v>
      </c>
      <c r="P18" s="349">
        <f>SUMIFS('2025 FY P&amp;L'!L:L,'2025 FY P&amp;L'!$A:$A,$C18)</f>
        <v>0</v>
      </c>
      <c r="Q18" s="349">
        <f>SUMIFS('2025 FY P&amp;L'!M:M,'2025 FY P&amp;L'!$A:$A,$C18)</f>
        <v>0</v>
      </c>
      <c r="R18" s="349">
        <f>SUMIFS('2025 FY P&amp;L'!N:N,'2025 FY P&amp;L'!$A:$A,$C18)</f>
        <v>0</v>
      </c>
      <c r="S18" s="349">
        <f>SUMIFS('2025 FY P&amp;L'!O:O,'2025 FY P&amp;L'!$A:$A,$C18)</f>
        <v>0</v>
      </c>
      <c r="T18" s="349">
        <f>SUMIFS('2026 P&amp;L'!$M:$M,'2026 P&amp;L'!$B:$B,$C18,'2026 P&amp;L'!$E:$E,T$2)</f>
        <v>0</v>
      </c>
      <c r="U18" s="349">
        <f>SUMIFS('2026 P&amp;L'!$M:$M,'2026 P&amp;L'!$B:$B,$C18,'2026 P&amp;L'!$E:$E,U$2)</f>
        <v>0</v>
      </c>
      <c r="V18" s="349">
        <f>SUMIFS('2026 P&amp;L'!$M:$M,'2026 P&amp;L'!$B:$B,$C18,'2026 P&amp;L'!$E:$E,V$2)</f>
        <v>19080</v>
      </c>
      <c r="W18" s="349">
        <f>SUMIFS('2026 P&amp;L'!$M:$M,'2026 P&amp;L'!$B:$B,$C18,'2026 P&amp;L'!$E:$E,W$2)</f>
        <v>0</v>
      </c>
      <c r="X18" s="349">
        <f>SUMIFS('2026 P&amp;L'!$M:$M,'2026 P&amp;L'!$B:$B,$C18,'2026 P&amp;L'!$E:$E,X$2)</f>
        <v>1332.17</v>
      </c>
      <c r="Y18" s="42"/>
      <c r="Z18" s="42"/>
    </row>
    <row r="19" spans="1:26" ht="14.5">
      <c r="A19" s="8" t="s">
        <v>150</v>
      </c>
      <c r="C19" s="332" t="s">
        <v>1259</v>
      </c>
      <c r="D19" s="348">
        <v>104131.65</v>
      </c>
      <c r="E19" s="348">
        <v>125887.53</v>
      </c>
      <c r="F19" s="348">
        <f>SUMIFS('2025 FY P&amp;L'!B:B,'2025 FY P&amp;L'!$A:$A,$C19)</f>
        <v>98181.02</v>
      </c>
      <c r="G19" s="348">
        <f t="shared" si="2"/>
        <v>95107.34</v>
      </c>
      <c r="H19" s="349">
        <f>SUMIFS('2025 FY P&amp;L'!D:D,'2025 FY P&amp;L'!$A:$A,$C19)</f>
        <v>5088.96</v>
      </c>
      <c r="I19" s="349">
        <f>SUMIFS('2025 FY P&amp;L'!E:E,'2025 FY P&amp;L'!$A:$A,$C19)</f>
        <v>2202</v>
      </c>
      <c r="J19" s="349">
        <f>SUMIFS('2025 FY P&amp;L'!F:F,'2025 FY P&amp;L'!$A:$A,$C19)</f>
        <v>1382.6</v>
      </c>
      <c r="K19" s="349">
        <f>SUMIFS('2025 FY P&amp;L'!G:G,'2025 FY P&amp;L'!$A:$A,$C19)</f>
        <v>7023.8</v>
      </c>
      <c r="L19" s="349">
        <f>SUMIFS('2025 FY P&amp;L'!H:H,'2025 FY P&amp;L'!$A:$A,$C19)</f>
        <v>12111.84</v>
      </c>
      <c r="M19" s="349">
        <f>SUMIFS('2025 FY P&amp;L'!I:I,'2025 FY P&amp;L'!$A:$A,$C19)</f>
        <v>12975.260000000002</v>
      </c>
      <c r="N19" s="349">
        <f>SUMIFS('2025 FY P&amp;L'!J:J,'2025 FY P&amp;L'!$A:$A,$C19)</f>
        <v>10426.910000000002</v>
      </c>
      <c r="O19" s="349">
        <f>SUMIFS('2025 FY P&amp;L'!K:K,'2025 FY P&amp;L'!$A:$A,$C19)</f>
        <v>5359.32</v>
      </c>
      <c r="P19" s="349">
        <f>SUMIFS('2025 FY P&amp;L'!L:L,'2025 FY P&amp;L'!$A:$A,$C19)</f>
        <v>8467.48</v>
      </c>
      <c r="Q19" s="349">
        <f>SUMIFS('2025 FY P&amp;L'!M:M,'2025 FY P&amp;L'!$A:$A,$C19)</f>
        <v>12558.949999999999</v>
      </c>
      <c r="R19" s="349">
        <f>SUMIFS('2025 FY P&amp;L'!N:N,'2025 FY P&amp;L'!$A:$A,$C19)</f>
        <v>13585.5</v>
      </c>
      <c r="S19" s="349">
        <f>SUMIFS('2025 FY P&amp;L'!O:O,'2025 FY P&amp;L'!$A:$A,$C19)</f>
        <v>6998.4000000000005</v>
      </c>
      <c r="T19" s="349">
        <f>SUMIFS('2026 P&amp;L'!$M:$M,'2026 P&amp;L'!$B:$B,$C19,'2026 P&amp;L'!$E:$E,T$2)</f>
        <v>2338.2400000000002</v>
      </c>
      <c r="U19" s="349">
        <f>SUMIFS('2026 P&amp;L'!$M:$M,'2026 P&amp;L'!$B:$B,$C19,'2026 P&amp;L'!$E:$E,U$2)</f>
        <v>0</v>
      </c>
      <c r="V19" s="349">
        <f>SUMIFS('2026 P&amp;L'!$M:$M,'2026 P&amp;L'!$B:$B,$C19,'2026 P&amp;L'!$E:$E,V$2)</f>
        <v>965</v>
      </c>
      <c r="W19" s="349">
        <f>SUMIFS('2026 P&amp;L'!$M:$M,'2026 P&amp;L'!$B:$B,$C19,'2026 P&amp;L'!$E:$E,W$2)</f>
        <v>9320.4399999999987</v>
      </c>
      <c r="X19" s="349">
        <f>SUMIFS('2026 P&amp;L'!$M:$M,'2026 P&amp;L'!$B:$B,$C19,'2026 P&amp;L'!$E:$E,X$2)</f>
        <v>9523.159999999998</v>
      </c>
      <c r="Y19" s="42"/>
      <c r="Z19" s="42"/>
    </row>
    <row r="20" spans="1:26" ht="14.5">
      <c r="A20" s="8" t="s">
        <v>181</v>
      </c>
      <c r="C20" s="332" t="s">
        <v>1260</v>
      </c>
      <c r="D20" s="348">
        <v>2498.9699999999998</v>
      </c>
      <c r="E20" s="348" t="s">
        <v>121</v>
      </c>
      <c r="F20" s="348">
        <f>SUMIFS('2025 FY P&amp;L'!B:B,'2025 FY P&amp;L'!$A:$A,$C20)</f>
        <v>99</v>
      </c>
      <c r="G20" s="348">
        <f t="shared" si="2"/>
        <v>99</v>
      </c>
      <c r="H20" s="349">
        <f>SUMIFS('2025 FY P&amp;L'!D:D,'2025 FY P&amp;L'!$A:$A,$C20)</f>
        <v>0</v>
      </c>
      <c r="I20" s="349">
        <f>SUMIFS('2025 FY P&amp;L'!E:E,'2025 FY P&amp;L'!$A:$A,$C20)</f>
        <v>0</v>
      </c>
      <c r="J20" s="349">
        <f>SUMIFS('2025 FY P&amp;L'!F:F,'2025 FY P&amp;L'!$A:$A,$C20)</f>
        <v>0</v>
      </c>
      <c r="K20" s="349">
        <f>SUMIFS('2025 FY P&amp;L'!G:G,'2025 FY P&amp;L'!$A:$A,$C20)</f>
        <v>0</v>
      </c>
      <c r="L20" s="349">
        <f>SUMIFS('2025 FY P&amp;L'!H:H,'2025 FY P&amp;L'!$A:$A,$C20)</f>
        <v>0</v>
      </c>
      <c r="M20" s="349">
        <f>SUMIFS('2025 FY P&amp;L'!I:I,'2025 FY P&amp;L'!$A:$A,$C20)</f>
        <v>0</v>
      </c>
      <c r="N20" s="349">
        <f>SUMIFS('2025 FY P&amp;L'!J:J,'2025 FY P&amp;L'!$A:$A,$C20)</f>
        <v>99</v>
      </c>
      <c r="O20" s="349">
        <f>SUMIFS('2025 FY P&amp;L'!K:K,'2025 FY P&amp;L'!$A:$A,$C20)</f>
        <v>0</v>
      </c>
      <c r="P20" s="349">
        <f>SUMIFS('2025 FY P&amp;L'!L:L,'2025 FY P&amp;L'!$A:$A,$C20)</f>
        <v>0</v>
      </c>
      <c r="Q20" s="349">
        <f>SUMIFS('2025 FY P&amp;L'!M:M,'2025 FY P&amp;L'!$A:$A,$C20)</f>
        <v>0</v>
      </c>
      <c r="R20" s="349">
        <f>SUMIFS('2025 FY P&amp;L'!N:N,'2025 FY P&amp;L'!$A:$A,$C20)</f>
        <v>0</v>
      </c>
      <c r="S20" s="349">
        <f>SUMIFS('2025 FY P&amp;L'!O:O,'2025 FY P&amp;L'!$A:$A,$C20)</f>
        <v>0</v>
      </c>
      <c r="T20" s="349">
        <f>SUMIFS('2026 P&amp;L'!$M:$M,'2026 P&amp;L'!$B:$B,$C20,'2026 P&amp;L'!$E:$E,T$2)</f>
        <v>0</v>
      </c>
      <c r="U20" s="349">
        <f>SUMIFS('2026 P&amp;L'!$M:$M,'2026 P&amp;L'!$B:$B,$C20,'2026 P&amp;L'!$E:$E,U$2)</f>
        <v>0</v>
      </c>
      <c r="V20" s="349">
        <f>SUMIFS('2026 P&amp;L'!$M:$M,'2026 P&amp;L'!$B:$B,$C20,'2026 P&amp;L'!$E:$E,V$2)</f>
        <v>0</v>
      </c>
      <c r="W20" s="349">
        <f>SUMIFS('2026 P&amp;L'!$M:$M,'2026 P&amp;L'!$B:$B,$C20,'2026 P&amp;L'!$E:$E,W$2)</f>
        <v>0</v>
      </c>
      <c r="X20" s="349">
        <f>SUMIFS('2026 P&amp;L'!$M:$M,'2026 P&amp;L'!$B:$B,$C20,'2026 P&amp;L'!$E:$E,X$2)</f>
        <v>0</v>
      </c>
      <c r="Y20" s="42"/>
      <c r="Z20" s="42"/>
    </row>
    <row r="21" spans="1:26" ht="15.75" customHeight="1">
      <c r="A21" s="8" t="s">
        <v>140</v>
      </c>
      <c r="C21" s="332" t="s">
        <v>1261</v>
      </c>
      <c r="D21" s="348">
        <v>12777.29</v>
      </c>
      <c r="E21" s="348">
        <v>3619.2</v>
      </c>
      <c r="F21" s="348">
        <f>SUMIFS('2025 FY P&amp;L'!B:B,'2025 FY P&amp;L'!$A:$A,$C21)</f>
        <v>857.6</v>
      </c>
      <c r="G21" s="348">
        <f t="shared" si="2"/>
        <v>1128.5900000000001</v>
      </c>
      <c r="H21" s="349">
        <f>SUMIFS('2025 FY P&amp;L'!D:D,'2025 FY P&amp;L'!$A:$A,$C21)</f>
        <v>0</v>
      </c>
      <c r="I21" s="349">
        <f>SUMIFS('2025 FY P&amp;L'!E:E,'2025 FY P&amp;L'!$A:$A,$C21)</f>
        <v>0</v>
      </c>
      <c r="J21" s="349">
        <f>SUMIFS('2025 FY P&amp;L'!F:F,'2025 FY P&amp;L'!$A:$A,$C21)</f>
        <v>0</v>
      </c>
      <c r="K21" s="349">
        <f>SUMIFS('2025 FY P&amp;L'!G:G,'2025 FY P&amp;L'!$A:$A,$C21)</f>
        <v>89.92</v>
      </c>
      <c r="L21" s="349">
        <f>SUMIFS('2025 FY P&amp;L'!H:H,'2025 FY P&amp;L'!$A:$A,$C21)</f>
        <v>0</v>
      </c>
      <c r="M21" s="349">
        <f>SUMIFS('2025 FY P&amp;L'!I:I,'2025 FY P&amp;L'!$A:$A,$C21)</f>
        <v>301.23</v>
      </c>
      <c r="N21" s="349">
        <f>SUMIFS('2025 FY P&amp;L'!J:J,'2025 FY P&amp;L'!$A:$A,$C21)</f>
        <v>0</v>
      </c>
      <c r="O21" s="349">
        <f>SUMIFS('2025 FY P&amp;L'!K:K,'2025 FY P&amp;L'!$A:$A,$C21)</f>
        <v>0</v>
      </c>
      <c r="P21" s="349">
        <f>SUMIFS('2025 FY P&amp;L'!L:L,'2025 FY P&amp;L'!$A:$A,$C21)</f>
        <v>0</v>
      </c>
      <c r="Q21" s="349">
        <f>SUMIFS('2025 FY P&amp;L'!M:M,'2025 FY P&amp;L'!$A:$A,$C21)</f>
        <v>388.45</v>
      </c>
      <c r="R21" s="349">
        <f>SUMIFS('2025 FY P&amp;L'!N:N,'2025 FY P&amp;L'!$A:$A,$C21)</f>
        <v>78</v>
      </c>
      <c r="S21" s="349">
        <f>SUMIFS('2025 FY P&amp;L'!O:O,'2025 FY P&amp;L'!$A:$A,$C21)</f>
        <v>0</v>
      </c>
      <c r="T21" s="349">
        <f>SUMIFS('2026 P&amp;L'!$M:$M,'2026 P&amp;L'!$B:$B,$C21,'2026 P&amp;L'!$E:$E,T$2)</f>
        <v>0</v>
      </c>
      <c r="U21" s="349">
        <f>SUMIFS('2026 P&amp;L'!$M:$M,'2026 P&amp;L'!$B:$B,$C21,'2026 P&amp;L'!$E:$E,U$2)</f>
        <v>222.71</v>
      </c>
      <c r="V21" s="349">
        <f>SUMIFS('2026 P&amp;L'!$M:$M,'2026 P&amp;L'!$B:$B,$C21,'2026 P&amp;L'!$E:$E,V$2)</f>
        <v>138.19999999999999</v>
      </c>
      <c r="W21" s="349">
        <f>SUMIFS('2026 P&amp;L'!$M:$M,'2026 P&amp;L'!$B:$B,$C21,'2026 P&amp;L'!$E:$E,W$2)</f>
        <v>0</v>
      </c>
      <c r="X21" s="349">
        <f>SUMIFS('2026 P&amp;L'!$M:$M,'2026 P&amp;L'!$B:$B,$C21,'2026 P&amp;L'!$E:$E,X$2)</f>
        <v>0</v>
      </c>
      <c r="Y21" s="42"/>
      <c r="Z21" s="42"/>
    </row>
    <row r="22" spans="1:26" ht="15.75" customHeight="1">
      <c r="A22" s="357" t="s">
        <v>1262</v>
      </c>
      <c r="C22" s="332" t="s">
        <v>1263</v>
      </c>
      <c r="D22" s="348">
        <v>3500</v>
      </c>
      <c r="E22" s="348" t="s">
        <v>121</v>
      </c>
      <c r="F22" s="348">
        <f>SUMIFS('2025 FY P&amp;L'!B:B,'2025 FY P&amp;L'!$A:$A,$C22)</f>
        <v>0</v>
      </c>
      <c r="G22" s="348">
        <f t="shared" si="2"/>
        <v>0</v>
      </c>
      <c r="H22" s="349">
        <f>SUMIFS('2025 FY P&amp;L'!D:D,'2025 FY P&amp;L'!$A:$A,$C22)</f>
        <v>0</v>
      </c>
      <c r="I22" s="349">
        <f>SUMIFS('2025 FY P&amp;L'!E:E,'2025 FY P&amp;L'!$A:$A,$C22)</f>
        <v>0</v>
      </c>
      <c r="J22" s="349">
        <f>SUMIFS('2025 FY P&amp;L'!F:F,'2025 FY P&amp;L'!$A:$A,$C22)</f>
        <v>0</v>
      </c>
      <c r="K22" s="349">
        <f>SUMIFS('2025 FY P&amp;L'!G:G,'2025 FY P&amp;L'!$A:$A,$C22)</f>
        <v>0</v>
      </c>
      <c r="L22" s="349">
        <f>SUMIFS('2025 FY P&amp;L'!H:H,'2025 FY P&amp;L'!$A:$A,$C22)</f>
        <v>0</v>
      </c>
      <c r="M22" s="349">
        <f>SUMIFS('2025 FY P&amp;L'!I:I,'2025 FY P&amp;L'!$A:$A,$C22)</f>
        <v>0</v>
      </c>
      <c r="N22" s="349">
        <f>SUMIFS('2025 FY P&amp;L'!J:J,'2025 FY P&amp;L'!$A:$A,$C22)</f>
        <v>0</v>
      </c>
      <c r="O22" s="349">
        <f>SUMIFS('2025 FY P&amp;L'!K:K,'2025 FY P&amp;L'!$A:$A,$C22)</f>
        <v>0</v>
      </c>
      <c r="P22" s="349">
        <f>SUMIFS('2025 FY P&amp;L'!L:L,'2025 FY P&amp;L'!$A:$A,$C22)</f>
        <v>0</v>
      </c>
      <c r="Q22" s="349">
        <f>SUMIFS('2025 FY P&amp;L'!M:M,'2025 FY P&amp;L'!$A:$A,$C22)</f>
        <v>0</v>
      </c>
      <c r="R22" s="349">
        <f>SUMIFS('2025 FY P&amp;L'!N:N,'2025 FY P&amp;L'!$A:$A,$C22)</f>
        <v>0</v>
      </c>
      <c r="S22" s="349">
        <f>SUMIFS('2025 FY P&amp;L'!O:O,'2025 FY P&amp;L'!$A:$A,$C22)</f>
        <v>0</v>
      </c>
      <c r="T22" s="349">
        <f>SUMIFS('2026 P&amp;L'!$M:$M,'2026 P&amp;L'!$B:$B,$C22,'2026 P&amp;L'!$E:$E,T$2)</f>
        <v>0</v>
      </c>
      <c r="U22" s="349">
        <f>SUMIFS('2026 P&amp;L'!$M:$M,'2026 P&amp;L'!$B:$B,$C22,'2026 P&amp;L'!$E:$E,U$2)</f>
        <v>0</v>
      </c>
      <c r="V22" s="349">
        <f>SUMIFS('2026 P&amp;L'!$M:$M,'2026 P&amp;L'!$B:$B,$C22,'2026 P&amp;L'!$E:$E,V$2)</f>
        <v>0</v>
      </c>
      <c r="W22" s="349">
        <f>SUMIFS('2026 P&amp;L'!$M:$M,'2026 P&amp;L'!$B:$B,$C22,'2026 P&amp;L'!$E:$E,W$2)</f>
        <v>0</v>
      </c>
      <c r="X22" s="349">
        <f>SUMIFS('2026 P&amp;L'!$M:$M,'2026 P&amp;L'!$B:$B,$C22,'2026 P&amp;L'!$E:$E,X$2)</f>
        <v>0</v>
      </c>
      <c r="Y22" s="42"/>
      <c r="Z22" s="42"/>
    </row>
    <row r="23" spans="1:26" ht="15.75" customHeight="1">
      <c r="A23" s="8" t="s">
        <v>165</v>
      </c>
      <c r="C23" s="332" t="s">
        <v>1264</v>
      </c>
      <c r="D23" s="348">
        <v>1053.0999999999999</v>
      </c>
      <c r="E23" s="348">
        <v>1608.98</v>
      </c>
      <c r="F23" s="348">
        <f>SUMIFS('2025 FY P&amp;L'!B:B,'2025 FY P&amp;L'!$A:$A,$C23)</f>
        <v>2474.09</v>
      </c>
      <c r="G23" s="348">
        <f t="shared" si="2"/>
        <v>2474.09</v>
      </c>
      <c r="H23" s="349">
        <f>SUMIFS('2025 FY P&amp;L'!D:D,'2025 FY P&amp;L'!$A:$A,$C23)</f>
        <v>0</v>
      </c>
      <c r="I23" s="349">
        <f>SUMIFS('2025 FY P&amp;L'!E:E,'2025 FY P&amp;L'!$A:$A,$C23)</f>
        <v>0</v>
      </c>
      <c r="J23" s="349">
        <f>SUMIFS('2025 FY P&amp;L'!F:F,'2025 FY P&amp;L'!$A:$A,$C23)</f>
        <v>0</v>
      </c>
      <c r="K23" s="349">
        <f>SUMIFS('2025 FY P&amp;L'!G:G,'2025 FY P&amp;L'!$A:$A,$C23)</f>
        <v>0</v>
      </c>
      <c r="L23" s="349">
        <f>SUMIFS('2025 FY P&amp;L'!H:H,'2025 FY P&amp;L'!$A:$A,$C23)</f>
        <v>2321.88</v>
      </c>
      <c r="M23" s="349">
        <f>SUMIFS('2025 FY P&amp;L'!I:I,'2025 FY P&amp;L'!$A:$A,$C23)</f>
        <v>0</v>
      </c>
      <c r="N23" s="349">
        <f>SUMIFS('2025 FY P&amp;L'!J:J,'2025 FY P&amp;L'!$A:$A,$C23)</f>
        <v>0</v>
      </c>
      <c r="O23" s="349">
        <f>SUMIFS('2025 FY P&amp;L'!K:K,'2025 FY P&amp;L'!$A:$A,$C23)</f>
        <v>0</v>
      </c>
      <c r="P23" s="349">
        <f>SUMIFS('2025 FY P&amp;L'!L:L,'2025 FY P&amp;L'!$A:$A,$C23)</f>
        <v>0</v>
      </c>
      <c r="Q23" s="349">
        <f>SUMIFS('2025 FY P&amp;L'!M:M,'2025 FY P&amp;L'!$A:$A,$C23)</f>
        <v>0</v>
      </c>
      <c r="R23" s="349">
        <f>SUMIFS('2025 FY P&amp;L'!N:N,'2025 FY P&amp;L'!$A:$A,$C23)</f>
        <v>0</v>
      </c>
      <c r="S23" s="349">
        <f>SUMIFS('2025 FY P&amp;L'!O:O,'2025 FY P&amp;L'!$A:$A,$C23)</f>
        <v>152.21</v>
      </c>
      <c r="T23" s="349">
        <f>SUMIFS('2026 P&amp;L'!$M:$M,'2026 P&amp;L'!$B:$B,$C23,'2026 P&amp;L'!$E:$E,T$2)</f>
        <v>0</v>
      </c>
      <c r="U23" s="349">
        <f>SUMIFS('2026 P&amp;L'!$M:$M,'2026 P&amp;L'!$B:$B,$C23,'2026 P&amp;L'!$E:$E,U$2)</f>
        <v>0</v>
      </c>
      <c r="V23" s="349">
        <f>SUMIFS('2026 P&amp;L'!$M:$M,'2026 P&amp;L'!$B:$B,$C23,'2026 P&amp;L'!$E:$E,V$2)</f>
        <v>0</v>
      </c>
      <c r="W23" s="349">
        <f>SUMIFS('2026 P&amp;L'!$M:$M,'2026 P&amp;L'!$B:$B,$C23,'2026 P&amp;L'!$E:$E,W$2)</f>
        <v>0</v>
      </c>
      <c r="X23" s="349">
        <f>SUMIFS('2026 P&amp;L'!$M:$M,'2026 P&amp;L'!$B:$B,$C23,'2026 P&amp;L'!$E:$E,X$2)</f>
        <v>0</v>
      </c>
      <c r="Y23" s="42"/>
      <c r="Z23" s="42"/>
    </row>
    <row r="24" spans="1:26" ht="15.75" customHeight="1">
      <c r="A24" s="8" t="s">
        <v>166</v>
      </c>
      <c r="C24" s="332" t="s">
        <v>1265</v>
      </c>
      <c r="D24" s="348">
        <v>5177</v>
      </c>
      <c r="E24" s="348">
        <v>2850</v>
      </c>
      <c r="F24" s="348">
        <f>SUMIFS('2025 FY P&amp;L'!B:B,'2025 FY P&amp;L'!$A:$A,$C24)</f>
        <v>4925</v>
      </c>
      <c r="G24" s="348">
        <f t="shared" si="2"/>
        <v>6125</v>
      </c>
      <c r="H24" s="349">
        <f>SUMIFS('2025 FY P&amp;L'!D:D,'2025 FY P&amp;L'!$A:$A,$C24)</f>
        <v>0</v>
      </c>
      <c r="I24" s="349">
        <f>SUMIFS('2025 FY P&amp;L'!E:E,'2025 FY P&amp;L'!$A:$A,$C24)</f>
        <v>400</v>
      </c>
      <c r="J24" s="349">
        <f>SUMIFS('2025 FY P&amp;L'!F:F,'2025 FY P&amp;L'!$A:$A,$C24)</f>
        <v>0</v>
      </c>
      <c r="K24" s="349">
        <f>SUMIFS('2025 FY P&amp;L'!G:G,'2025 FY P&amp;L'!$A:$A,$C24)</f>
        <v>500</v>
      </c>
      <c r="L24" s="349">
        <f>SUMIFS('2025 FY P&amp;L'!H:H,'2025 FY P&amp;L'!$A:$A,$C24)</f>
        <v>0</v>
      </c>
      <c r="M24" s="349">
        <f>SUMIFS('2025 FY P&amp;L'!I:I,'2025 FY P&amp;L'!$A:$A,$C24)</f>
        <v>1100</v>
      </c>
      <c r="N24" s="349">
        <f>SUMIFS('2025 FY P&amp;L'!J:J,'2025 FY P&amp;L'!$A:$A,$C24)</f>
        <v>500</v>
      </c>
      <c r="O24" s="349">
        <f>SUMIFS('2025 FY P&amp;L'!K:K,'2025 FY P&amp;L'!$A:$A,$C24)</f>
        <v>0</v>
      </c>
      <c r="P24" s="349">
        <f>SUMIFS('2025 FY P&amp;L'!L:L,'2025 FY P&amp;L'!$A:$A,$C24)</f>
        <v>700</v>
      </c>
      <c r="Q24" s="349">
        <f>SUMIFS('2025 FY P&amp;L'!M:M,'2025 FY P&amp;L'!$A:$A,$C24)</f>
        <v>625</v>
      </c>
      <c r="R24" s="349">
        <f>SUMIFS('2025 FY P&amp;L'!N:N,'2025 FY P&amp;L'!$A:$A,$C24)</f>
        <v>600</v>
      </c>
      <c r="S24" s="349">
        <f>SUMIFS('2025 FY P&amp;L'!O:O,'2025 FY P&amp;L'!$A:$A,$C24)</f>
        <v>500</v>
      </c>
      <c r="T24" s="349">
        <f>SUMIFS('2026 P&amp;L'!$M:$M,'2026 P&amp;L'!$B:$B,$C24,'2026 P&amp;L'!$E:$E,T$2)</f>
        <v>1500</v>
      </c>
      <c r="U24" s="349">
        <f>SUMIFS('2026 P&amp;L'!$M:$M,'2026 P&amp;L'!$B:$B,$C24,'2026 P&amp;L'!$E:$E,U$2)</f>
        <v>100</v>
      </c>
      <c r="V24" s="349">
        <f>SUMIFS('2026 P&amp;L'!$M:$M,'2026 P&amp;L'!$B:$B,$C24,'2026 P&amp;L'!$E:$E,V$2)</f>
        <v>0</v>
      </c>
      <c r="W24" s="349">
        <f>SUMIFS('2026 P&amp;L'!$M:$M,'2026 P&amp;L'!$B:$B,$C24,'2026 P&amp;L'!$E:$E,W$2)</f>
        <v>500</v>
      </c>
      <c r="X24" s="349">
        <f>SUMIFS('2026 P&amp;L'!$M:$M,'2026 P&amp;L'!$B:$B,$C24,'2026 P&amp;L'!$E:$E,X$2)</f>
        <v>0</v>
      </c>
      <c r="Y24" s="42"/>
      <c r="Z24" s="42"/>
    </row>
    <row r="25" spans="1:26" ht="15.75" customHeight="1">
      <c r="A25" s="8" t="s">
        <v>172</v>
      </c>
      <c r="B25" s="3" t="s">
        <v>426</v>
      </c>
      <c r="C25" s="332" t="s">
        <v>1266</v>
      </c>
      <c r="D25" s="348">
        <v>771.74</v>
      </c>
      <c r="E25" s="348">
        <v>222.04</v>
      </c>
      <c r="F25" s="348">
        <f>SUMIFS('2025 FY P&amp;L'!B:B,'2025 FY P&amp;L'!$A:$A,$C25)</f>
        <v>2392.7599999999998</v>
      </c>
      <c r="G25" s="348">
        <f t="shared" si="2"/>
        <v>1567.32</v>
      </c>
      <c r="H25" s="349">
        <f>SUMIFS('2025 FY P&amp;L'!D:D,'2025 FY P&amp;L'!$A:$A,$C25)</f>
        <v>0</v>
      </c>
      <c r="I25" s="349">
        <f>SUMIFS('2025 FY P&amp;L'!E:E,'2025 FY P&amp;L'!$A:$A,$C25)</f>
        <v>38.49</v>
      </c>
      <c r="J25" s="349">
        <f>SUMIFS('2025 FY P&amp;L'!F:F,'2025 FY P&amp;L'!$A:$A,$C25)</f>
        <v>786.95</v>
      </c>
      <c r="K25" s="349">
        <f>SUMIFS('2025 FY P&amp;L'!G:G,'2025 FY P&amp;L'!$A:$A,$C25)</f>
        <v>0</v>
      </c>
      <c r="L25" s="349">
        <f>SUMIFS('2025 FY P&amp;L'!H:H,'2025 FY P&amp;L'!$A:$A,$C25)</f>
        <v>0</v>
      </c>
      <c r="M25" s="349">
        <f>SUMIFS('2025 FY P&amp;L'!I:I,'2025 FY P&amp;L'!$A:$A,$C25)</f>
        <v>0</v>
      </c>
      <c r="N25" s="349">
        <f>SUMIFS('2025 FY P&amp;L'!J:J,'2025 FY P&amp;L'!$A:$A,$C25)</f>
        <v>0</v>
      </c>
      <c r="O25" s="349">
        <f>SUMIFS('2025 FY P&amp;L'!K:K,'2025 FY P&amp;L'!$A:$A,$C25)</f>
        <v>584.9</v>
      </c>
      <c r="P25" s="349">
        <f>SUMIFS('2025 FY P&amp;L'!L:L,'2025 FY P&amp;L'!$A:$A,$C25)</f>
        <v>162.85</v>
      </c>
      <c r="Q25" s="349">
        <f>SUMIFS('2025 FY P&amp;L'!M:M,'2025 FY P&amp;L'!$A:$A,$C25)</f>
        <v>177.5</v>
      </c>
      <c r="R25" s="349">
        <f>SUMIFS('2025 FY P&amp;L'!N:N,'2025 FY P&amp;L'!$A:$A,$C25)</f>
        <v>213.99</v>
      </c>
      <c r="S25" s="349">
        <f>SUMIFS('2025 FY P&amp;L'!O:O,'2025 FY P&amp;L'!$A:$A,$C25)</f>
        <v>428.08</v>
      </c>
      <c r="T25" s="349">
        <f>SUMIFS('2026 P&amp;L'!$M:$M,'2026 P&amp;L'!$B:$B,$C25,'2026 P&amp;L'!$E:$E,T$2)</f>
        <v>0</v>
      </c>
      <c r="U25" s="349">
        <f>SUMIFS('2026 P&amp;L'!$M:$M,'2026 P&amp;L'!$B:$B,$C25,'2026 P&amp;L'!$E:$E,U$2)</f>
        <v>0</v>
      </c>
      <c r="V25" s="349">
        <f>SUMIFS('2026 P&amp;L'!$M:$M,'2026 P&amp;L'!$B:$B,$C25,'2026 P&amp;L'!$E:$E,V$2)</f>
        <v>0</v>
      </c>
      <c r="W25" s="349">
        <f>SUMIFS('2026 P&amp;L'!$M:$M,'2026 P&amp;L'!$B:$B,$C25,'2026 P&amp;L'!$E:$E,W$2)</f>
        <v>0</v>
      </c>
      <c r="X25" s="349">
        <f>SUMIFS('2026 P&amp;L'!$M:$M,'2026 P&amp;L'!$B:$B,$C25,'2026 P&amp;L'!$E:$E,X$2)</f>
        <v>0</v>
      </c>
      <c r="Y25" s="42"/>
      <c r="Z25" s="42"/>
    </row>
    <row r="26" spans="1:26" ht="15.75" customHeight="1">
      <c r="A26" s="8" t="s">
        <v>165</v>
      </c>
      <c r="C26" s="332" t="s">
        <v>1267</v>
      </c>
      <c r="D26" s="348">
        <v>4324.47</v>
      </c>
      <c r="E26" s="348">
        <v>3012.77</v>
      </c>
      <c r="F26" s="348">
        <f>SUMIFS('2025 FY P&amp;L'!B:B,'2025 FY P&amp;L'!$A:$A,$C26)</f>
        <v>3154.04</v>
      </c>
      <c r="G26" s="348">
        <f t="shared" si="2"/>
        <v>3037.24</v>
      </c>
      <c r="H26" s="349">
        <f>SUMIFS('2025 FY P&amp;L'!D:D,'2025 FY P&amp;L'!$A:$A,$C26)</f>
        <v>40</v>
      </c>
      <c r="I26" s="349">
        <f>SUMIFS('2025 FY P&amp;L'!E:E,'2025 FY P&amp;L'!$A:$A,$C26)</f>
        <v>0</v>
      </c>
      <c r="J26" s="349">
        <f>SUMIFS('2025 FY P&amp;L'!F:F,'2025 FY P&amp;L'!$A:$A,$C26)</f>
        <v>20</v>
      </c>
      <c r="K26" s="349">
        <f>SUMIFS('2025 FY P&amp;L'!G:G,'2025 FY P&amp;L'!$A:$A,$C26)</f>
        <v>56.8</v>
      </c>
      <c r="L26" s="349">
        <f>SUMIFS('2025 FY P&amp;L'!H:H,'2025 FY P&amp;L'!$A:$A,$C26)</f>
        <v>1543.8899999999999</v>
      </c>
      <c r="M26" s="349">
        <f>SUMIFS('2025 FY P&amp;L'!I:I,'2025 FY P&amp;L'!$A:$A,$C26)</f>
        <v>212.60000000000002</v>
      </c>
      <c r="N26" s="349">
        <f>SUMIFS('2025 FY P&amp;L'!J:J,'2025 FY P&amp;L'!$A:$A,$C26)</f>
        <v>0</v>
      </c>
      <c r="O26" s="349">
        <f>SUMIFS('2025 FY P&amp;L'!K:K,'2025 FY P&amp;L'!$A:$A,$C26)</f>
        <v>870.96</v>
      </c>
      <c r="P26" s="349">
        <f>SUMIFS('2025 FY P&amp;L'!L:L,'2025 FY P&amp;L'!$A:$A,$C26)</f>
        <v>0</v>
      </c>
      <c r="Q26" s="349">
        <f>SUMIFS('2025 FY P&amp;L'!M:M,'2025 FY P&amp;L'!$A:$A,$C26)</f>
        <v>138.29</v>
      </c>
      <c r="R26" s="349">
        <f>SUMIFS('2025 FY P&amp;L'!N:N,'2025 FY P&amp;L'!$A:$A,$C26)</f>
        <v>147.6</v>
      </c>
      <c r="S26" s="349">
        <f>SUMIFS('2025 FY P&amp;L'!O:O,'2025 FY P&amp;L'!$A:$A,$C26)</f>
        <v>123.9</v>
      </c>
      <c r="T26" s="349">
        <f>SUMIFS('2026 P&amp;L'!$M:$M,'2026 P&amp;L'!$B:$B,$C26,'2026 P&amp;L'!$E:$E,T$2)</f>
        <v>0</v>
      </c>
      <c r="U26" s="349">
        <f>SUMIFS('2026 P&amp;L'!$M:$M,'2026 P&amp;L'!$B:$B,$C26,'2026 P&amp;L'!$E:$E,U$2)</f>
        <v>0</v>
      </c>
      <c r="V26" s="349">
        <f>SUMIFS('2026 P&amp;L'!$M:$M,'2026 P&amp;L'!$B:$B,$C26,'2026 P&amp;L'!$E:$E,V$2)</f>
        <v>0</v>
      </c>
      <c r="W26" s="349">
        <f>SUMIFS('2026 P&amp;L'!$M:$M,'2026 P&amp;L'!$B:$B,$C26,'2026 P&amp;L'!$E:$E,W$2)</f>
        <v>0</v>
      </c>
      <c r="X26" s="349">
        <f>SUMIFS('2026 P&amp;L'!$M:$M,'2026 P&amp;L'!$B:$B,$C26,'2026 P&amp;L'!$E:$E,X$2)</f>
        <v>0</v>
      </c>
      <c r="Y26" s="42"/>
      <c r="Z26" s="42"/>
    </row>
    <row r="27" spans="1:26" ht="15.75" customHeight="1">
      <c r="A27" s="8" t="s">
        <v>180</v>
      </c>
      <c r="C27" s="332" t="s">
        <v>1268</v>
      </c>
      <c r="D27" s="348">
        <v>13517</v>
      </c>
      <c r="E27" s="348">
        <v>10164</v>
      </c>
      <c r="F27" s="348">
        <f>SUMIFS('2025 FY P&amp;L'!B:B,'2025 FY P&amp;L'!$A:$A,$C27)</f>
        <v>24607</v>
      </c>
      <c r="G27" s="348">
        <f t="shared" si="2"/>
        <v>21204</v>
      </c>
      <c r="H27" s="349">
        <f>SUMIFS('2025 FY P&amp;L'!D:D,'2025 FY P&amp;L'!$A:$A,$C27)</f>
        <v>0</v>
      </c>
      <c r="I27" s="349">
        <f>SUMIFS('2025 FY P&amp;L'!E:E,'2025 FY P&amp;L'!$A:$A,$C27)</f>
        <v>3378</v>
      </c>
      <c r="J27" s="349">
        <f>SUMIFS('2025 FY P&amp;L'!F:F,'2025 FY P&amp;L'!$A:$A,$C27)</f>
        <v>0</v>
      </c>
      <c r="K27" s="349">
        <f>SUMIFS('2025 FY P&amp;L'!G:G,'2025 FY P&amp;L'!$A:$A,$C27)</f>
        <v>25</v>
      </c>
      <c r="L27" s="349">
        <f>SUMIFS('2025 FY P&amp;L'!H:H,'2025 FY P&amp;L'!$A:$A,$C27)</f>
        <v>4251</v>
      </c>
      <c r="M27" s="349">
        <f>SUMIFS('2025 FY P&amp;L'!I:I,'2025 FY P&amp;L'!$A:$A,$C27)</f>
        <v>25</v>
      </c>
      <c r="N27" s="349">
        <f>SUMIFS('2025 FY P&amp;L'!J:J,'2025 FY P&amp;L'!$A:$A,$C27)</f>
        <v>0</v>
      </c>
      <c r="O27" s="349">
        <f>SUMIFS('2025 FY P&amp;L'!K:K,'2025 FY P&amp;L'!$A:$A,$C27)</f>
        <v>5638</v>
      </c>
      <c r="P27" s="349">
        <f>SUMIFS('2025 FY P&amp;L'!L:L,'2025 FY P&amp;L'!$A:$A,$C27)</f>
        <v>30</v>
      </c>
      <c r="Q27" s="349">
        <f>SUMIFS('2025 FY P&amp;L'!M:M,'2025 FY P&amp;L'!$A:$A,$C27)</f>
        <v>5630</v>
      </c>
      <c r="R27" s="349">
        <f>SUMIFS('2025 FY P&amp;L'!N:N,'2025 FY P&amp;L'!$A:$A,$C27)</f>
        <v>0</v>
      </c>
      <c r="S27" s="349">
        <f>SUMIFS('2025 FY P&amp;L'!O:O,'2025 FY P&amp;L'!$A:$A,$C27)</f>
        <v>5630</v>
      </c>
      <c r="T27" s="349">
        <f>SUMIFS('2026 P&amp;L'!$M:$M,'2026 P&amp;L'!$B:$B,$C27,'2026 P&amp;L'!$E:$E,T$2)</f>
        <v>0</v>
      </c>
      <c r="U27" s="349">
        <f>SUMIFS('2026 P&amp;L'!$M:$M,'2026 P&amp;L'!$B:$B,$C27,'2026 P&amp;L'!$E:$E,U$2)</f>
        <v>0</v>
      </c>
      <c r="V27" s="349">
        <f>SUMIFS('2026 P&amp;L'!$M:$M,'2026 P&amp;L'!$B:$B,$C27,'2026 P&amp;L'!$E:$E,V$2)</f>
        <v>0</v>
      </c>
      <c r="W27" s="349">
        <f>SUMIFS('2026 P&amp;L'!$M:$M,'2026 P&amp;L'!$B:$B,$C27,'2026 P&amp;L'!$E:$E,W$2)</f>
        <v>0</v>
      </c>
      <c r="X27" s="349">
        <f>SUMIFS('2026 P&amp;L'!$M:$M,'2026 P&amp;L'!$B:$B,$C27,'2026 P&amp;L'!$E:$E,X$2)</f>
        <v>0</v>
      </c>
      <c r="Y27" s="42"/>
      <c r="Z27" s="42"/>
    </row>
    <row r="28" spans="1:26" ht="15.75" customHeight="1">
      <c r="A28" s="357" t="s">
        <v>1269</v>
      </c>
      <c r="C28" s="332" t="s">
        <v>1270</v>
      </c>
      <c r="D28" s="348">
        <v>38212.550000000003</v>
      </c>
      <c r="E28" s="348">
        <v>35938.660000000003</v>
      </c>
      <c r="F28" s="348">
        <f>SUMIFS('2025 FY P&amp;L'!B:B,'2025 FY P&amp;L'!$A:$A,$C28)</f>
        <v>0</v>
      </c>
      <c r="G28" s="348">
        <f t="shared" si="2"/>
        <v>0</v>
      </c>
      <c r="H28" s="349">
        <f>SUMIFS('2025 FY P&amp;L'!D:D,'2025 FY P&amp;L'!$A:$A,$C28)</f>
        <v>0</v>
      </c>
      <c r="I28" s="349">
        <f>SUMIFS('2025 FY P&amp;L'!E:E,'2025 FY P&amp;L'!$A:$A,$C28)</f>
        <v>0</v>
      </c>
      <c r="J28" s="349">
        <f>SUMIFS('2025 FY P&amp;L'!F:F,'2025 FY P&amp;L'!$A:$A,$C28)</f>
        <v>0</v>
      </c>
      <c r="K28" s="349">
        <f>SUMIFS('2025 FY P&amp;L'!G:G,'2025 FY P&amp;L'!$A:$A,$C28)</f>
        <v>0</v>
      </c>
      <c r="L28" s="349">
        <f>SUMIFS('2025 FY P&amp;L'!H:H,'2025 FY P&amp;L'!$A:$A,$C28)</f>
        <v>0</v>
      </c>
      <c r="M28" s="349">
        <f>SUMIFS('2025 FY P&amp;L'!I:I,'2025 FY P&amp;L'!$A:$A,$C28)</f>
        <v>0</v>
      </c>
      <c r="N28" s="349">
        <f>SUMIFS('2025 FY P&amp;L'!J:J,'2025 FY P&amp;L'!$A:$A,$C28)</f>
        <v>0</v>
      </c>
      <c r="O28" s="349">
        <f>SUMIFS('2025 FY P&amp;L'!K:K,'2025 FY P&amp;L'!$A:$A,$C28)</f>
        <v>0</v>
      </c>
      <c r="P28" s="349">
        <f>SUMIFS('2025 FY P&amp;L'!L:L,'2025 FY P&amp;L'!$A:$A,$C28)</f>
        <v>0</v>
      </c>
      <c r="Q28" s="349">
        <f>SUMIFS('2025 FY P&amp;L'!M:M,'2025 FY P&amp;L'!$A:$A,$C28)</f>
        <v>0</v>
      </c>
      <c r="R28" s="349">
        <f>SUMIFS('2025 FY P&amp;L'!N:N,'2025 FY P&amp;L'!$A:$A,$C28)</f>
        <v>0</v>
      </c>
      <c r="S28" s="349">
        <f>SUMIFS('2025 FY P&amp;L'!O:O,'2025 FY P&amp;L'!$A:$A,$C28)</f>
        <v>0</v>
      </c>
      <c r="T28" s="349">
        <f>SUMIFS('2026 P&amp;L'!$M:$M,'2026 P&amp;L'!$B:$B,$C28,'2026 P&amp;L'!$E:$E,T$2)</f>
        <v>0</v>
      </c>
      <c r="U28" s="349">
        <f>SUMIFS('2026 P&amp;L'!$M:$M,'2026 P&amp;L'!$B:$B,$C28,'2026 P&amp;L'!$E:$E,U$2)</f>
        <v>0</v>
      </c>
      <c r="V28" s="349">
        <f>SUMIFS('2026 P&amp;L'!$M:$M,'2026 P&amp;L'!$B:$B,$C28,'2026 P&amp;L'!$E:$E,V$2)</f>
        <v>0</v>
      </c>
      <c r="W28" s="349">
        <f>SUMIFS('2026 P&amp;L'!$M:$M,'2026 P&amp;L'!$B:$B,$C28,'2026 P&amp;L'!$E:$E,W$2)</f>
        <v>0</v>
      </c>
      <c r="X28" s="349">
        <f>SUMIFS('2026 P&amp;L'!$M:$M,'2026 P&amp;L'!$B:$B,$C28,'2026 P&amp;L'!$E:$E,X$2)</f>
        <v>0</v>
      </c>
      <c r="Y28" s="42"/>
      <c r="Z28" s="42"/>
    </row>
    <row r="29" spans="1:26" ht="15.75" customHeight="1">
      <c r="A29" s="8" t="s">
        <v>166</v>
      </c>
      <c r="C29" s="332" t="s">
        <v>424</v>
      </c>
      <c r="D29" s="348">
        <v>88815.75</v>
      </c>
      <c r="E29" s="348">
        <v>17842.29</v>
      </c>
      <c r="F29" s="348">
        <f>SUMIFS('2025 FY P&amp;L'!B:B,'2025 FY P&amp;L'!$A:$A,$C29)</f>
        <v>18796.37</v>
      </c>
      <c r="G29" s="348">
        <f t="shared" si="2"/>
        <v>11758.369999999999</v>
      </c>
      <c r="H29" s="349">
        <f>SUMIFS('2025 FY P&amp;L'!D:D,'2025 FY P&amp;L'!$A:$A,$C29)</f>
        <v>0</v>
      </c>
      <c r="I29" s="349">
        <f>SUMIFS('2025 FY P&amp;L'!E:E,'2025 FY P&amp;L'!$A:$A,$C29)</f>
        <v>3698</v>
      </c>
      <c r="J29" s="349">
        <f>SUMIFS('2025 FY P&amp;L'!F:F,'2025 FY P&amp;L'!$A:$A,$C29)</f>
        <v>3340</v>
      </c>
      <c r="K29" s="349">
        <f>SUMIFS('2025 FY P&amp;L'!G:G,'2025 FY P&amp;L'!$A:$A,$C29)</f>
        <v>0</v>
      </c>
      <c r="L29" s="349">
        <f>SUMIFS('2025 FY P&amp;L'!H:H,'2025 FY P&amp;L'!$A:$A,$C29)</f>
        <v>163.37</v>
      </c>
      <c r="M29" s="349">
        <f>SUMIFS('2025 FY P&amp;L'!I:I,'2025 FY P&amp;L'!$A:$A,$C29)</f>
        <v>0</v>
      </c>
      <c r="N29" s="349">
        <f>SUMIFS('2025 FY P&amp;L'!J:J,'2025 FY P&amp;L'!$A:$A,$C29)</f>
        <v>0</v>
      </c>
      <c r="O29" s="349">
        <f>SUMIFS('2025 FY P&amp;L'!K:K,'2025 FY P&amp;L'!$A:$A,$C29)</f>
        <v>4372</v>
      </c>
      <c r="P29" s="349">
        <f>SUMIFS('2025 FY P&amp;L'!L:L,'2025 FY P&amp;L'!$A:$A,$C29)</f>
        <v>75</v>
      </c>
      <c r="Q29" s="349">
        <f>SUMIFS('2025 FY P&amp;L'!M:M,'2025 FY P&amp;L'!$A:$A,$C29)</f>
        <v>0</v>
      </c>
      <c r="R29" s="349">
        <f>SUMIFS('2025 FY P&amp;L'!N:N,'2025 FY P&amp;L'!$A:$A,$C29)</f>
        <v>7148</v>
      </c>
      <c r="S29" s="349">
        <f>SUMIFS('2025 FY P&amp;L'!O:O,'2025 FY P&amp;L'!$A:$A,$C29)</f>
        <v>0</v>
      </c>
      <c r="T29" s="349">
        <f>SUMIFS('2026 P&amp;L'!$M:$M,'2026 P&amp;L'!$B:$B,$C29,'2026 P&amp;L'!$E:$E,T$2)</f>
        <v>0</v>
      </c>
      <c r="U29" s="349">
        <f>SUMIFS('2026 P&amp;L'!$M:$M,'2026 P&amp;L'!$B:$B,$C29,'2026 P&amp;L'!$E:$E,U$2)</f>
        <v>0</v>
      </c>
      <c r="V29" s="349">
        <f>SUMIFS('2026 P&amp;L'!$M:$M,'2026 P&amp;L'!$B:$B,$C29,'2026 P&amp;L'!$E:$E,V$2)</f>
        <v>0</v>
      </c>
      <c r="W29" s="349">
        <f>SUMIFS('2026 P&amp;L'!$M:$M,'2026 P&amp;L'!$B:$B,$C29,'2026 P&amp;L'!$E:$E,W$2)</f>
        <v>0</v>
      </c>
      <c r="X29" s="349">
        <f>SUMIFS('2026 P&amp;L'!$M:$M,'2026 P&amp;L'!$B:$B,$C29,'2026 P&amp;L'!$E:$E,X$2)</f>
        <v>0</v>
      </c>
      <c r="Y29" s="42"/>
      <c r="Z29" s="42"/>
    </row>
    <row r="30" spans="1:26" ht="15.75" customHeight="1">
      <c r="A30" s="8" t="s">
        <v>183</v>
      </c>
      <c r="C30" s="332" t="s">
        <v>1271</v>
      </c>
      <c r="D30" s="348">
        <v>3833</v>
      </c>
      <c r="E30" s="348">
        <v>8179</v>
      </c>
      <c r="F30" s="348">
        <f>SUMIFS('2025 FY P&amp;L'!B:B,'2025 FY P&amp;L'!$A:$A,$C30)</f>
        <v>2186</v>
      </c>
      <c r="G30" s="348">
        <f t="shared" si="2"/>
        <v>2186</v>
      </c>
      <c r="H30" s="349">
        <f>SUMIFS('2025 FY P&amp;L'!D:D,'2025 FY P&amp;L'!$A:$A,$C30)</f>
        <v>0</v>
      </c>
      <c r="I30" s="349">
        <f>SUMIFS('2025 FY P&amp;L'!E:E,'2025 FY P&amp;L'!$A:$A,$C30)</f>
        <v>0</v>
      </c>
      <c r="J30" s="349">
        <f>SUMIFS('2025 FY P&amp;L'!F:F,'2025 FY P&amp;L'!$A:$A,$C30)</f>
        <v>0</v>
      </c>
      <c r="K30" s="349">
        <f>SUMIFS('2025 FY P&amp;L'!G:G,'2025 FY P&amp;L'!$A:$A,$C30)</f>
        <v>0</v>
      </c>
      <c r="L30" s="349">
        <f>SUMIFS('2025 FY P&amp;L'!H:H,'2025 FY P&amp;L'!$A:$A,$C30)</f>
        <v>0</v>
      </c>
      <c r="M30" s="349">
        <f>SUMIFS('2025 FY P&amp;L'!I:I,'2025 FY P&amp;L'!$A:$A,$C30)</f>
        <v>2186</v>
      </c>
      <c r="N30" s="349">
        <f>SUMIFS('2025 FY P&amp;L'!J:J,'2025 FY P&amp;L'!$A:$A,$C30)</f>
        <v>0</v>
      </c>
      <c r="O30" s="349">
        <f>SUMIFS('2025 FY P&amp;L'!K:K,'2025 FY P&amp;L'!$A:$A,$C30)</f>
        <v>0</v>
      </c>
      <c r="P30" s="349">
        <f>SUMIFS('2025 FY P&amp;L'!L:L,'2025 FY P&amp;L'!$A:$A,$C30)</f>
        <v>0</v>
      </c>
      <c r="Q30" s="349">
        <f>SUMIFS('2025 FY P&amp;L'!M:M,'2025 FY P&amp;L'!$A:$A,$C30)</f>
        <v>0</v>
      </c>
      <c r="R30" s="349">
        <f>SUMIFS('2025 FY P&amp;L'!N:N,'2025 FY P&amp;L'!$A:$A,$C30)</f>
        <v>0</v>
      </c>
      <c r="S30" s="349">
        <f>SUMIFS('2025 FY P&amp;L'!O:O,'2025 FY P&amp;L'!$A:$A,$C30)</f>
        <v>0</v>
      </c>
      <c r="T30" s="349">
        <f>SUMIFS('2026 P&amp;L'!$M:$M,'2026 P&amp;L'!$B:$B,$C30,'2026 P&amp;L'!$E:$E,T$2)</f>
        <v>0</v>
      </c>
      <c r="U30" s="349">
        <f>SUMIFS('2026 P&amp;L'!$M:$M,'2026 P&amp;L'!$B:$B,$C30,'2026 P&amp;L'!$E:$E,U$2)</f>
        <v>0</v>
      </c>
      <c r="V30" s="349">
        <f>SUMIFS('2026 P&amp;L'!$M:$M,'2026 P&amp;L'!$B:$B,$C30,'2026 P&amp;L'!$E:$E,V$2)</f>
        <v>0</v>
      </c>
      <c r="W30" s="349">
        <f>SUMIFS('2026 P&amp;L'!$M:$M,'2026 P&amp;L'!$B:$B,$C30,'2026 P&amp;L'!$E:$E,W$2)</f>
        <v>0</v>
      </c>
      <c r="X30" s="349">
        <f>SUMIFS('2026 P&amp;L'!$M:$M,'2026 P&amp;L'!$B:$B,$C30,'2026 P&amp;L'!$E:$E,X$2)</f>
        <v>0</v>
      </c>
      <c r="Y30" s="42"/>
      <c r="Z30" s="42"/>
    </row>
    <row r="31" spans="1:26" ht="15.75" customHeight="1">
      <c r="A31" s="8" t="s">
        <v>183</v>
      </c>
      <c r="C31" s="332" t="s">
        <v>1272</v>
      </c>
      <c r="D31" s="348" t="s">
        <v>121</v>
      </c>
      <c r="E31" s="348">
        <v>29</v>
      </c>
      <c r="F31" s="348">
        <f>SUMIFS('2025 FY P&amp;L'!B:B,'2025 FY P&amp;L'!$A:$A,$C31)</f>
        <v>0</v>
      </c>
      <c r="G31" s="348">
        <f t="shared" si="2"/>
        <v>0</v>
      </c>
      <c r="H31" s="349">
        <f>SUMIFS('2025 FY P&amp;L'!D:D,'2025 FY P&amp;L'!$A:$A,$C31)</f>
        <v>0</v>
      </c>
      <c r="I31" s="349">
        <f>SUMIFS('2025 FY P&amp;L'!E:E,'2025 FY P&amp;L'!$A:$A,$C31)</f>
        <v>0</v>
      </c>
      <c r="J31" s="349">
        <f>SUMIFS('2025 FY P&amp;L'!F:F,'2025 FY P&amp;L'!$A:$A,$C31)</f>
        <v>0</v>
      </c>
      <c r="K31" s="349">
        <f>SUMIFS('2025 FY P&amp;L'!G:G,'2025 FY P&amp;L'!$A:$A,$C31)</f>
        <v>0</v>
      </c>
      <c r="L31" s="349">
        <f>SUMIFS('2025 FY P&amp;L'!H:H,'2025 FY P&amp;L'!$A:$A,$C31)</f>
        <v>0</v>
      </c>
      <c r="M31" s="349">
        <f>SUMIFS('2025 FY P&amp;L'!I:I,'2025 FY P&amp;L'!$A:$A,$C31)</f>
        <v>0</v>
      </c>
      <c r="N31" s="349">
        <f>SUMIFS('2025 FY P&amp;L'!J:J,'2025 FY P&amp;L'!$A:$A,$C31)</f>
        <v>0</v>
      </c>
      <c r="O31" s="349">
        <f>SUMIFS('2025 FY P&amp;L'!K:K,'2025 FY P&amp;L'!$A:$A,$C31)</f>
        <v>0</v>
      </c>
      <c r="P31" s="349">
        <f>SUMIFS('2025 FY P&amp;L'!L:L,'2025 FY P&amp;L'!$A:$A,$C31)</f>
        <v>0</v>
      </c>
      <c r="Q31" s="349">
        <f>SUMIFS('2025 FY P&amp;L'!M:M,'2025 FY P&amp;L'!$A:$A,$C31)</f>
        <v>0</v>
      </c>
      <c r="R31" s="349">
        <f>SUMIFS('2025 FY P&amp;L'!N:N,'2025 FY P&amp;L'!$A:$A,$C31)</f>
        <v>0</v>
      </c>
      <c r="S31" s="349">
        <f>SUMIFS('2025 FY P&amp;L'!O:O,'2025 FY P&amp;L'!$A:$A,$C31)</f>
        <v>0</v>
      </c>
      <c r="T31" s="349">
        <f>SUMIFS('2026 P&amp;L'!$M:$M,'2026 P&amp;L'!$B:$B,$C31,'2026 P&amp;L'!$E:$E,T$2)</f>
        <v>0</v>
      </c>
      <c r="U31" s="349">
        <f>SUMIFS('2026 P&amp;L'!$M:$M,'2026 P&amp;L'!$B:$B,$C31,'2026 P&amp;L'!$E:$E,U$2)</f>
        <v>0</v>
      </c>
      <c r="V31" s="349">
        <f>SUMIFS('2026 P&amp;L'!$M:$M,'2026 P&amp;L'!$B:$B,$C31,'2026 P&amp;L'!$E:$E,V$2)</f>
        <v>0</v>
      </c>
      <c r="W31" s="349">
        <f>SUMIFS('2026 P&amp;L'!$M:$M,'2026 P&amp;L'!$B:$B,$C31,'2026 P&amp;L'!$E:$E,W$2)</f>
        <v>0</v>
      </c>
      <c r="X31" s="349">
        <f>SUMIFS('2026 P&amp;L'!$M:$M,'2026 P&amp;L'!$B:$B,$C31,'2026 P&amp;L'!$E:$E,X$2)</f>
        <v>0</v>
      </c>
      <c r="Y31" s="42"/>
      <c r="Z31" s="42"/>
    </row>
    <row r="32" spans="1:26" ht="15.75" customHeight="1">
      <c r="A32" s="8" t="s">
        <v>183</v>
      </c>
      <c r="C32" s="332" t="s">
        <v>434</v>
      </c>
      <c r="D32" s="348">
        <v>462.64</v>
      </c>
      <c r="E32" s="348" t="s">
        <v>121</v>
      </c>
      <c r="F32" s="348">
        <f>SUMIFS('2025 FY P&amp;L'!B:B,'2025 FY P&amp;L'!$A:$A,$C32)</f>
        <v>399</v>
      </c>
      <c r="G32" s="348">
        <f t="shared" si="2"/>
        <v>300</v>
      </c>
      <c r="H32" s="349">
        <f>SUMIFS('2025 FY P&amp;L'!D:D,'2025 FY P&amp;L'!$A:$A,$C32)</f>
        <v>0</v>
      </c>
      <c r="I32" s="349">
        <f>SUMIFS('2025 FY P&amp;L'!E:E,'2025 FY P&amp;L'!$A:$A,$C32)</f>
        <v>0</v>
      </c>
      <c r="J32" s="349">
        <f>SUMIFS('2025 FY P&amp;L'!F:F,'2025 FY P&amp;L'!$A:$A,$C32)</f>
        <v>99</v>
      </c>
      <c r="K32" s="349">
        <f>SUMIFS('2025 FY P&amp;L'!G:G,'2025 FY P&amp;L'!$A:$A,$C32)</f>
        <v>0</v>
      </c>
      <c r="L32" s="349">
        <f>SUMIFS('2025 FY P&amp;L'!H:H,'2025 FY P&amp;L'!$A:$A,$C32)</f>
        <v>0</v>
      </c>
      <c r="M32" s="349">
        <f>SUMIFS('2025 FY P&amp;L'!I:I,'2025 FY P&amp;L'!$A:$A,$C32)</f>
        <v>300</v>
      </c>
      <c r="N32" s="349">
        <f>SUMIFS('2025 FY P&amp;L'!J:J,'2025 FY P&amp;L'!$A:$A,$C32)</f>
        <v>0</v>
      </c>
      <c r="O32" s="349">
        <f>SUMIFS('2025 FY P&amp;L'!K:K,'2025 FY P&amp;L'!$A:$A,$C32)</f>
        <v>0</v>
      </c>
      <c r="P32" s="349">
        <f>SUMIFS('2025 FY P&amp;L'!L:L,'2025 FY P&amp;L'!$A:$A,$C32)</f>
        <v>0</v>
      </c>
      <c r="Q32" s="349">
        <f>SUMIFS('2025 FY P&amp;L'!M:M,'2025 FY P&amp;L'!$A:$A,$C32)</f>
        <v>0</v>
      </c>
      <c r="R32" s="349">
        <f>SUMIFS('2025 FY P&amp;L'!N:N,'2025 FY P&amp;L'!$A:$A,$C32)</f>
        <v>0</v>
      </c>
      <c r="S32" s="349">
        <f>SUMIFS('2025 FY P&amp;L'!O:O,'2025 FY P&amp;L'!$A:$A,$C32)</f>
        <v>0</v>
      </c>
      <c r="T32" s="349">
        <f>SUMIFS('2026 P&amp;L'!$M:$M,'2026 P&amp;L'!$B:$B,$C32,'2026 P&amp;L'!$E:$E,T$2)</f>
        <v>0</v>
      </c>
      <c r="U32" s="349">
        <f>SUMIFS('2026 P&amp;L'!$M:$M,'2026 P&amp;L'!$B:$B,$C32,'2026 P&amp;L'!$E:$E,U$2)</f>
        <v>0</v>
      </c>
      <c r="V32" s="349">
        <f>SUMIFS('2026 P&amp;L'!$M:$M,'2026 P&amp;L'!$B:$B,$C32,'2026 P&amp;L'!$E:$E,V$2)</f>
        <v>0</v>
      </c>
      <c r="W32" s="349">
        <f>SUMIFS('2026 P&amp;L'!$M:$M,'2026 P&amp;L'!$B:$B,$C32,'2026 P&amp;L'!$E:$E,W$2)</f>
        <v>0</v>
      </c>
      <c r="X32" s="349">
        <f>SUMIFS('2026 P&amp;L'!$M:$M,'2026 P&amp;L'!$B:$B,$C32,'2026 P&amp;L'!$E:$E,X$2)</f>
        <v>0</v>
      </c>
      <c r="Y32" s="42"/>
      <c r="Z32" s="42"/>
    </row>
    <row r="33" spans="1:26" ht="15.75" customHeight="1">
      <c r="A33" s="8" t="s">
        <v>177</v>
      </c>
      <c r="C33" s="332" t="s">
        <v>461</v>
      </c>
      <c r="D33" s="348">
        <v>476.1</v>
      </c>
      <c r="E33" s="348">
        <v>1724.21</v>
      </c>
      <c r="F33" s="348">
        <f>SUMIFS('2025 FY P&amp;L'!B:B,'2025 FY P&amp;L'!$A:$A,$C33)</f>
        <v>1793.05</v>
      </c>
      <c r="G33" s="348">
        <f t="shared" si="2"/>
        <v>1749.6399999999999</v>
      </c>
      <c r="H33" s="349">
        <f>SUMIFS('2025 FY P&amp;L'!D:D,'2025 FY P&amp;L'!$A:$A,$C33)</f>
        <v>0</v>
      </c>
      <c r="I33" s="349">
        <f>SUMIFS('2025 FY P&amp;L'!E:E,'2025 FY P&amp;L'!$A:$A,$C33)</f>
        <v>43.41</v>
      </c>
      <c r="J33" s="349">
        <f>SUMIFS('2025 FY P&amp;L'!F:F,'2025 FY P&amp;L'!$A:$A,$C33)</f>
        <v>0</v>
      </c>
      <c r="K33" s="349">
        <f>SUMIFS('2025 FY P&amp;L'!G:G,'2025 FY P&amp;L'!$A:$A,$C33)</f>
        <v>0</v>
      </c>
      <c r="L33" s="349">
        <f>SUMIFS('2025 FY P&amp;L'!H:H,'2025 FY P&amp;L'!$A:$A,$C33)</f>
        <v>1109.8499999999999</v>
      </c>
      <c r="M33" s="349">
        <f>SUMIFS('2025 FY P&amp;L'!I:I,'2025 FY P&amp;L'!$A:$A,$C33)</f>
        <v>0</v>
      </c>
      <c r="N33" s="349">
        <f>SUMIFS('2025 FY P&amp;L'!J:J,'2025 FY P&amp;L'!$A:$A,$C33)</f>
        <v>0</v>
      </c>
      <c r="O33" s="349">
        <f>SUMIFS('2025 FY P&amp;L'!K:K,'2025 FY P&amp;L'!$A:$A,$C33)</f>
        <v>0</v>
      </c>
      <c r="P33" s="349">
        <f>SUMIFS('2025 FY P&amp;L'!L:L,'2025 FY P&amp;L'!$A:$A,$C33)</f>
        <v>0</v>
      </c>
      <c r="Q33" s="349">
        <f>SUMIFS('2025 FY P&amp;L'!M:M,'2025 FY P&amp;L'!$A:$A,$C33)</f>
        <v>0</v>
      </c>
      <c r="R33" s="349">
        <f>SUMIFS('2025 FY P&amp;L'!N:N,'2025 FY P&amp;L'!$A:$A,$C33)</f>
        <v>54.79</v>
      </c>
      <c r="S33" s="349">
        <f>SUMIFS('2025 FY P&amp;L'!O:O,'2025 FY P&amp;L'!$A:$A,$C33)</f>
        <v>585</v>
      </c>
      <c r="T33" s="349">
        <f>SUMIFS('2026 P&amp;L'!$M:$M,'2026 P&amp;L'!$B:$B,$C33,'2026 P&amp;L'!$E:$E,T$2)</f>
        <v>0</v>
      </c>
      <c r="U33" s="349">
        <f>SUMIFS('2026 P&amp;L'!$M:$M,'2026 P&amp;L'!$B:$B,$C33,'2026 P&amp;L'!$E:$E,U$2)</f>
        <v>0</v>
      </c>
      <c r="V33" s="349">
        <f>SUMIFS('2026 P&amp;L'!$M:$M,'2026 P&amp;L'!$B:$B,$C33,'2026 P&amp;L'!$E:$E,V$2)</f>
        <v>0</v>
      </c>
      <c r="W33" s="349">
        <f>SUMIFS('2026 P&amp;L'!$M:$M,'2026 P&amp;L'!$B:$B,$C33,'2026 P&amp;L'!$E:$E,W$2)</f>
        <v>0</v>
      </c>
      <c r="X33" s="349">
        <f>SUMIFS('2026 P&amp;L'!$M:$M,'2026 P&amp;L'!$B:$B,$C33,'2026 P&amp;L'!$E:$E,X$2)</f>
        <v>0</v>
      </c>
      <c r="Y33" s="42"/>
      <c r="Z33" s="42"/>
    </row>
    <row r="34" spans="1:26" ht="15.75" customHeight="1">
      <c r="A34" s="8" t="s">
        <v>170</v>
      </c>
      <c r="C34" s="332" t="s">
        <v>1273</v>
      </c>
      <c r="D34" s="348">
        <v>2650.46</v>
      </c>
      <c r="E34" s="348">
        <v>191.07</v>
      </c>
      <c r="F34" s="348">
        <f>SUMIFS('2025 FY P&amp;L'!B:B,'2025 FY P&amp;L'!$A:$A,$C34)</f>
        <v>76.81</v>
      </c>
      <c r="G34" s="348">
        <f t="shared" si="2"/>
        <v>0</v>
      </c>
      <c r="H34" s="349">
        <f>SUMIFS('2025 FY P&amp;L'!D:D,'2025 FY P&amp;L'!$A:$A,$C34)</f>
        <v>76.81</v>
      </c>
      <c r="I34" s="349">
        <f>SUMIFS('2025 FY P&amp;L'!E:E,'2025 FY P&amp;L'!$A:$A,$C34)</f>
        <v>0</v>
      </c>
      <c r="J34" s="349">
        <f>SUMIFS('2025 FY P&amp;L'!F:F,'2025 FY P&amp;L'!$A:$A,$C34)</f>
        <v>0</v>
      </c>
      <c r="K34" s="349">
        <f>SUMIFS('2025 FY P&amp;L'!G:G,'2025 FY P&amp;L'!$A:$A,$C34)</f>
        <v>0</v>
      </c>
      <c r="L34" s="349">
        <f>SUMIFS('2025 FY P&amp;L'!H:H,'2025 FY P&amp;L'!$A:$A,$C34)</f>
        <v>0</v>
      </c>
      <c r="M34" s="349">
        <f>SUMIFS('2025 FY P&amp;L'!I:I,'2025 FY P&amp;L'!$A:$A,$C34)</f>
        <v>0</v>
      </c>
      <c r="N34" s="349">
        <f>SUMIFS('2025 FY P&amp;L'!J:J,'2025 FY P&amp;L'!$A:$A,$C34)</f>
        <v>0</v>
      </c>
      <c r="O34" s="349">
        <f>SUMIFS('2025 FY P&amp;L'!K:K,'2025 FY P&amp;L'!$A:$A,$C34)</f>
        <v>0</v>
      </c>
      <c r="P34" s="349">
        <f>SUMIFS('2025 FY P&amp;L'!L:L,'2025 FY P&amp;L'!$A:$A,$C34)</f>
        <v>0</v>
      </c>
      <c r="Q34" s="349">
        <f>SUMIFS('2025 FY P&amp;L'!M:M,'2025 FY P&amp;L'!$A:$A,$C34)</f>
        <v>0</v>
      </c>
      <c r="R34" s="349">
        <f>SUMIFS('2025 FY P&amp;L'!N:N,'2025 FY P&amp;L'!$A:$A,$C34)</f>
        <v>0</v>
      </c>
      <c r="S34" s="349">
        <f>SUMIFS('2025 FY P&amp;L'!O:O,'2025 FY P&amp;L'!$A:$A,$C34)</f>
        <v>0</v>
      </c>
      <c r="T34" s="349">
        <f>SUMIFS('2026 P&amp;L'!$M:$M,'2026 P&amp;L'!$B:$B,$C34,'2026 P&amp;L'!$E:$E,T$2)</f>
        <v>0</v>
      </c>
      <c r="U34" s="349">
        <f>SUMIFS('2026 P&amp;L'!$M:$M,'2026 P&amp;L'!$B:$B,$C34,'2026 P&amp;L'!$E:$E,U$2)</f>
        <v>0</v>
      </c>
      <c r="V34" s="349">
        <f>SUMIFS('2026 P&amp;L'!$M:$M,'2026 P&amp;L'!$B:$B,$C34,'2026 P&amp;L'!$E:$E,V$2)</f>
        <v>0</v>
      </c>
      <c r="W34" s="349">
        <f>SUMIFS('2026 P&amp;L'!$M:$M,'2026 P&amp;L'!$B:$B,$C34,'2026 P&amp;L'!$E:$E,W$2)</f>
        <v>0</v>
      </c>
      <c r="X34" s="349">
        <f>SUMIFS('2026 P&amp;L'!$M:$M,'2026 P&amp;L'!$B:$B,$C34,'2026 P&amp;L'!$E:$E,X$2)</f>
        <v>0</v>
      </c>
      <c r="Y34" s="42"/>
      <c r="Z34" s="42"/>
    </row>
    <row r="35" spans="1:26" ht="15.75" customHeight="1">
      <c r="A35" s="8" t="s">
        <v>170</v>
      </c>
      <c r="C35" s="332" t="s">
        <v>1274</v>
      </c>
      <c r="D35" s="348">
        <v>976.21</v>
      </c>
      <c r="E35" s="348">
        <v>421.35</v>
      </c>
      <c r="F35" s="348">
        <f>SUMIFS('2025 FY P&amp;L'!B:B,'2025 FY P&amp;L'!$A:$A,$C35)</f>
        <v>1427.7</v>
      </c>
      <c r="G35" s="348">
        <f t="shared" si="2"/>
        <v>1343.7599999999998</v>
      </c>
      <c r="H35" s="349">
        <f>SUMIFS('2025 FY P&amp;L'!D:D,'2025 FY P&amp;L'!$A:$A,$C35)</f>
        <v>0</v>
      </c>
      <c r="I35" s="349">
        <f>SUMIFS('2025 FY P&amp;L'!E:E,'2025 FY P&amp;L'!$A:$A,$C35)</f>
        <v>0</v>
      </c>
      <c r="J35" s="349">
        <f>SUMIFS('2025 FY P&amp;L'!F:F,'2025 FY P&amp;L'!$A:$A,$C35)</f>
        <v>29.2</v>
      </c>
      <c r="K35" s="349">
        <f>SUMIFS('2025 FY P&amp;L'!G:G,'2025 FY P&amp;L'!$A:$A,$C35)</f>
        <v>54.74</v>
      </c>
      <c r="L35" s="349">
        <f>SUMIFS('2025 FY P&amp;L'!H:H,'2025 FY P&amp;L'!$A:$A,$C35)</f>
        <v>146</v>
      </c>
      <c r="M35" s="349">
        <f>SUMIFS('2025 FY P&amp;L'!I:I,'2025 FY P&amp;L'!$A:$A,$C35)</f>
        <v>91.06</v>
      </c>
      <c r="N35" s="349">
        <f>SUMIFS('2025 FY P&amp;L'!J:J,'2025 FY P&amp;L'!$A:$A,$C35)</f>
        <v>574.02</v>
      </c>
      <c r="O35" s="349">
        <f>SUMIFS('2025 FY P&amp;L'!K:K,'2025 FY P&amp;L'!$A:$A,$C35)</f>
        <v>532.67999999999995</v>
      </c>
      <c r="P35" s="349">
        <f>SUMIFS('2025 FY P&amp;L'!L:L,'2025 FY P&amp;L'!$A:$A,$C35)</f>
        <v>0</v>
      </c>
      <c r="Q35" s="349">
        <f>SUMIFS('2025 FY P&amp;L'!M:M,'2025 FY P&amp;L'!$A:$A,$C35)</f>
        <v>0</v>
      </c>
      <c r="R35" s="349">
        <f>SUMIFS('2025 FY P&amp;L'!N:N,'2025 FY P&amp;L'!$A:$A,$C35)</f>
        <v>0</v>
      </c>
      <c r="S35" s="349">
        <f>SUMIFS('2025 FY P&amp;L'!O:O,'2025 FY P&amp;L'!$A:$A,$C35)</f>
        <v>0</v>
      </c>
      <c r="T35" s="349">
        <f>SUMIFS('2026 P&amp;L'!$M:$M,'2026 P&amp;L'!$B:$B,$C35,'2026 P&amp;L'!$E:$E,T$2)</f>
        <v>0</v>
      </c>
      <c r="U35" s="349">
        <f>SUMIFS('2026 P&amp;L'!$M:$M,'2026 P&amp;L'!$B:$B,$C35,'2026 P&amp;L'!$E:$E,U$2)</f>
        <v>0</v>
      </c>
      <c r="V35" s="349">
        <f>SUMIFS('2026 P&amp;L'!$M:$M,'2026 P&amp;L'!$B:$B,$C35,'2026 P&amp;L'!$E:$E,V$2)</f>
        <v>0</v>
      </c>
      <c r="W35" s="349">
        <f>SUMIFS('2026 P&amp;L'!$M:$M,'2026 P&amp;L'!$B:$B,$C35,'2026 P&amp;L'!$E:$E,W$2)</f>
        <v>0</v>
      </c>
      <c r="X35" s="349">
        <f>SUMIFS('2026 P&amp;L'!$M:$M,'2026 P&amp;L'!$B:$B,$C35,'2026 P&amp;L'!$E:$E,X$2)</f>
        <v>0</v>
      </c>
      <c r="Y35" s="42"/>
      <c r="Z35" s="42"/>
    </row>
    <row r="36" spans="1:26" ht="15.75" customHeight="1">
      <c r="A36" s="8" t="s">
        <v>162</v>
      </c>
      <c r="C36" s="332" t="s">
        <v>436</v>
      </c>
      <c r="D36" s="348">
        <v>211615.47</v>
      </c>
      <c r="E36" s="348">
        <v>301013.83</v>
      </c>
      <c r="F36" s="348">
        <f>SUMIFS('2025 FY P&amp;L'!B:B,'2025 FY P&amp;L'!$A:$A,$C36)</f>
        <v>294474.92</v>
      </c>
      <c r="G36" s="352">
        <f t="shared" si="2"/>
        <v>320688.85000000003</v>
      </c>
      <c r="H36" s="349">
        <f>SUMIFS('2025 FY P&amp;L'!D:D,'2025 FY P&amp;L'!$A:$A,$C36)</f>
        <v>24187.69</v>
      </c>
      <c r="I36" s="349">
        <f>SUMIFS('2025 FY P&amp;L'!E:E,'2025 FY P&amp;L'!$A:$A,$C36)</f>
        <v>11931.35</v>
      </c>
      <c r="J36" s="349">
        <f>SUMIFS('2025 FY P&amp;L'!F:F,'2025 FY P&amp;L'!$A:$A,$C36)</f>
        <v>13754.41</v>
      </c>
      <c r="K36" s="349">
        <f>SUMIFS('2025 FY P&amp;L'!G:G,'2025 FY P&amp;L'!$A:$A,$C36)</f>
        <v>20904.259999999998</v>
      </c>
      <c r="L36" s="349">
        <f>SUMIFS('2025 FY P&amp;L'!H:H,'2025 FY P&amp;L'!$A:$A,$C36)</f>
        <v>22704.29</v>
      </c>
      <c r="M36" s="349">
        <f>SUMIFS('2025 FY P&amp;L'!I:I,'2025 FY P&amp;L'!$A:$A,$C36)</f>
        <v>29670.85</v>
      </c>
      <c r="N36" s="349">
        <f>SUMIFS('2025 FY P&amp;L'!J:J,'2025 FY P&amp;L'!$A:$A,$C36)</f>
        <v>33719.780000000006</v>
      </c>
      <c r="O36" s="349">
        <f>SUMIFS('2025 FY P&amp;L'!K:K,'2025 FY P&amp;L'!$A:$A,$C36)</f>
        <v>28894.449999999997</v>
      </c>
      <c r="P36" s="349">
        <f>SUMIFS('2025 FY P&amp;L'!L:L,'2025 FY P&amp;L'!$A:$A,$C36)</f>
        <v>27680.61</v>
      </c>
      <c r="Q36" s="349">
        <f>SUMIFS('2025 FY P&amp;L'!M:M,'2025 FY P&amp;L'!$A:$A,$C36)</f>
        <v>45938.33</v>
      </c>
      <c r="R36" s="349">
        <f>SUMIFS('2025 FY P&amp;L'!N:N,'2025 FY P&amp;L'!$A:$A,$C36)</f>
        <v>18860.54</v>
      </c>
      <c r="S36" s="349">
        <f>SUMIFS('2025 FY P&amp;L'!O:O,'2025 FY P&amp;L'!$A:$A,$C36)</f>
        <v>16228.36</v>
      </c>
      <c r="T36" s="349">
        <f>SUMIFS('2026 P&amp;L'!$M:$M,'2026 P&amp;L'!$B:$B,$C36,'2026 P&amp;L'!$E:$E,T$2)</f>
        <v>19681.219999999998</v>
      </c>
      <c r="U36" s="349">
        <f>SUMIFS('2026 P&amp;L'!$M:$M,'2026 P&amp;L'!$B:$B,$C36,'2026 P&amp;L'!$E:$E,U$2)</f>
        <v>22220.98</v>
      </c>
      <c r="V36" s="349">
        <f>SUMIFS('2026 P&amp;L'!$M:$M,'2026 P&amp;L'!$B:$B,$C36,'2026 P&amp;L'!$E:$E,V$2)</f>
        <v>25704.760000000002</v>
      </c>
      <c r="W36" s="349">
        <f>SUMIFS('2026 P&amp;L'!$M:$M,'2026 P&amp;L'!$B:$B,$C36,'2026 P&amp;L'!$E:$E,W$2)</f>
        <v>29384.68</v>
      </c>
      <c r="X36" s="349">
        <f>SUMIFS('2026 P&amp;L'!$M:$M,'2026 P&amp;L'!$B:$B,$C36,'2026 P&amp;L'!$E:$E,X$2)</f>
        <v>13647.62</v>
      </c>
      <c r="Y36" s="42"/>
      <c r="Z36" s="42"/>
    </row>
    <row r="37" spans="1:26" ht="15.75" customHeight="1">
      <c r="A37" s="8" t="s">
        <v>160</v>
      </c>
      <c r="C37" s="332" t="s">
        <v>1275</v>
      </c>
      <c r="D37" s="348">
        <v>1751.36</v>
      </c>
      <c r="E37" s="348" t="s">
        <v>121</v>
      </c>
      <c r="F37" s="348">
        <f>SUMIFS('2025 FY P&amp;L'!B:B,'2025 FY P&amp;L'!$A:$A,$C37)</f>
        <v>420.81</v>
      </c>
      <c r="G37" s="348">
        <f t="shared" si="2"/>
        <v>0</v>
      </c>
      <c r="H37" s="349">
        <f>SUMIFS('2025 FY P&amp;L'!D:D,'2025 FY P&amp;L'!$A:$A,$C37)</f>
        <v>0</v>
      </c>
      <c r="I37" s="349">
        <f>SUMIFS('2025 FY P&amp;L'!E:E,'2025 FY P&amp;L'!$A:$A,$C37)</f>
        <v>163.70999999999998</v>
      </c>
      <c r="J37" s="349">
        <f>SUMIFS('2025 FY P&amp;L'!F:F,'2025 FY P&amp;L'!$A:$A,$C37)</f>
        <v>169</v>
      </c>
      <c r="K37" s="349">
        <f>SUMIFS('2025 FY P&amp;L'!G:G,'2025 FY P&amp;L'!$A:$A,$C37)</f>
        <v>88.1</v>
      </c>
      <c r="L37" s="349">
        <f>SUMIFS('2025 FY P&amp;L'!H:H,'2025 FY P&amp;L'!$A:$A,$C37)</f>
        <v>0</v>
      </c>
      <c r="M37" s="349">
        <f>SUMIFS('2025 FY P&amp;L'!I:I,'2025 FY P&amp;L'!$A:$A,$C37)</f>
        <v>0</v>
      </c>
      <c r="N37" s="349">
        <f>SUMIFS('2025 FY P&amp;L'!J:J,'2025 FY P&amp;L'!$A:$A,$C37)</f>
        <v>0</v>
      </c>
      <c r="O37" s="349">
        <f>SUMIFS('2025 FY P&amp;L'!K:K,'2025 FY P&amp;L'!$A:$A,$C37)</f>
        <v>0</v>
      </c>
      <c r="P37" s="349">
        <f>SUMIFS('2025 FY P&amp;L'!L:L,'2025 FY P&amp;L'!$A:$A,$C37)</f>
        <v>0</v>
      </c>
      <c r="Q37" s="349">
        <f>SUMIFS('2025 FY P&amp;L'!M:M,'2025 FY P&amp;L'!$A:$A,$C37)</f>
        <v>0</v>
      </c>
      <c r="R37" s="349">
        <f>SUMIFS('2025 FY P&amp;L'!N:N,'2025 FY P&amp;L'!$A:$A,$C37)</f>
        <v>0</v>
      </c>
      <c r="S37" s="349">
        <f>SUMIFS('2025 FY P&amp;L'!O:O,'2025 FY P&amp;L'!$A:$A,$C37)</f>
        <v>0</v>
      </c>
      <c r="T37" s="349">
        <f>SUMIFS('2026 P&amp;L'!$M:$M,'2026 P&amp;L'!$B:$B,$C37,'2026 P&amp;L'!$E:$E,T$2)</f>
        <v>0</v>
      </c>
      <c r="U37" s="349">
        <f>SUMIFS('2026 P&amp;L'!$M:$M,'2026 P&amp;L'!$B:$B,$C37,'2026 P&amp;L'!$E:$E,U$2)</f>
        <v>0</v>
      </c>
      <c r="V37" s="349">
        <f>SUMIFS('2026 P&amp;L'!$M:$M,'2026 P&amp;L'!$B:$B,$C37,'2026 P&amp;L'!$E:$E,V$2)</f>
        <v>0</v>
      </c>
      <c r="W37" s="349">
        <f>SUMIFS('2026 P&amp;L'!$M:$M,'2026 P&amp;L'!$B:$B,$C37,'2026 P&amp;L'!$E:$E,W$2)</f>
        <v>0</v>
      </c>
      <c r="X37" s="349">
        <f>SUMIFS('2026 P&amp;L'!$M:$M,'2026 P&amp;L'!$B:$B,$C37,'2026 P&amp;L'!$E:$E,X$2)</f>
        <v>0</v>
      </c>
      <c r="Y37" s="42"/>
      <c r="Z37" s="42"/>
    </row>
    <row r="38" spans="1:26" ht="15.75" customHeight="1">
      <c r="A38" s="8" t="s">
        <v>160</v>
      </c>
      <c r="C38" s="332" t="s">
        <v>1276</v>
      </c>
      <c r="D38" s="348">
        <v>13549.33</v>
      </c>
      <c r="E38" s="348">
        <v>25300.7</v>
      </c>
      <c r="F38" s="348">
        <f>SUMIFS('2025 FY P&amp;L'!B:B,'2025 FY P&amp;L'!$A:$A,$C38)</f>
        <v>6671.16</v>
      </c>
      <c r="G38" s="348">
        <f t="shared" si="2"/>
        <v>0</v>
      </c>
      <c r="H38" s="349">
        <f>SUMIFS('2025 FY P&amp;L'!D:D,'2025 FY P&amp;L'!$A:$A,$C38)</f>
        <v>1195</v>
      </c>
      <c r="I38" s="349">
        <f>SUMIFS('2025 FY P&amp;L'!E:E,'2025 FY P&amp;L'!$A:$A,$C38)</f>
        <v>2030.14</v>
      </c>
      <c r="J38" s="349">
        <f>SUMIFS('2025 FY P&amp;L'!F:F,'2025 FY P&amp;L'!$A:$A,$C38)</f>
        <v>2199.87</v>
      </c>
      <c r="K38" s="349">
        <f>SUMIFS('2025 FY P&amp;L'!G:G,'2025 FY P&amp;L'!$A:$A,$C38)</f>
        <v>1246.1500000000001</v>
      </c>
      <c r="L38" s="349">
        <f>SUMIFS('2025 FY P&amp;L'!H:H,'2025 FY P&amp;L'!$A:$A,$C38)</f>
        <v>0</v>
      </c>
      <c r="M38" s="349">
        <f>SUMIFS('2025 FY P&amp;L'!I:I,'2025 FY P&amp;L'!$A:$A,$C38)</f>
        <v>0</v>
      </c>
      <c r="N38" s="349">
        <f>SUMIFS('2025 FY P&amp;L'!J:J,'2025 FY P&amp;L'!$A:$A,$C38)</f>
        <v>0</v>
      </c>
      <c r="O38" s="349">
        <f>SUMIFS('2025 FY P&amp;L'!K:K,'2025 FY P&amp;L'!$A:$A,$C38)</f>
        <v>0</v>
      </c>
      <c r="P38" s="349">
        <f>SUMIFS('2025 FY P&amp;L'!L:L,'2025 FY P&amp;L'!$A:$A,$C38)</f>
        <v>0</v>
      </c>
      <c r="Q38" s="349">
        <f>SUMIFS('2025 FY P&amp;L'!M:M,'2025 FY P&amp;L'!$A:$A,$C38)</f>
        <v>0</v>
      </c>
      <c r="R38" s="349">
        <f>SUMIFS('2025 FY P&amp;L'!N:N,'2025 FY P&amp;L'!$A:$A,$C38)</f>
        <v>0</v>
      </c>
      <c r="S38" s="349">
        <f>SUMIFS('2025 FY P&amp;L'!O:O,'2025 FY P&amp;L'!$A:$A,$C38)</f>
        <v>0</v>
      </c>
      <c r="T38" s="349">
        <f>SUMIFS('2026 P&amp;L'!$M:$M,'2026 P&amp;L'!$B:$B,$C38,'2026 P&amp;L'!$E:$E,T$2)</f>
        <v>0</v>
      </c>
      <c r="U38" s="349">
        <f>SUMIFS('2026 P&amp;L'!$M:$M,'2026 P&amp;L'!$B:$B,$C38,'2026 P&amp;L'!$E:$E,U$2)</f>
        <v>0</v>
      </c>
      <c r="V38" s="349">
        <f>SUMIFS('2026 P&amp;L'!$M:$M,'2026 P&amp;L'!$B:$B,$C38,'2026 P&amp;L'!$E:$E,V$2)</f>
        <v>0</v>
      </c>
      <c r="W38" s="349">
        <f>SUMIFS('2026 P&amp;L'!$M:$M,'2026 P&amp;L'!$B:$B,$C38,'2026 P&amp;L'!$E:$E,W$2)</f>
        <v>0</v>
      </c>
      <c r="X38" s="349">
        <f>SUMIFS('2026 P&amp;L'!$M:$M,'2026 P&amp;L'!$B:$B,$C38,'2026 P&amp;L'!$E:$E,X$2)</f>
        <v>0</v>
      </c>
      <c r="Y38" s="42"/>
      <c r="Z38" s="42"/>
    </row>
    <row r="39" spans="1:26" ht="15.75" customHeight="1">
      <c r="A39" s="8" t="s">
        <v>166</v>
      </c>
      <c r="C39" s="332" t="s">
        <v>1277</v>
      </c>
      <c r="D39" s="348">
        <v>1300</v>
      </c>
      <c r="E39" s="348" t="s">
        <v>121</v>
      </c>
      <c r="F39" s="348">
        <f>SUMIFS('2025 FY P&amp;L'!B:B,'2025 FY P&amp;L'!$A:$A,$C39)</f>
        <v>0</v>
      </c>
      <c r="G39" s="348">
        <f t="shared" si="2"/>
        <v>0</v>
      </c>
      <c r="H39" s="349">
        <f>SUMIFS('2025 FY P&amp;L'!D:D,'2025 FY P&amp;L'!$A:$A,$C39)</f>
        <v>0</v>
      </c>
      <c r="I39" s="349">
        <f>SUMIFS('2025 FY P&amp;L'!E:E,'2025 FY P&amp;L'!$A:$A,$C39)</f>
        <v>0</v>
      </c>
      <c r="J39" s="349">
        <f>SUMIFS('2025 FY P&amp;L'!F:F,'2025 FY P&amp;L'!$A:$A,$C39)</f>
        <v>0</v>
      </c>
      <c r="K39" s="349">
        <f>SUMIFS('2025 FY P&amp;L'!G:G,'2025 FY P&amp;L'!$A:$A,$C39)</f>
        <v>0</v>
      </c>
      <c r="L39" s="349">
        <f>SUMIFS('2025 FY P&amp;L'!H:H,'2025 FY P&amp;L'!$A:$A,$C39)</f>
        <v>0</v>
      </c>
      <c r="M39" s="349">
        <f>SUMIFS('2025 FY P&amp;L'!I:I,'2025 FY P&amp;L'!$A:$A,$C39)</f>
        <v>0</v>
      </c>
      <c r="N39" s="349">
        <f>SUMIFS('2025 FY P&amp;L'!J:J,'2025 FY P&amp;L'!$A:$A,$C39)</f>
        <v>0</v>
      </c>
      <c r="O39" s="349">
        <f>SUMIFS('2025 FY P&amp;L'!K:K,'2025 FY P&amp;L'!$A:$A,$C39)</f>
        <v>0</v>
      </c>
      <c r="P39" s="349">
        <f>SUMIFS('2025 FY P&amp;L'!L:L,'2025 FY P&amp;L'!$A:$A,$C39)</f>
        <v>0</v>
      </c>
      <c r="Q39" s="349">
        <f>SUMIFS('2025 FY P&amp;L'!M:M,'2025 FY P&amp;L'!$A:$A,$C39)</f>
        <v>0</v>
      </c>
      <c r="R39" s="349">
        <f>SUMIFS('2025 FY P&amp;L'!N:N,'2025 FY P&amp;L'!$A:$A,$C39)</f>
        <v>0</v>
      </c>
      <c r="S39" s="349">
        <f>SUMIFS('2025 FY P&amp;L'!O:O,'2025 FY P&amp;L'!$A:$A,$C39)</f>
        <v>0</v>
      </c>
      <c r="T39" s="349">
        <f>SUMIFS('2026 P&amp;L'!$M:$M,'2026 P&amp;L'!$B:$B,$C39,'2026 P&amp;L'!$E:$E,T$2)</f>
        <v>0</v>
      </c>
      <c r="U39" s="349">
        <f>SUMIFS('2026 P&amp;L'!$M:$M,'2026 P&amp;L'!$B:$B,$C39,'2026 P&amp;L'!$E:$E,U$2)</f>
        <v>0</v>
      </c>
      <c r="V39" s="349">
        <f>SUMIFS('2026 P&amp;L'!$M:$M,'2026 P&amp;L'!$B:$B,$C39,'2026 P&amp;L'!$E:$E,V$2)</f>
        <v>0</v>
      </c>
      <c r="W39" s="349">
        <f>SUMIFS('2026 P&amp;L'!$M:$M,'2026 P&amp;L'!$B:$B,$C39,'2026 P&amp;L'!$E:$E,W$2)</f>
        <v>0</v>
      </c>
      <c r="X39" s="349">
        <f>SUMIFS('2026 P&amp;L'!$M:$M,'2026 P&amp;L'!$B:$B,$C39,'2026 P&amp;L'!$E:$E,X$2)</f>
        <v>0</v>
      </c>
      <c r="Y39" s="42"/>
      <c r="Z39" s="42"/>
    </row>
    <row r="40" spans="1:26" ht="15.75" customHeight="1">
      <c r="A40" s="8" t="s">
        <v>183</v>
      </c>
      <c r="C40" s="332" t="s">
        <v>1278</v>
      </c>
      <c r="D40" s="348">
        <v>85.2</v>
      </c>
      <c r="E40" s="348">
        <v>35.74</v>
      </c>
      <c r="F40" s="348">
        <f>SUMIFS('2025 FY P&amp;L'!B:B,'2025 FY P&amp;L'!$A:$A,$C40)</f>
        <v>0</v>
      </c>
      <c r="G40" s="348">
        <f t="shared" si="2"/>
        <v>0</v>
      </c>
      <c r="H40" s="349">
        <f>SUMIFS('2025 FY P&amp;L'!D:D,'2025 FY P&amp;L'!$A:$A,$C40)</f>
        <v>0</v>
      </c>
      <c r="I40" s="349">
        <f>SUMIFS('2025 FY P&amp;L'!E:E,'2025 FY P&amp;L'!$A:$A,$C40)</f>
        <v>0</v>
      </c>
      <c r="J40" s="349">
        <f>SUMIFS('2025 FY P&amp;L'!F:F,'2025 FY P&amp;L'!$A:$A,$C40)</f>
        <v>0</v>
      </c>
      <c r="K40" s="349">
        <f>SUMIFS('2025 FY P&amp;L'!G:G,'2025 FY P&amp;L'!$A:$A,$C40)</f>
        <v>0</v>
      </c>
      <c r="L40" s="349">
        <f>SUMIFS('2025 FY P&amp;L'!H:H,'2025 FY P&amp;L'!$A:$A,$C40)</f>
        <v>0</v>
      </c>
      <c r="M40" s="349">
        <f>SUMIFS('2025 FY P&amp;L'!I:I,'2025 FY P&amp;L'!$A:$A,$C40)</f>
        <v>0</v>
      </c>
      <c r="N40" s="349">
        <f>SUMIFS('2025 FY P&amp;L'!J:J,'2025 FY P&amp;L'!$A:$A,$C40)</f>
        <v>0</v>
      </c>
      <c r="O40" s="349">
        <f>SUMIFS('2025 FY P&amp;L'!K:K,'2025 FY P&amp;L'!$A:$A,$C40)</f>
        <v>0</v>
      </c>
      <c r="P40" s="349">
        <f>SUMIFS('2025 FY P&amp;L'!L:L,'2025 FY P&amp;L'!$A:$A,$C40)</f>
        <v>0</v>
      </c>
      <c r="Q40" s="349">
        <f>SUMIFS('2025 FY P&amp;L'!M:M,'2025 FY P&amp;L'!$A:$A,$C40)</f>
        <v>0</v>
      </c>
      <c r="R40" s="349">
        <f>SUMIFS('2025 FY P&amp;L'!N:N,'2025 FY P&amp;L'!$A:$A,$C40)</f>
        <v>0</v>
      </c>
      <c r="S40" s="349">
        <f>SUMIFS('2025 FY P&amp;L'!O:O,'2025 FY P&amp;L'!$A:$A,$C40)</f>
        <v>0</v>
      </c>
      <c r="T40" s="349">
        <f>SUMIFS('2026 P&amp;L'!$M:$M,'2026 P&amp;L'!$B:$B,$C40,'2026 P&amp;L'!$E:$E,T$2)</f>
        <v>0</v>
      </c>
      <c r="U40" s="349">
        <f>SUMIFS('2026 P&amp;L'!$M:$M,'2026 P&amp;L'!$B:$B,$C40,'2026 P&amp;L'!$E:$E,U$2)</f>
        <v>0</v>
      </c>
      <c r="V40" s="349">
        <f>SUMIFS('2026 P&amp;L'!$M:$M,'2026 P&amp;L'!$B:$B,$C40,'2026 P&amp;L'!$E:$E,V$2)</f>
        <v>0</v>
      </c>
      <c r="W40" s="349">
        <f>SUMIFS('2026 P&amp;L'!$M:$M,'2026 P&amp;L'!$B:$B,$C40,'2026 P&amp;L'!$E:$E,W$2)</f>
        <v>0</v>
      </c>
      <c r="X40" s="349">
        <f>SUMIFS('2026 P&amp;L'!$M:$M,'2026 P&amp;L'!$B:$B,$C40,'2026 P&amp;L'!$E:$E,X$2)</f>
        <v>0</v>
      </c>
      <c r="Y40" s="42"/>
      <c r="Z40" s="42"/>
    </row>
    <row r="41" spans="1:26" ht="15.75" customHeight="1">
      <c r="A41" s="8" t="s">
        <v>178</v>
      </c>
      <c r="C41" s="332" t="s">
        <v>441</v>
      </c>
      <c r="D41" s="348">
        <v>2976.39</v>
      </c>
      <c r="E41" s="348">
        <v>3490.65</v>
      </c>
      <c r="F41" s="348">
        <f>SUMIFS('2025 FY P&amp;L'!B:B,'2025 FY P&amp;L'!$A:$A,$C41)</f>
        <v>13386.33</v>
      </c>
      <c r="G41" s="348">
        <f t="shared" si="2"/>
        <v>12963.71</v>
      </c>
      <c r="H41" s="349">
        <f>SUMIFS('2025 FY P&amp;L'!D:D,'2025 FY P&amp;L'!$A:$A,$C41)</f>
        <v>0</v>
      </c>
      <c r="I41" s="349">
        <f>SUMIFS('2025 FY P&amp;L'!E:E,'2025 FY P&amp;L'!$A:$A,$C41)</f>
        <v>900</v>
      </c>
      <c r="J41" s="349">
        <f>SUMIFS('2025 FY P&amp;L'!F:F,'2025 FY P&amp;L'!$A:$A,$C41)</f>
        <v>1000</v>
      </c>
      <c r="K41" s="349">
        <f>SUMIFS('2025 FY P&amp;L'!G:G,'2025 FY P&amp;L'!$A:$A,$C41)</f>
        <v>0</v>
      </c>
      <c r="L41" s="349">
        <f>SUMIFS('2025 FY P&amp;L'!H:H,'2025 FY P&amp;L'!$A:$A,$C41)</f>
        <v>0</v>
      </c>
      <c r="M41" s="349">
        <f>SUMIFS('2025 FY P&amp;L'!I:I,'2025 FY P&amp;L'!$A:$A,$C41)</f>
        <v>2116.25</v>
      </c>
      <c r="N41" s="349">
        <f>SUMIFS('2025 FY P&amp;L'!J:J,'2025 FY P&amp;L'!$A:$A,$C41)</f>
        <v>0</v>
      </c>
      <c r="O41" s="349">
        <f>SUMIFS('2025 FY P&amp;L'!K:K,'2025 FY P&amp;L'!$A:$A,$C41)</f>
        <v>0</v>
      </c>
      <c r="P41" s="349">
        <f>SUMIFS('2025 FY P&amp;L'!L:L,'2025 FY P&amp;L'!$A:$A,$C41)</f>
        <v>5317.58</v>
      </c>
      <c r="Q41" s="349">
        <f>SUMIFS('2025 FY P&amp;L'!M:M,'2025 FY P&amp;L'!$A:$A,$C41)</f>
        <v>0</v>
      </c>
      <c r="R41" s="349">
        <f>SUMIFS('2025 FY P&amp;L'!N:N,'2025 FY P&amp;L'!$A:$A,$C41)</f>
        <v>4000</v>
      </c>
      <c r="S41" s="349">
        <f>SUMIFS('2025 FY P&amp;L'!O:O,'2025 FY P&amp;L'!$A:$A,$C41)</f>
        <v>52.5</v>
      </c>
      <c r="T41" s="349">
        <f>SUMIFS('2026 P&amp;L'!$M:$M,'2026 P&amp;L'!$B:$B,$C41,'2026 P&amp;L'!$E:$E,T$2)</f>
        <v>291.63</v>
      </c>
      <c r="U41" s="349">
        <f>SUMIFS('2026 P&amp;L'!$M:$M,'2026 P&amp;L'!$B:$B,$C41,'2026 P&amp;L'!$E:$E,U$2)</f>
        <v>0</v>
      </c>
      <c r="V41" s="349">
        <f>SUMIFS('2026 P&amp;L'!$M:$M,'2026 P&amp;L'!$B:$B,$C41,'2026 P&amp;L'!$E:$E,V$2)</f>
        <v>957.5</v>
      </c>
      <c r="W41" s="349">
        <f>SUMIFS('2026 P&amp;L'!$M:$M,'2026 P&amp;L'!$B:$B,$C41,'2026 P&amp;L'!$E:$E,W$2)</f>
        <v>228.25</v>
      </c>
      <c r="X41" s="349">
        <f>SUMIFS('2026 P&amp;L'!$M:$M,'2026 P&amp;L'!$B:$B,$C41,'2026 P&amp;L'!$E:$E,X$2)</f>
        <v>450</v>
      </c>
      <c r="Y41" s="42"/>
      <c r="Z41" s="42"/>
    </row>
    <row r="42" spans="1:26" ht="15.75" customHeight="1">
      <c r="A42" s="8" t="s">
        <v>174</v>
      </c>
      <c r="C42" s="332" t="s">
        <v>1279</v>
      </c>
      <c r="D42" s="348" t="s">
        <v>121</v>
      </c>
      <c r="E42" s="348">
        <v>5131</v>
      </c>
      <c r="F42" s="348">
        <f>SUMIFS('2025 FY P&amp;L'!B:B,'2025 FY P&amp;L'!$A:$A,$C42)</f>
        <v>6745</v>
      </c>
      <c r="G42" s="348">
        <f t="shared" si="2"/>
        <v>13363</v>
      </c>
      <c r="H42" s="349">
        <f>SUMIFS('2025 FY P&amp;L'!D:D,'2025 FY P&amp;L'!$A:$A,$C42)</f>
        <v>0</v>
      </c>
      <c r="I42" s="349">
        <f>SUMIFS('2025 FY P&amp;L'!E:E,'2025 FY P&amp;L'!$A:$A,$C42)</f>
        <v>0</v>
      </c>
      <c r="J42" s="349">
        <f>SUMIFS('2025 FY P&amp;L'!F:F,'2025 FY P&amp;L'!$A:$A,$C42)</f>
        <v>0</v>
      </c>
      <c r="K42" s="349">
        <f>SUMIFS('2025 FY P&amp;L'!G:G,'2025 FY P&amp;L'!$A:$A,$C42)</f>
        <v>0</v>
      </c>
      <c r="L42" s="349">
        <f>SUMIFS('2025 FY P&amp;L'!H:H,'2025 FY P&amp;L'!$A:$A,$C42)</f>
        <v>6745</v>
      </c>
      <c r="M42" s="349">
        <f>SUMIFS('2025 FY P&amp;L'!I:I,'2025 FY P&amp;L'!$A:$A,$C42)</f>
        <v>0</v>
      </c>
      <c r="N42" s="349">
        <f>SUMIFS('2025 FY P&amp;L'!J:J,'2025 FY P&amp;L'!$A:$A,$C42)</f>
        <v>0</v>
      </c>
      <c r="O42" s="349">
        <f>SUMIFS('2025 FY P&amp;L'!K:K,'2025 FY P&amp;L'!$A:$A,$C42)</f>
        <v>0</v>
      </c>
      <c r="P42" s="349">
        <f>SUMIFS('2025 FY P&amp;L'!L:L,'2025 FY P&amp;L'!$A:$A,$C42)</f>
        <v>0</v>
      </c>
      <c r="Q42" s="349">
        <f>SUMIFS('2025 FY P&amp;L'!M:M,'2025 FY P&amp;L'!$A:$A,$C42)</f>
        <v>0</v>
      </c>
      <c r="R42" s="349">
        <f>SUMIFS('2025 FY P&amp;L'!N:N,'2025 FY P&amp;L'!$A:$A,$C42)</f>
        <v>0</v>
      </c>
      <c r="S42" s="349">
        <f>SUMIFS('2025 FY P&amp;L'!O:O,'2025 FY P&amp;L'!$A:$A,$C42)</f>
        <v>0</v>
      </c>
      <c r="T42" s="349">
        <f>SUMIFS('2026 P&amp;L'!$M:$M,'2026 P&amp;L'!$B:$B,$C42,'2026 P&amp;L'!$E:$E,T$2)</f>
        <v>0</v>
      </c>
      <c r="U42" s="349">
        <f>SUMIFS('2026 P&amp;L'!$M:$M,'2026 P&amp;L'!$B:$B,$C42,'2026 P&amp;L'!$E:$E,U$2)</f>
        <v>0</v>
      </c>
      <c r="V42" s="349">
        <f>SUMIFS('2026 P&amp;L'!$M:$M,'2026 P&amp;L'!$B:$B,$C42,'2026 P&amp;L'!$E:$E,V$2)</f>
        <v>6618</v>
      </c>
      <c r="W42" s="349">
        <f>SUMIFS('2026 P&amp;L'!$M:$M,'2026 P&amp;L'!$B:$B,$C42,'2026 P&amp;L'!$E:$E,W$2)</f>
        <v>0</v>
      </c>
      <c r="X42" s="349">
        <f>SUMIFS('2026 P&amp;L'!$M:$M,'2026 P&amp;L'!$B:$B,$C42,'2026 P&amp;L'!$E:$E,X$2)</f>
        <v>0</v>
      </c>
      <c r="Y42" s="42"/>
      <c r="Z42" s="42"/>
    </row>
    <row r="43" spans="1:26" ht="15.75" customHeight="1">
      <c r="A43" s="8" t="s">
        <v>181</v>
      </c>
      <c r="C43" s="332" t="s">
        <v>1280</v>
      </c>
      <c r="D43" s="348" t="s">
        <v>121</v>
      </c>
      <c r="E43" s="348" t="s">
        <v>121</v>
      </c>
      <c r="F43" s="348">
        <f>SUMIFS('2025 FY P&amp;L'!B:B,'2025 FY P&amp;L'!$A:$A,$C43)</f>
        <v>16</v>
      </c>
      <c r="G43" s="348">
        <f t="shared" si="2"/>
        <v>0</v>
      </c>
      <c r="H43" s="349">
        <f>SUMIFS('2025 FY P&amp;L'!D:D,'2025 FY P&amp;L'!$A:$A,$C43)</f>
        <v>0</v>
      </c>
      <c r="I43" s="349">
        <f>SUMIFS('2025 FY P&amp;L'!E:E,'2025 FY P&amp;L'!$A:$A,$C43)</f>
        <v>16</v>
      </c>
      <c r="J43" s="349">
        <f>SUMIFS('2025 FY P&amp;L'!F:F,'2025 FY P&amp;L'!$A:$A,$C43)</f>
        <v>0</v>
      </c>
      <c r="K43" s="349">
        <f>SUMIFS('2025 FY P&amp;L'!G:G,'2025 FY P&amp;L'!$A:$A,$C43)</f>
        <v>0</v>
      </c>
      <c r="L43" s="349">
        <f>SUMIFS('2025 FY P&amp;L'!H:H,'2025 FY P&amp;L'!$A:$A,$C43)</f>
        <v>0</v>
      </c>
      <c r="M43" s="349">
        <f>SUMIFS('2025 FY P&amp;L'!I:I,'2025 FY P&amp;L'!$A:$A,$C43)</f>
        <v>0</v>
      </c>
      <c r="N43" s="349">
        <f>SUMIFS('2025 FY P&amp;L'!J:J,'2025 FY P&amp;L'!$A:$A,$C43)</f>
        <v>0</v>
      </c>
      <c r="O43" s="349">
        <f>SUMIFS('2025 FY P&amp;L'!K:K,'2025 FY P&amp;L'!$A:$A,$C43)</f>
        <v>0</v>
      </c>
      <c r="P43" s="349">
        <f>SUMIFS('2025 FY P&amp;L'!L:L,'2025 FY P&amp;L'!$A:$A,$C43)</f>
        <v>0</v>
      </c>
      <c r="Q43" s="349">
        <f>SUMIFS('2025 FY P&amp;L'!M:M,'2025 FY P&amp;L'!$A:$A,$C43)</f>
        <v>0</v>
      </c>
      <c r="R43" s="349">
        <f>SUMIFS('2025 FY P&amp;L'!N:N,'2025 FY P&amp;L'!$A:$A,$C43)</f>
        <v>0</v>
      </c>
      <c r="S43" s="349">
        <f>SUMIFS('2025 FY P&amp;L'!O:O,'2025 FY P&amp;L'!$A:$A,$C43)</f>
        <v>0</v>
      </c>
      <c r="T43" s="349">
        <f>SUMIFS('2026 P&amp;L'!$M:$M,'2026 P&amp;L'!$B:$B,$C43,'2026 P&amp;L'!$E:$E,T$2)</f>
        <v>0</v>
      </c>
      <c r="U43" s="349">
        <f>SUMIFS('2026 P&amp;L'!$M:$M,'2026 P&amp;L'!$B:$B,$C43,'2026 P&amp;L'!$E:$E,U$2)</f>
        <v>0</v>
      </c>
      <c r="V43" s="349">
        <f>SUMIFS('2026 P&amp;L'!$M:$M,'2026 P&amp;L'!$B:$B,$C43,'2026 P&amp;L'!$E:$E,V$2)</f>
        <v>0</v>
      </c>
      <c r="W43" s="349">
        <f>SUMIFS('2026 P&amp;L'!$M:$M,'2026 P&amp;L'!$B:$B,$C43,'2026 P&amp;L'!$E:$E,W$2)</f>
        <v>0</v>
      </c>
      <c r="X43" s="349">
        <f>SUMIFS('2026 P&amp;L'!$M:$M,'2026 P&amp;L'!$B:$B,$C43,'2026 P&amp;L'!$E:$E,X$2)</f>
        <v>0</v>
      </c>
      <c r="Y43" s="42"/>
      <c r="Z43" s="42"/>
    </row>
    <row r="44" spans="1:26" ht="15.75" customHeight="1">
      <c r="A44" s="8" t="s">
        <v>183</v>
      </c>
      <c r="C44" s="332" t="s">
        <v>1281</v>
      </c>
      <c r="D44" s="348">
        <v>0</v>
      </c>
      <c r="E44" s="348" t="s">
        <v>121</v>
      </c>
      <c r="F44" s="348">
        <f>SUMIFS('2025 FY P&amp;L'!B:B,'2025 FY P&amp;L'!$A:$A,$C44)</f>
        <v>0</v>
      </c>
      <c r="G44" s="348">
        <f t="shared" si="2"/>
        <v>0</v>
      </c>
      <c r="H44" s="349">
        <f>SUMIFS('2025 FY P&amp;L'!D:D,'2025 FY P&amp;L'!$A:$A,$C44)</f>
        <v>0</v>
      </c>
      <c r="I44" s="349">
        <f>SUMIFS('2025 FY P&amp;L'!E:E,'2025 FY P&amp;L'!$A:$A,$C44)</f>
        <v>0</v>
      </c>
      <c r="J44" s="349">
        <f>SUMIFS('2025 FY P&amp;L'!F:F,'2025 FY P&amp;L'!$A:$A,$C44)</f>
        <v>0</v>
      </c>
      <c r="K44" s="349">
        <f>SUMIFS('2025 FY P&amp;L'!G:G,'2025 FY P&amp;L'!$A:$A,$C44)</f>
        <v>0</v>
      </c>
      <c r="L44" s="349">
        <f>SUMIFS('2025 FY P&amp;L'!H:H,'2025 FY P&amp;L'!$A:$A,$C44)</f>
        <v>0</v>
      </c>
      <c r="M44" s="349">
        <f>SUMIFS('2025 FY P&amp;L'!I:I,'2025 FY P&amp;L'!$A:$A,$C44)</f>
        <v>0</v>
      </c>
      <c r="N44" s="349">
        <f>SUMIFS('2025 FY P&amp;L'!J:J,'2025 FY P&amp;L'!$A:$A,$C44)</f>
        <v>0</v>
      </c>
      <c r="O44" s="349">
        <f>SUMIFS('2025 FY P&amp;L'!K:K,'2025 FY P&amp;L'!$A:$A,$C44)</f>
        <v>0</v>
      </c>
      <c r="P44" s="349">
        <f>SUMIFS('2025 FY P&amp;L'!L:L,'2025 FY P&amp;L'!$A:$A,$C44)</f>
        <v>0</v>
      </c>
      <c r="Q44" s="349">
        <f>SUMIFS('2025 FY P&amp;L'!M:M,'2025 FY P&amp;L'!$A:$A,$C44)</f>
        <v>0</v>
      </c>
      <c r="R44" s="349">
        <f>SUMIFS('2025 FY P&amp;L'!N:N,'2025 FY P&amp;L'!$A:$A,$C44)</f>
        <v>0</v>
      </c>
      <c r="S44" s="349">
        <f>SUMIFS('2025 FY P&amp;L'!O:O,'2025 FY P&amp;L'!$A:$A,$C44)</f>
        <v>0</v>
      </c>
      <c r="T44" s="349">
        <f>SUMIFS('2026 P&amp;L'!$M:$M,'2026 P&amp;L'!$B:$B,$C44,'2026 P&amp;L'!$E:$E,T$2)</f>
        <v>0</v>
      </c>
      <c r="U44" s="349">
        <f>SUMIFS('2026 P&amp;L'!$M:$M,'2026 P&amp;L'!$B:$B,$C44,'2026 P&amp;L'!$E:$E,U$2)</f>
        <v>0</v>
      </c>
      <c r="V44" s="349">
        <f>SUMIFS('2026 P&amp;L'!$M:$M,'2026 P&amp;L'!$B:$B,$C44,'2026 P&amp;L'!$E:$E,V$2)</f>
        <v>0</v>
      </c>
      <c r="W44" s="349">
        <f>SUMIFS('2026 P&amp;L'!$M:$M,'2026 P&amp;L'!$B:$B,$C44,'2026 P&amp;L'!$E:$E,W$2)</f>
        <v>0</v>
      </c>
      <c r="X44" s="349">
        <f>SUMIFS('2026 P&amp;L'!$M:$M,'2026 P&amp;L'!$B:$B,$C44,'2026 P&amp;L'!$E:$E,X$2)</f>
        <v>0</v>
      </c>
      <c r="Y44" s="42"/>
      <c r="Z44" s="42"/>
    </row>
    <row r="45" spans="1:26" ht="15.75" customHeight="1">
      <c r="A45" s="8" t="s">
        <v>183</v>
      </c>
      <c r="C45" s="332" t="s">
        <v>456</v>
      </c>
      <c r="D45" s="348">
        <v>16823.98</v>
      </c>
      <c r="E45" s="348">
        <v>14389.44</v>
      </c>
      <c r="F45" s="348">
        <f>SUMIFS('2025 FY P&amp;L'!B:B,'2025 FY P&amp;L'!$A:$A,$C45)</f>
        <v>36780.39</v>
      </c>
      <c r="G45" s="348">
        <f t="shared" si="2"/>
        <v>36584.870000000003</v>
      </c>
      <c r="H45" s="349">
        <f>SUMIFS('2025 FY P&amp;L'!D:D,'2025 FY P&amp;L'!$A:$A,$C45)</f>
        <v>0</v>
      </c>
      <c r="I45" s="349">
        <f>SUMIFS('2025 FY P&amp;L'!E:E,'2025 FY P&amp;L'!$A:$A,$C45)</f>
        <v>876.99</v>
      </c>
      <c r="J45" s="349">
        <f>SUMIFS('2025 FY P&amp;L'!F:F,'2025 FY P&amp;L'!$A:$A,$C45)</f>
        <v>9023.48</v>
      </c>
      <c r="K45" s="349">
        <f>SUMIFS('2025 FY P&amp;L'!G:G,'2025 FY P&amp;L'!$A:$A,$C45)</f>
        <v>1571.3899999999999</v>
      </c>
      <c r="L45" s="349">
        <f>SUMIFS('2025 FY P&amp;L'!H:H,'2025 FY P&amp;L'!$A:$A,$C45)</f>
        <v>1702.9299999999998</v>
      </c>
      <c r="M45" s="349">
        <f>SUMIFS('2025 FY P&amp;L'!I:I,'2025 FY P&amp;L'!$A:$A,$C45)</f>
        <v>265.56</v>
      </c>
      <c r="N45" s="349">
        <f>SUMIFS('2025 FY P&amp;L'!J:J,'2025 FY P&amp;L'!$A:$A,$C45)</f>
        <v>11280</v>
      </c>
      <c r="O45" s="349">
        <f>SUMIFS('2025 FY P&amp;L'!K:K,'2025 FY P&amp;L'!$A:$A,$C45)</f>
        <v>6218.13</v>
      </c>
      <c r="P45" s="349">
        <f>SUMIFS('2025 FY P&amp;L'!L:L,'2025 FY P&amp;L'!$A:$A,$C45)</f>
        <v>1141.6100000000001</v>
      </c>
      <c r="Q45" s="349">
        <f>SUMIFS('2025 FY P&amp;L'!M:M,'2025 FY P&amp;L'!$A:$A,$C45)</f>
        <v>3902.3199999999997</v>
      </c>
      <c r="R45" s="349">
        <f>SUMIFS('2025 FY P&amp;L'!N:N,'2025 FY P&amp;L'!$A:$A,$C45)</f>
        <v>531.21</v>
      </c>
      <c r="S45" s="349">
        <f>SUMIFS('2025 FY P&amp;L'!O:O,'2025 FY P&amp;L'!$A:$A,$C45)</f>
        <v>266.77</v>
      </c>
      <c r="T45" s="349">
        <f>SUMIFS('2026 P&amp;L'!$M:$M,'2026 P&amp;L'!$B:$B,$C45,'2026 P&amp;L'!$E:$E,T$2)</f>
        <v>0</v>
      </c>
      <c r="U45" s="349">
        <f>SUMIFS('2026 P&amp;L'!$M:$M,'2026 P&amp;L'!$B:$B,$C45,'2026 P&amp;L'!$E:$E,U$2)</f>
        <v>5966.9</v>
      </c>
      <c r="V45" s="349">
        <f>SUMIFS('2026 P&amp;L'!$M:$M,'2026 P&amp;L'!$B:$B,$C45,'2026 P&amp;L'!$E:$E,V$2)</f>
        <v>3400</v>
      </c>
      <c r="W45" s="349">
        <f>SUMIFS('2026 P&amp;L'!$M:$M,'2026 P&amp;L'!$B:$B,$C45,'2026 P&amp;L'!$E:$E,W$2)</f>
        <v>1909.4399999999998</v>
      </c>
      <c r="X45" s="349">
        <f>SUMIFS('2026 P&amp;L'!$M:$M,'2026 P&amp;L'!$B:$B,$C45,'2026 P&amp;L'!$E:$E,X$2)</f>
        <v>1213.55</v>
      </c>
      <c r="Y45" s="42"/>
      <c r="Z45" s="42"/>
    </row>
    <row r="46" spans="1:26" ht="15.75" customHeight="1">
      <c r="A46" s="8" t="s">
        <v>179</v>
      </c>
      <c r="B46" s="3" t="s">
        <v>1282</v>
      </c>
      <c r="C46" s="332" t="s">
        <v>447</v>
      </c>
      <c r="D46" s="348">
        <v>181000</v>
      </c>
      <c r="E46" s="348">
        <v>170500</v>
      </c>
      <c r="F46" s="348">
        <f>SUMIFS('2025 FY P&amp;L'!B:B,'2025 FY P&amp;L'!$A:$A,$C46)</f>
        <v>208500</v>
      </c>
      <c r="G46" s="348">
        <f t="shared" si="2"/>
        <v>206770</v>
      </c>
      <c r="H46" s="349">
        <f>SUMIFS('2025 FY P&amp;L'!D:D,'2025 FY P&amp;L'!$A:$A,$C46)</f>
        <v>15500</v>
      </c>
      <c r="I46" s="349">
        <f>SUMIFS('2025 FY P&amp;L'!E:E,'2025 FY P&amp;L'!$A:$A,$C46)</f>
        <v>31000</v>
      </c>
      <c r="J46" s="349">
        <f>SUMIFS('2025 FY P&amp;L'!F:F,'2025 FY P&amp;L'!$A:$A,$C46)</f>
        <v>15500</v>
      </c>
      <c r="K46" s="349">
        <f>SUMIFS('2025 FY P&amp;L'!G:G,'2025 FY P&amp;L'!$A:$A,$C46)</f>
        <v>0</v>
      </c>
      <c r="L46" s="349">
        <f>SUMIFS('2025 FY P&amp;L'!H:H,'2025 FY P&amp;L'!$A:$A,$C46)</f>
        <v>38000</v>
      </c>
      <c r="M46" s="349">
        <f>SUMIFS('2025 FY P&amp;L'!I:I,'2025 FY P&amp;L'!$A:$A,$C46)</f>
        <v>15500</v>
      </c>
      <c r="N46" s="349">
        <f>SUMIFS('2025 FY P&amp;L'!J:J,'2025 FY P&amp;L'!$A:$A,$C46)</f>
        <v>15500</v>
      </c>
      <c r="O46" s="349">
        <f>SUMIFS('2025 FY P&amp;L'!K:K,'2025 FY P&amp;L'!$A:$A,$C46)</f>
        <v>15500</v>
      </c>
      <c r="P46" s="349">
        <f>SUMIFS('2025 FY P&amp;L'!L:L,'2025 FY P&amp;L'!$A:$A,$C46)</f>
        <v>15500</v>
      </c>
      <c r="Q46" s="349">
        <f>SUMIFS('2025 FY P&amp;L'!M:M,'2025 FY P&amp;L'!$A:$A,$C46)</f>
        <v>15500</v>
      </c>
      <c r="R46" s="349">
        <f>SUMIFS('2025 FY P&amp;L'!N:N,'2025 FY P&amp;L'!$A:$A,$C46)</f>
        <v>15500</v>
      </c>
      <c r="S46" s="349">
        <f>SUMIFS('2025 FY P&amp;L'!O:O,'2025 FY P&amp;L'!$A:$A,$C46)</f>
        <v>15500</v>
      </c>
      <c r="T46" s="349">
        <f>SUMIFS('2026 P&amp;L'!$M:$M,'2026 P&amp;L'!$B:$B,$C46,'2026 P&amp;L'!$E:$E,T$2)</f>
        <v>15500</v>
      </c>
      <c r="U46" s="349">
        <f>SUMIFS('2026 P&amp;L'!$M:$M,'2026 P&amp;L'!$B:$B,$C46,'2026 P&amp;L'!$E:$E,U$2)</f>
        <v>15500</v>
      </c>
      <c r="V46" s="349">
        <f>SUMIFS('2026 P&amp;L'!$M:$M,'2026 P&amp;L'!$B:$B,$C46,'2026 P&amp;L'!$E:$E,V$2)</f>
        <v>13770</v>
      </c>
      <c r="W46" s="349">
        <f>SUMIFS('2026 P&amp;L'!$M:$M,'2026 P&amp;L'!$B:$B,$C46,'2026 P&amp;L'!$E:$E,W$2)</f>
        <v>15500</v>
      </c>
      <c r="X46" s="349">
        <f>SUMIFS('2026 P&amp;L'!$M:$M,'2026 P&amp;L'!$B:$B,$C46,'2026 P&amp;L'!$E:$E,X$2)</f>
        <v>31000</v>
      </c>
      <c r="Y46" s="42"/>
      <c r="Z46" s="42"/>
    </row>
    <row r="47" spans="1:26" ht="15.75" customHeight="1">
      <c r="A47" s="8" t="s">
        <v>166</v>
      </c>
      <c r="C47" s="332" t="s">
        <v>466</v>
      </c>
      <c r="D47" s="348">
        <v>38318.269999999997</v>
      </c>
      <c r="E47" s="348">
        <v>39803.870000000003</v>
      </c>
      <c r="F47" s="348">
        <f>SUMIFS('2025 FY P&amp;L'!B:B,'2025 FY P&amp;L'!$A:$A,$C47)</f>
        <v>50109.01</v>
      </c>
      <c r="G47" s="348">
        <f t="shared" si="2"/>
        <v>58799.369999999995</v>
      </c>
      <c r="H47" s="349">
        <f>SUMIFS('2025 FY P&amp;L'!D:D,'2025 FY P&amp;L'!$A:$A,$C47)</f>
        <v>9588.9599999999991</v>
      </c>
      <c r="I47" s="349">
        <f>SUMIFS('2025 FY P&amp;L'!E:E,'2025 FY P&amp;L'!$A:$A,$C47)</f>
        <v>316.09000000000003</v>
      </c>
      <c r="J47" s="349">
        <f>SUMIFS('2025 FY P&amp;L'!F:F,'2025 FY P&amp;L'!$A:$A,$C47)</f>
        <v>5565</v>
      </c>
      <c r="K47" s="349">
        <f>SUMIFS('2025 FY P&amp;L'!G:G,'2025 FY P&amp;L'!$A:$A,$C47)</f>
        <v>7600</v>
      </c>
      <c r="L47" s="349">
        <f>SUMIFS('2025 FY P&amp;L'!H:H,'2025 FY P&amp;L'!$A:$A,$C47)</f>
        <v>5129.45</v>
      </c>
      <c r="M47" s="349">
        <f>SUMIFS('2025 FY P&amp;L'!I:I,'2025 FY P&amp;L'!$A:$A,$C47)</f>
        <v>2134.02</v>
      </c>
      <c r="N47" s="349">
        <f>SUMIFS('2025 FY P&amp;L'!J:J,'2025 FY P&amp;L'!$A:$A,$C47)</f>
        <v>251.68</v>
      </c>
      <c r="O47" s="349">
        <f>SUMIFS('2025 FY P&amp;L'!K:K,'2025 FY P&amp;L'!$A:$A,$C47)</f>
        <v>1931.71</v>
      </c>
      <c r="P47" s="349">
        <f>SUMIFS('2025 FY P&amp;L'!L:L,'2025 FY P&amp;L'!$A:$A,$C47)</f>
        <v>829.02</v>
      </c>
      <c r="Q47" s="349">
        <f>SUMIFS('2025 FY P&amp;L'!M:M,'2025 FY P&amp;L'!$A:$A,$C47)</f>
        <v>3476.6700000000005</v>
      </c>
      <c r="R47" s="349">
        <f>SUMIFS('2025 FY P&amp;L'!N:N,'2025 FY P&amp;L'!$A:$A,$C47)</f>
        <v>6729.5499999999993</v>
      </c>
      <c r="S47" s="349">
        <f>SUMIFS('2025 FY P&amp;L'!O:O,'2025 FY P&amp;L'!$A:$A,$C47)</f>
        <v>6556.8600000000006</v>
      </c>
      <c r="T47" s="349">
        <f>SUMIFS('2026 P&amp;L'!$M:$M,'2026 P&amp;L'!$B:$B,$C47,'2026 P&amp;L'!$E:$E,T$2)</f>
        <v>1578.0500000000002</v>
      </c>
      <c r="U47" s="349">
        <f>SUMIFS('2026 P&amp;L'!$M:$M,'2026 P&amp;L'!$B:$B,$C47,'2026 P&amp;L'!$E:$E,U$2)</f>
        <v>16079.75</v>
      </c>
      <c r="V47" s="349">
        <f>SUMIFS('2026 P&amp;L'!$M:$M,'2026 P&amp;L'!$B:$B,$C47,'2026 P&amp;L'!$E:$E,V$2)</f>
        <v>13813.61</v>
      </c>
      <c r="W47" s="349">
        <f>SUMIFS('2026 P&amp;L'!$M:$M,'2026 P&amp;L'!$B:$B,$C47,'2026 P&amp;L'!$E:$E,W$2)</f>
        <v>289</v>
      </c>
      <c r="X47" s="349">
        <f>SUMIFS('2026 P&amp;L'!$M:$M,'2026 P&amp;L'!$B:$B,$C47,'2026 P&amp;L'!$E:$E,X$2)</f>
        <v>5728.92</v>
      </c>
      <c r="Y47" s="42"/>
      <c r="Z47" s="42"/>
    </row>
    <row r="48" spans="1:26" ht="15.75" customHeight="1">
      <c r="A48" s="8" t="s">
        <v>160</v>
      </c>
      <c r="C48" s="332" t="s">
        <v>1283</v>
      </c>
      <c r="D48" s="348">
        <v>3156.88</v>
      </c>
      <c r="E48" s="348" t="s">
        <v>121</v>
      </c>
      <c r="F48" s="348">
        <f>SUMIFS('2025 FY P&amp;L'!B:B,'2025 FY P&amp;L'!$A:$A,$C48)</f>
        <v>0</v>
      </c>
      <c r="G48" s="348">
        <f t="shared" si="2"/>
        <v>0</v>
      </c>
      <c r="H48" s="349">
        <f>SUMIFS('2025 FY P&amp;L'!D:D,'2025 FY P&amp;L'!$A:$A,$C48)</f>
        <v>0</v>
      </c>
      <c r="I48" s="349">
        <f>SUMIFS('2025 FY P&amp;L'!E:E,'2025 FY P&amp;L'!$A:$A,$C48)</f>
        <v>0</v>
      </c>
      <c r="J48" s="349">
        <f>SUMIFS('2025 FY P&amp;L'!F:F,'2025 FY P&amp;L'!$A:$A,$C48)</f>
        <v>0</v>
      </c>
      <c r="K48" s="349">
        <f>SUMIFS('2025 FY P&amp;L'!G:G,'2025 FY P&amp;L'!$A:$A,$C48)</f>
        <v>0</v>
      </c>
      <c r="L48" s="349">
        <f>SUMIFS('2025 FY P&amp;L'!H:H,'2025 FY P&amp;L'!$A:$A,$C48)</f>
        <v>0</v>
      </c>
      <c r="M48" s="349">
        <f>SUMIFS('2025 FY P&amp;L'!I:I,'2025 FY P&amp;L'!$A:$A,$C48)</f>
        <v>0</v>
      </c>
      <c r="N48" s="349">
        <f>SUMIFS('2025 FY P&amp;L'!J:J,'2025 FY P&amp;L'!$A:$A,$C48)</f>
        <v>0</v>
      </c>
      <c r="O48" s="349">
        <f>SUMIFS('2025 FY P&amp;L'!K:K,'2025 FY P&amp;L'!$A:$A,$C48)</f>
        <v>0</v>
      </c>
      <c r="P48" s="349">
        <f>SUMIFS('2025 FY P&amp;L'!L:L,'2025 FY P&amp;L'!$A:$A,$C48)</f>
        <v>0</v>
      </c>
      <c r="Q48" s="349">
        <f>SUMIFS('2025 FY P&amp;L'!M:M,'2025 FY P&amp;L'!$A:$A,$C48)</f>
        <v>0</v>
      </c>
      <c r="R48" s="349">
        <f>SUMIFS('2025 FY P&amp;L'!N:N,'2025 FY P&amp;L'!$A:$A,$C48)</f>
        <v>0</v>
      </c>
      <c r="S48" s="349">
        <f>SUMIFS('2025 FY P&amp;L'!O:O,'2025 FY P&amp;L'!$A:$A,$C48)</f>
        <v>0</v>
      </c>
      <c r="T48" s="349">
        <f>SUMIFS('2026 P&amp;L'!$M:$M,'2026 P&amp;L'!$B:$B,$C48,'2026 P&amp;L'!$E:$E,T$2)</f>
        <v>0</v>
      </c>
      <c r="U48" s="349">
        <f>SUMIFS('2026 P&amp;L'!$M:$M,'2026 P&amp;L'!$B:$B,$C48,'2026 P&amp;L'!$E:$E,U$2)</f>
        <v>0</v>
      </c>
      <c r="V48" s="349">
        <f>SUMIFS('2026 P&amp;L'!$M:$M,'2026 P&amp;L'!$B:$B,$C48,'2026 P&amp;L'!$E:$E,V$2)</f>
        <v>0</v>
      </c>
      <c r="W48" s="349">
        <f>SUMIFS('2026 P&amp;L'!$M:$M,'2026 P&amp;L'!$B:$B,$C48,'2026 P&amp;L'!$E:$E,W$2)</f>
        <v>0</v>
      </c>
      <c r="X48" s="349">
        <f>SUMIFS('2026 P&amp;L'!$M:$M,'2026 P&amp;L'!$B:$B,$C48,'2026 P&amp;L'!$E:$E,X$2)</f>
        <v>0</v>
      </c>
      <c r="Y48" s="42"/>
      <c r="Z48" s="42"/>
    </row>
    <row r="49" spans="1:26" ht="15.75" customHeight="1">
      <c r="A49" s="8" t="s">
        <v>183</v>
      </c>
      <c r="B49" s="3" t="s">
        <v>1284</v>
      </c>
      <c r="C49" s="332" t="s">
        <v>1285</v>
      </c>
      <c r="D49" s="348">
        <v>3634.46</v>
      </c>
      <c r="E49" s="348">
        <v>2268.58</v>
      </c>
      <c r="F49" s="348">
        <f>SUMIFS('2025 FY P&amp;L'!B:B,'2025 FY P&amp;L'!$A:$A,$C49)</f>
        <v>0</v>
      </c>
      <c r="G49" s="348">
        <f t="shared" si="2"/>
        <v>0</v>
      </c>
      <c r="H49" s="349">
        <f>SUMIFS('2025 FY P&amp;L'!D:D,'2025 FY P&amp;L'!$A:$A,$C49)</f>
        <v>0</v>
      </c>
      <c r="I49" s="349">
        <f>SUMIFS('2025 FY P&amp;L'!E:E,'2025 FY P&amp;L'!$A:$A,$C49)</f>
        <v>0</v>
      </c>
      <c r="J49" s="349">
        <f>SUMIFS('2025 FY P&amp;L'!F:F,'2025 FY P&amp;L'!$A:$A,$C49)</f>
        <v>0</v>
      </c>
      <c r="K49" s="349">
        <f>SUMIFS('2025 FY P&amp;L'!G:G,'2025 FY P&amp;L'!$A:$A,$C49)</f>
        <v>0</v>
      </c>
      <c r="L49" s="349">
        <f>SUMIFS('2025 FY P&amp;L'!H:H,'2025 FY P&amp;L'!$A:$A,$C49)</f>
        <v>0</v>
      </c>
      <c r="M49" s="349">
        <f>SUMIFS('2025 FY P&amp;L'!I:I,'2025 FY P&amp;L'!$A:$A,$C49)</f>
        <v>0</v>
      </c>
      <c r="N49" s="349">
        <f>SUMIFS('2025 FY P&amp;L'!J:J,'2025 FY P&amp;L'!$A:$A,$C49)</f>
        <v>0</v>
      </c>
      <c r="O49" s="349">
        <f>SUMIFS('2025 FY P&amp;L'!K:K,'2025 FY P&amp;L'!$A:$A,$C49)</f>
        <v>0</v>
      </c>
      <c r="P49" s="349">
        <f>SUMIFS('2025 FY P&amp;L'!L:L,'2025 FY P&amp;L'!$A:$A,$C49)</f>
        <v>0</v>
      </c>
      <c r="Q49" s="349">
        <f>SUMIFS('2025 FY P&amp;L'!M:M,'2025 FY P&amp;L'!$A:$A,$C49)</f>
        <v>0</v>
      </c>
      <c r="R49" s="349">
        <f>SUMIFS('2025 FY P&amp;L'!N:N,'2025 FY P&amp;L'!$A:$A,$C49)</f>
        <v>0</v>
      </c>
      <c r="S49" s="349">
        <f>SUMIFS('2025 FY P&amp;L'!O:O,'2025 FY P&amp;L'!$A:$A,$C49)</f>
        <v>0</v>
      </c>
      <c r="T49" s="349">
        <f>SUMIFS('2026 P&amp;L'!$M:$M,'2026 P&amp;L'!$B:$B,$C49,'2026 P&amp;L'!$E:$E,T$2)</f>
        <v>0</v>
      </c>
      <c r="U49" s="349">
        <f>SUMIFS('2026 P&amp;L'!$M:$M,'2026 P&amp;L'!$B:$B,$C49,'2026 P&amp;L'!$E:$E,U$2)</f>
        <v>0</v>
      </c>
      <c r="V49" s="349">
        <f>SUMIFS('2026 P&amp;L'!$M:$M,'2026 P&amp;L'!$B:$B,$C49,'2026 P&amp;L'!$E:$E,V$2)</f>
        <v>0</v>
      </c>
      <c r="W49" s="349">
        <f>SUMIFS('2026 P&amp;L'!$M:$M,'2026 P&amp;L'!$B:$B,$C49,'2026 P&amp;L'!$E:$E,W$2)</f>
        <v>0</v>
      </c>
      <c r="X49" s="349">
        <f>SUMIFS('2026 P&amp;L'!$M:$M,'2026 P&amp;L'!$B:$B,$C49,'2026 P&amp;L'!$E:$E,X$2)</f>
        <v>0</v>
      </c>
      <c r="Y49" s="42"/>
      <c r="Z49" s="42"/>
    </row>
    <row r="50" spans="1:26" ht="15.75" customHeight="1">
      <c r="A50" s="8" t="s">
        <v>183</v>
      </c>
      <c r="C50" s="332" t="s">
        <v>1286</v>
      </c>
      <c r="D50" s="348">
        <v>104.8</v>
      </c>
      <c r="E50" s="348">
        <v>87.01</v>
      </c>
      <c r="F50" s="348">
        <f>SUMIFS('2025 FY P&amp;L'!B:B,'2025 FY P&amp;L'!$A:$A,$C50)</f>
        <v>87.09</v>
      </c>
      <c r="G50" s="348">
        <f t="shared" si="2"/>
        <v>87.09</v>
      </c>
      <c r="H50" s="349">
        <f>SUMIFS('2025 FY P&amp;L'!D:D,'2025 FY P&amp;L'!$A:$A,$C50)</f>
        <v>0</v>
      </c>
      <c r="I50" s="349">
        <f>SUMIFS('2025 FY P&amp;L'!E:E,'2025 FY P&amp;L'!$A:$A,$C50)</f>
        <v>0</v>
      </c>
      <c r="J50" s="349">
        <f>SUMIFS('2025 FY P&amp;L'!F:F,'2025 FY P&amp;L'!$A:$A,$C50)</f>
        <v>0</v>
      </c>
      <c r="K50" s="349">
        <f>SUMIFS('2025 FY P&amp;L'!G:G,'2025 FY P&amp;L'!$A:$A,$C50)</f>
        <v>0</v>
      </c>
      <c r="L50" s="349">
        <f>SUMIFS('2025 FY P&amp;L'!H:H,'2025 FY P&amp;L'!$A:$A,$C50)</f>
        <v>17.95</v>
      </c>
      <c r="M50" s="349">
        <f>SUMIFS('2025 FY P&amp;L'!I:I,'2025 FY P&amp;L'!$A:$A,$C50)</f>
        <v>67.180000000000007</v>
      </c>
      <c r="N50" s="349">
        <f>SUMIFS('2025 FY P&amp;L'!J:J,'2025 FY P&amp;L'!$A:$A,$C50)</f>
        <v>0</v>
      </c>
      <c r="O50" s="349">
        <f>SUMIFS('2025 FY P&amp;L'!K:K,'2025 FY P&amp;L'!$A:$A,$C50)</f>
        <v>0</v>
      </c>
      <c r="P50" s="349">
        <f>SUMIFS('2025 FY P&amp;L'!L:L,'2025 FY P&amp;L'!$A:$A,$C50)</f>
        <v>0</v>
      </c>
      <c r="Q50" s="349">
        <f>SUMIFS('2025 FY P&amp;L'!M:M,'2025 FY P&amp;L'!$A:$A,$C50)</f>
        <v>0</v>
      </c>
      <c r="R50" s="349">
        <f>SUMIFS('2025 FY P&amp;L'!N:N,'2025 FY P&amp;L'!$A:$A,$C50)</f>
        <v>0</v>
      </c>
      <c r="S50" s="349">
        <f>SUMIFS('2025 FY P&amp;L'!O:O,'2025 FY P&amp;L'!$A:$A,$C50)</f>
        <v>1.96</v>
      </c>
      <c r="T50" s="349">
        <f>SUMIFS('2026 P&amp;L'!$M:$M,'2026 P&amp;L'!$B:$B,$C50,'2026 P&amp;L'!$E:$E,T$2)</f>
        <v>0</v>
      </c>
      <c r="U50" s="349">
        <f>SUMIFS('2026 P&amp;L'!$M:$M,'2026 P&amp;L'!$B:$B,$C50,'2026 P&amp;L'!$E:$E,U$2)</f>
        <v>0</v>
      </c>
      <c r="V50" s="349">
        <f>SUMIFS('2026 P&amp;L'!$M:$M,'2026 P&amp;L'!$B:$B,$C50,'2026 P&amp;L'!$E:$E,V$2)</f>
        <v>0</v>
      </c>
      <c r="W50" s="349">
        <f>SUMIFS('2026 P&amp;L'!$M:$M,'2026 P&amp;L'!$B:$B,$C50,'2026 P&amp;L'!$E:$E,W$2)</f>
        <v>0</v>
      </c>
      <c r="X50" s="349">
        <f>SUMIFS('2026 P&amp;L'!$M:$M,'2026 P&amp;L'!$B:$B,$C50,'2026 P&amp;L'!$E:$E,X$2)</f>
        <v>0</v>
      </c>
      <c r="Y50" s="42"/>
      <c r="Z50" s="42"/>
    </row>
    <row r="51" spans="1:26" ht="15.75" customHeight="1">
      <c r="A51" s="8" t="s">
        <v>183</v>
      </c>
      <c r="C51" s="332" t="s">
        <v>1287</v>
      </c>
      <c r="D51" s="348" t="s">
        <v>121</v>
      </c>
      <c r="E51" s="348">
        <v>3695.85</v>
      </c>
      <c r="F51" s="348">
        <f>SUMIFS('2025 FY P&amp;L'!B:B,'2025 FY P&amp;L'!$A:$A,$C51)</f>
        <v>0</v>
      </c>
      <c r="G51" s="348">
        <f t="shared" si="2"/>
        <v>0</v>
      </c>
      <c r="H51" s="349">
        <f>SUMIFS('2025 FY P&amp;L'!D:D,'2025 FY P&amp;L'!$A:$A,$C51)</f>
        <v>0</v>
      </c>
      <c r="I51" s="349">
        <f>SUMIFS('2025 FY P&amp;L'!E:E,'2025 FY P&amp;L'!$A:$A,$C51)</f>
        <v>0</v>
      </c>
      <c r="J51" s="349">
        <f>SUMIFS('2025 FY P&amp;L'!F:F,'2025 FY P&amp;L'!$A:$A,$C51)</f>
        <v>0</v>
      </c>
      <c r="K51" s="349">
        <f>SUMIFS('2025 FY P&amp;L'!G:G,'2025 FY P&amp;L'!$A:$A,$C51)</f>
        <v>0</v>
      </c>
      <c r="L51" s="349">
        <f>SUMIFS('2025 FY P&amp;L'!H:H,'2025 FY P&amp;L'!$A:$A,$C51)</f>
        <v>0</v>
      </c>
      <c r="M51" s="349">
        <f>SUMIFS('2025 FY P&amp;L'!I:I,'2025 FY P&amp;L'!$A:$A,$C51)</f>
        <v>0</v>
      </c>
      <c r="N51" s="349">
        <f>SUMIFS('2025 FY P&amp;L'!J:J,'2025 FY P&amp;L'!$A:$A,$C51)</f>
        <v>0</v>
      </c>
      <c r="O51" s="349">
        <f>SUMIFS('2025 FY P&amp;L'!K:K,'2025 FY P&amp;L'!$A:$A,$C51)</f>
        <v>0</v>
      </c>
      <c r="P51" s="349">
        <f>SUMIFS('2025 FY P&amp;L'!L:L,'2025 FY P&amp;L'!$A:$A,$C51)</f>
        <v>0</v>
      </c>
      <c r="Q51" s="349">
        <f>SUMIFS('2025 FY P&amp;L'!M:M,'2025 FY P&amp;L'!$A:$A,$C51)</f>
        <v>0</v>
      </c>
      <c r="R51" s="349">
        <f>SUMIFS('2025 FY P&amp;L'!N:N,'2025 FY P&amp;L'!$A:$A,$C51)</f>
        <v>0</v>
      </c>
      <c r="S51" s="349">
        <f>SUMIFS('2025 FY P&amp;L'!O:O,'2025 FY P&amp;L'!$A:$A,$C51)</f>
        <v>0</v>
      </c>
      <c r="T51" s="349">
        <f>SUMIFS('2026 P&amp;L'!$M:$M,'2026 P&amp;L'!$B:$B,$C51,'2026 P&amp;L'!$E:$E,T$2)</f>
        <v>0</v>
      </c>
      <c r="U51" s="349">
        <f>SUMIFS('2026 P&amp;L'!$M:$M,'2026 P&amp;L'!$B:$B,$C51,'2026 P&amp;L'!$E:$E,U$2)</f>
        <v>0</v>
      </c>
      <c r="V51" s="349">
        <f>SUMIFS('2026 P&amp;L'!$M:$M,'2026 P&amp;L'!$B:$B,$C51,'2026 P&amp;L'!$E:$E,V$2)</f>
        <v>0</v>
      </c>
      <c r="W51" s="349">
        <f>SUMIFS('2026 P&amp;L'!$M:$M,'2026 P&amp;L'!$B:$B,$C51,'2026 P&amp;L'!$E:$E,W$2)</f>
        <v>0</v>
      </c>
      <c r="X51" s="349">
        <f>SUMIFS('2026 P&amp;L'!$M:$M,'2026 P&amp;L'!$B:$B,$C51,'2026 P&amp;L'!$E:$E,X$2)</f>
        <v>0</v>
      </c>
      <c r="Y51" s="42"/>
      <c r="Z51" s="42"/>
    </row>
    <row r="52" spans="1:26" ht="15.75" customHeight="1">
      <c r="A52" s="8" t="s">
        <v>170</v>
      </c>
      <c r="C52" s="332" t="s">
        <v>1288</v>
      </c>
      <c r="D52" s="348">
        <v>14002.52</v>
      </c>
      <c r="E52" s="348">
        <v>7725.33</v>
      </c>
      <c r="F52" s="348">
        <f>SUMIFS('2025 FY P&amp;L'!B:B,'2025 FY P&amp;L'!$A:$A,$C52)</f>
        <v>9459.9</v>
      </c>
      <c r="G52" s="352">
        <f t="shared" si="2"/>
        <v>6686.5800000000008</v>
      </c>
      <c r="H52" s="349">
        <f>SUMIFS('2025 FY P&amp;L'!D:D,'2025 FY P&amp;L'!$A:$A,$C52)</f>
        <v>959.23</v>
      </c>
      <c r="I52" s="349">
        <f>SUMIFS('2025 FY P&amp;L'!E:E,'2025 FY P&amp;L'!$A:$A,$C52)</f>
        <v>574.93999999999994</v>
      </c>
      <c r="J52" s="349">
        <f>SUMIFS('2025 FY P&amp;L'!F:F,'2025 FY P&amp;L'!$A:$A,$C52)</f>
        <v>2184.35</v>
      </c>
      <c r="K52" s="349">
        <f>SUMIFS('2025 FY P&amp;L'!G:G,'2025 FY P&amp;L'!$A:$A,$C52)</f>
        <v>278.94</v>
      </c>
      <c r="L52" s="349">
        <f>SUMIFS('2025 FY P&amp;L'!H:H,'2025 FY P&amp;L'!$A:$A,$C52)</f>
        <v>1175.53</v>
      </c>
      <c r="M52" s="349">
        <f>SUMIFS('2025 FY P&amp;L'!I:I,'2025 FY P&amp;L'!$A:$A,$C52)</f>
        <v>1265.8999999999999</v>
      </c>
      <c r="N52" s="349">
        <f>SUMIFS('2025 FY P&amp;L'!J:J,'2025 FY P&amp;L'!$A:$A,$C52)</f>
        <v>141.66</v>
      </c>
      <c r="O52" s="349">
        <f>SUMIFS('2025 FY P&amp;L'!K:K,'2025 FY P&amp;L'!$A:$A,$C52)</f>
        <v>0</v>
      </c>
      <c r="P52" s="349">
        <f>SUMIFS('2025 FY P&amp;L'!L:L,'2025 FY P&amp;L'!$A:$A,$C52)</f>
        <v>541.74</v>
      </c>
      <c r="Q52" s="349">
        <f>SUMIFS('2025 FY P&amp;L'!M:M,'2025 FY P&amp;L'!$A:$A,$C52)</f>
        <v>1782.5900000000001</v>
      </c>
      <c r="R52" s="349">
        <f>SUMIFS('2025 FY P&amp;L'!N:N,'2025 FY P&amp;L'!$A:$A,$C52)</f>
        <v>230.01</v>
      </c>
      <c r="S52" s="349">
        <f>SUMIFS('2025 FY P&amp;L'!O:O,'2025 FY P&amp;L'!$A:$A,$C52)</f>
        <v>325.01</v>
      </c>
      <c r="T52" s="349">
        <f>SUMIFS('2026 P&amp;L'!$M:$M,'2026 P&amp;L'!$B:$B,$C52,'2026 P&amp;L'!$E:$E,T$2)</f>
        <v>156.44999999999999</v>
      </c>
      <c r="U52" s="349">
        <f>SUMIFS('2026 P&amp;L'!$M:$M,'2026 P&amp;L'!$B:$B,$C52,'2026 P&amp;L'!$E:$E,U$2)</f>
        <v>376.72</v>
      </c>
      <c r="V52" s="349">
        <f>SUMIFS('2026 P&amp;L'!$M:$M,'2026 P&amp;L'!$B:$B,$C52,'2026 P&amp;L'!$E:$E,V$2)</f>
        <v>472.79999999999995</v>
      </c>
      <c r="W52" s="349">
        <f>SUMIFS('2026 P&amp;L'!$M:$M,'2026 P&amp;L'!$B:$B,$C52,'2026 P&amp;L'!$E:$E,W$2)</f>
        <v>218.17000000000002</v>
      </c>
      <c r="X52" s="349">
        <f>SUMIFS('2026 P&amp;L'!$M:$M,'2026 P&amp;L'!$B:$B,$C52,'2026 P&amp;L'!$E:$E,X$2)</f>
        <v>191.09</v>
      </c>
      <c r="Y52" s="42"/>
      <c r="Z52" s="42"/>
    </row>
    <row r="53" spans="1:26" ht="15.75" customHeight="1">
      <c r="A53" s="8" t="s">
        <v>169</v>
      </c>
      <c r="C53" s="332" t="s">
        <v>1289</v>
      </c>
      <c r="D53" s="348">
        <v>6204.42</v>
      </c>
      <c r="E53" s="348">
        <v>5420.8</v>
      </c>
      <c r="F53" s="348">
        <f>SUMIFS('2025 FY P&amp;L'!B:B,'2025 FY P&amp;L'!$A:$A,$C53)</f>
        <v>7701.79</v>
      </c>
      <c r="G53" s="348">
        <f t="shared" si="2"/>
        <v>7469.880000000001</v>
      </c>
      <c r="H53" s="349">
        <f>SUMIFS('2025 FY P&amp;L'!D:D,'2025 FY P&amp;L'!$A:$A,$C53)</f>
        <v>619.67999999999995</v>
      </c>
      <c r="I53" s="349">
        <f>SUMIFS('2025 FY P&amp;L'!E:E,'2025 FY P&amp;L'!$A:$A,$C53)</f>
        <v>516.72</v>
      </c>
      <c r="J53" s="349">
        <f>SUMIFS('2025 FY P&amp;L'!F:F,'2025 FY P&amp;L'!$A:$A,$C53)</f>
        <v>540.46</v>
      </c>
      <c r="K53" s="349">
        <f>SUMIFS('2025 FY P&amp;L'!G:G,'2025 FY P&amp;L'!$A:$A,$C53)</f>
        <v>822.84</v>
      </c>
      <c r="L53" s="349">
        <f>SUMIFS('2025 FY P&amp;L'!H:H,'2025 FY P&amp;L'!$A:$A,$C53)</f>
        <v>510.43</v>
      </c>
      <c r="M53" s="349">
        <f>SUMIFS('2025 FY P&amp;L'!I:I,'2025 FY P&amp;L'!$A:$A,$C53)</f>
        <v>537.73</v>
      </c>
      <c r="N53" s="349">
        <f>SUMIFS('2025 FY P&amp;L'!J:J,'2025 FY P&amp;L'!$A:$A,$C53)</f>
        <v>537.73</v>
      </c>
      <c r="O53" s="349">
        <f>SUMIFS('2025 FY P&amp;L'!K:K,'2025 FY P&amp;L'!$A:$A,$C53)</f>
        <v>741.04</v>
      </c>
      <c r="P53" s="349">
        <f>SUMIFS('2025 FY P&amp;L'!L:L,'2025 FY P&amp;L'!$A:$A,$C53)</f>
        <v>528.03</v>
      </c>
      <c r="Q53" s="349">
        <f>SUMIFS('2025 FY P&amp;L'!M:M,'2025 FY P&amp;L'!$A:$A,$C53)</f>
        <v>699.08</v>
      </c>
      <c r="R53" s="349">
        <f>SUMIFS('2025 FY P&amp;L'!N:N,'2025 FY P&amp;L'!$A:$A,$C53)</f>
        <v>595.80999999999995</v>
      </c>
      <c r="S53" s="349">
        <f>SUMIFS('2025 FY P&amp;L'!O:O,'2025 FY P&amp;L'!$A:$A,$C53)</f>
        <v>1052.24</v>
      </c>
      <c r="T53" s="349">
        <f>SUMIFS('2026 P&amp;L'!$M:$M,'2026 P&amp;L'!$B:$B,$C53,'2026 P&amp;L'!$E:$E,T$2)</f>
        <v>525.39</v>
      </c>
      <c r="U53" s="349">
        <f>SUMIFS('2026 P&amp;L'!$M:$M,'2026 P&amp;L'!$B:$B,$C53,'2026 P&amp;L'!$E:$E,U$2)</f>
        <v>477.96</v>
      </c>
      <c r="V53" s="349">
        <f>SUMIFS('2026 P&amp;L'!$M:$M,'2026 P&amp;L'!$B:$B,$C53,'2026 P&amp;L'!$E:$E,V$2)</f>
        <v>693.52</v>
      </c>
      <c r="W53" s="349">
        <f>SUMIFS('2026 P&amp;L'!$M:$M,'2026 P&amp;L'!$B:$B,$C53,'2026 P&amp;L'!$E:$E,W$2)</f>
        <v>570.91999999999996</v>
      </c>
      <c r="X53" s="349">
        <f>SUMIFS('2026 P&amp;L'!$M:$M,'2026 P&amp;L'!$B:$B,$C53,'2026 P&amp;L'!$E:$E,X$2)</f>
        <v>0</v>
      </c>
      <c r="Y53" s="42"/>
      <c r="Z53" s="42"/>
    </row>
    <row r="54" spans="1:26" ht="15.75" customHeight="1">
      <c r="A54" s="8" t="s">
        <v>169</v>
      </c>
      <c r="C54" s="332" t="s">
        <v>1290</v>
      </c>
      <c r="D54" s="348">
        <v>1387.54</v>
      </c>
      <c r="E54" s="348">
        <v>2296.19</v>
      </c>
      <c r="F54" s="348">
        <f>SUMIFS('2025 FY P&amp;L'!B:B,'2025 FY P&amp;L'!$A:$A,$C54)</f>
        <v>1750.58</v>
      </c>
      <c r="G54" s="348">
        <f t="shared" si="2"/>
        <v>1638.58</v>
      </c>
      <c r="H54" s="349">
        <f>SUMIFS('2025 FY P&amp;L'!D:D,'2025 FY P&amp;L'!$A:$A,$C54)</f>
        <v>0</v>
      </c>
      <c r="I54" s="349">
        <f>SUMIFS('2025 FY P&amp;L'!E:E,'2025 FY P&amp;L'!$A:$A,$C54)</f>
        <v>0</v>
      </c>
      <c r="J54" s="349">
        <f>SUMIFS('2025 FY P&amp;L'!F:F,'2025 FY P&amp;L'!$A:$A,$C54)</f>
        <v>0</v>
      </c>
      <c r="K54" s="349">
        <f>SUMIFS('2025 FY P&amp;L'!G:G,'2025 FY P&amp;L'!$A:$A,$C54)</f>
        <v>184.79000000000002</v>
      </c>
      <c r="L54" s="349">
        <f>SUMIFS('2025 FY P&amp;L'!H:H,'2025 FY P&amp;L'!$A:$A,$C54)</f>
        <v>437.09999999999997</v>
      </c>
      <c r="M54" s="349">
        <f>SUMIFS('2025 FY P&amp;L'!I:I,'2025 FY P&amp;L'!$A:$A,$C54)</f>
        <v>176.48</v>
      </c>
      <c r="N54" s="349">
        <f>SUMIFS('2025 FY P&amp;L'!J:J,'2025 FY P&amp;L'!$A:$A,$C54)</f>
        <v>101.66</v>
      </c>
      <c r="O54" s="349">
        <f>SUMIFS('2025 FY P&amp;L'!K:K,'2025 FY P&amp;L'!$A:$A,$C54)</f>
        <v>16.47</v>
      </c>
      <c r="P54" s="349">
        <f>SUMIFS('2025 FY P&amp;L'!L:L,'2025 FY P&amp;L'!$A:$A,$C54)</f>
        <v>151.88999999999999</v>
      </c>
      <c r="Q54" s="349">
        <f>SUMIFS('2025 FY P&amp;L'!M:M,'2025 FY P&amp;L'!$A:$A,$C54)</f>
        <v>159.16</v>
      </c>
      <c r="R54" s="349">
        <f>SUMIFS('2025 FY P&amp;L'!N:N,'2025 FY P&amp;L'!$A:$A,$C54)</f>
        <v>242.8</v>
      </c>
      <c r="S54" s="349">
        <f>SUMIFS('2025 FY P&amp;L'!O:O,'2025 FY P&amp;L'!$A:$A,$C54)</f>
        <v>280.23</v>
      </c>
      <c r="T54" s="349">
        <f>SUMIFS('2026 P&amp;L'!$M:$M,'2026 P&amp;L'!$B:$B,$C54,'2026 P&amp;L'!$E:$E,T$2)</f>
        <v>0</v>
      </c>
      <c r="U54" s="349">
        <f>SUMIFS('2026 P&amp;L'!$M:$M,'2026 P&amp;L'!$B:$B,$C54,'2026 P&amp;L'!$E:$E,U$2)</f>
        <v>0</v>
      </c>
      <c r="V54" s="349">
        <f>SUMIFS('2026 P&amp;L'!$M:$M,'2026 P&amp;L'!$B:$B,$C54,'2026 P&amp;L'!$E:$E,V$2)</f>
        <v>0</v>
      </c>
      <c r="W54" s="349">
        <f>SUMIFS('2026 P&amp;L'!$M:$M,'2026 P&amp;L'!$B:$B,$C54,'2026 P&amp;L'!$E:$E,W$2)</f>
        <v>72.790000000000006</v>
      </c>
      <c r="X54" s="349">
        <f>SUMIFS('2026 P&amp;L'!$M:$M,'2026 P&amp;L'!$B:$B,$C54,'2026 P&amp;L'!$E:$E,X$2)</f>
        <v>101.22</v>
      </c>
      <c r="Y54" s="42"/>
      <c r="Z54" s="42"/>
    </row>
    <row r="55" spans="1:26" ht="15.75" customHeight="1">
      <c r="A55" s="8" t="s">
        <v>183</v>
      </c>
      <c r="C55" s="332" t="s">
        <v>1291</v>
      </c>
      <c r="D55" s="348">
        <v>3303.9</v>
      </c>
      <c r="E55" s="348" t="s">
        <v>121</v>
      </c>
      <c r="F55" s="348">
        <f>SUMIFS('2025 FY P&amp;L'!B:B,'2025 FY P&amp;L'!$A:$A,$C55)</f>
        <v>0</v>
      </c>
      <c r="G55" s="348">
        <f t="shared" si="2"/>
        <v>0</v>
      </c>
      <c r="H55" s="349">
        <f>SUMIFS('2025 FY P&amp;L'!D:D,'2025 FY P&amp;L'!$A:$A,$C55)</f>
        <v>0</v>
      </c>
      <c r="I55" s="349">
        <f>SUMIFS('2025 FY P&amp;L'!E:E,'2025 FY P&amp;L'!$A:$A,$C55)</f>
        <v>0</v>
      </c>
      <c r="J55" s="349">
        <f>SUMIFS('2025 FY P&amp;L'!F:F,'2025 FY P&amp;L'!$A:$A,$C55)</f>
        <v>0</v>
      </c>
      <c r="K55" s="349">
        <f>SUMIFS('2025 FY P&amp;L'!G:G,'2025 FY P&amp;L'!$A:$A,$C55)</f>
        <v>0</v>
      </c>
      <c r="L55" s="349">
        <f>SUMIFS('2025 FY P&amp;L'!H:H,'2025 FY P&amp;L'!$A:$A,$C55)</f>
        <v>0</v>
      </c>
      <c r="M55" s="349">
        <f>SUMIFS('2025 FY P&amp;L'!I:I,'2025 FY P&amp;L'!$A:$A,$C55)</f>
        <v>0</v>
      </c>
      <c r="N55" s="349">
        <f>SUMIFS('2025 FY P&amp;L'!J:J,'2025 FY P&amp;L'!$A:$A,$C55)</f>
        <v>0</v>
      </c>
      <c r="O55" s="349">
        <f>SUMIFS('2025 FY P&amp;L'!K:K,'2025 FY P&amp;L'!$A:$A,$C55)</f>
        <v>0</v>
      </c>
      <c r="P55" s="349">
        <f>SUMIFS('2025 FY P&amp;L'!L:L,'2025 FY P&amp;L'!$A:$A,$C55)</f>
        <v>0</v>
      </c>
      <c r="Q55" s="349">
        <f>SUMIFS('2025 FY P&amp;L'!M:M,'2025 FY P&amp;L'!$A:$A,$C55)</f>
        <v>0</v>
      </c>
      <c r="R55" s="349">
        <f>SUMIFS('2025 FY P&amp;L'!N:N,'2025 FY P&amp;L'!$A:$A,$C55)</f>
        <v>0</v>
      </c>
      <c r="S55" s="349">
        <f>SUMIFS('2025 FY P&amp;L'!O:O,'2025 FY P&amp;L'!$A:$A,$C55)</f>
        <v>0</v>
      </c>
      <c r="T55" s="349">
        <f>SUMIFS('2026 P&amp;L'!$M:$M,'2026 P&amp;L'!$B:$B,$C55,'2026 P&amp;L'!$E:$E,T$2)</f>
        <v>0</v>
      </c>
      <c r="U55" s="349">
        <f>SUMIFS('2026 P&amp;L'!$M:$M,'2026 P&amp;L'!$B:$B,$C55,'2026 P&amp;L'!$E:$E,U$2)</f>
        <v>0</v>
      </c>
      <c r="V55" s="349">
        <f>SUMIFS('2026 P&amp;L'!$M:$M,'2026 P&amp;L'!$B:$B,$C55,'2026 P&amp;L'!$E:$E,V$2)</f>
        <v>0</v>
      </c>
      <c r="W55" s="349">
        <f>SUMIFS('2026 P&amp;L'!$M:$M,'2026 P&amp;L'!$B:$B,$C55,'2026 P&amp;L'!$E:$E,W$2)</f>
        <v>0</v>
      </c>
      <c r="X55" s="349">
        <f>SUMIFS('2026 P&amp;L'!$M:$M,'2026 P&amp;L'!$B:$B,$C55,'2026 P&amp;L'!$E:$E,X$2)</f>
        <v>0</v>
      </c>
      <c r="Y55" s="42"/>
      <c r="Z55" s="42"/>
    </row>
    <row r="56" spans="1:26" ht="15.75" customHeight="1">
      <c r="A56" s="8" t="s">
        <v>169</v>
      </c>
      <c r="C56" s="332" t="s">
        <v>511</v>
      </c>
      <c r="D56" s="348">
        <v>16682.72</v>
      </c>
      <c r="E56" s="348">
        <v>24328.58</v>
      </c>
      <c r="F56" s="348">
        <f>SUMIFS('2025 FY P&amp;L'!B:B,'2025 FY P&amp;L'!$A:$A,$C56)</f>
        <v>18300.13</v>
      </c>
      <c r="G56" s="348">
        <f t="shared" si="2"/>
        <v>19118.539999999997</v>
      </c>
      <c r="H56" s="349">
        <f>SUMIFS('2025 FY P&amp;L'!D:D,'2025 FY P&amp;L'!$A:$A,$C56)</f>
        <v>1801.5</v>
      </c>
      <c r="I56" s="349">
        <f>SUMIFS('2025 FY P&amp;L'!E:E,'2025 FY P&amp;L'!$A:$A,$C56)</f>
        <v>27.26</v>
      </c>
      <c r="J56" s="349">
        <f>SUMIFS('2025 FY P&amp;L'!F:F,'2025 FY P&amp;L'!$A:$A,$C56)</f>
        <v>4363.58</v>
      </c>
      <c r="K56" s="349">
        <f>SUMIFS('2025 FY P&amp;L'!G:G,'2025 FY P&amp;L'!$A:$A,$C56)</f>
        <v>1809.0099999999998</v>
      </c>
      <c r="L56" s="349">
        <f>SUMIFS('2025 FY P&amp;L'!H:H,'2025 FY P&amp;L'!$A:$A,$C56)</f>
        <v>1632.1200000000001</v>
      </c>
      <c r="M56" s="349">
        <f>SUMIFS('2025 FY P&amp;L'!I:I,'2025 FY P&amp;L'!$A:$A,$C56)</f>
        <v>1188.92</v>
      </c>
      <c r="N56" s="349">
        <f>SUMIFS('2025 FY P&amp;L'!J:J,'2025 FY P&amp;L'!$A:$A,$C56)</f>
        <v>930.24</v>
      </c>
      <c r="O56" s="349">
        <f>SUMIFS('2025 FY P&amp;L'!K:K,'2025 FY P&amp;L'!$A:$A,$C56)</f>
        <v>1849.7</v>
      </c>
      <c r="P56" s="349">
        <f>SUMIFS('2025 FY P&amp;L'!L:L,'2025 FY P&amp;L'!$A:$A,$C56)</f>
        <v>1359.26</v>
      </c>
      <c r="Q56" s="349">
        <f>SUMIFS('2025 FY P&amp;L'!M:M,'2025 FY P&amp;L'!$A:$A,$C56)</f>
        <v>1182.1499999999999</v>
      </c>
      <c r="R56" s="349">
        <f>SUMIFS('2025 FY P&amp;L'!N:N,'2025 FY P&amp;L'!$A:$A,$C56)</f>
        <v>1288.98</v>
      </c>
      <c r="S56" s="349">
        <f>SUMIFS('2025 FY P&amp;L'!O:O,'2025 FY P&amp;L'!$A:$A,$C56)</f>
        <v>867.41</v>
      </c>
      <c r="T56" s="349">
        <f>SUMIFS('2026 P&amp;L'!$M:$M,'2026 P&amp;L'!$B:$B,$C56,'2026 P&amp;L'!$E:$E,T$2)</f>
        <v>1774.5099999999998</v>
      </c>
      <c r="U56" s="349">
        <f>SUMIFS('2026 P&amp;L'!$M:$M,'2026 P&amp;L'!$B:$B,$C56,'2026 P&amp;L'!$E:$E,U$2)</f>
        <v>3111.42</v>
      </c>
      <c r="V56" s="349">
        <f>SUMIFS('2026 P&amp;L'!$M:$M,'2026 P&amp;L'!$B:$B,$C56,'2026 P&amp;L'!$E:$E,V$2)</f>
        <v>2793.1200000000003</v>
      </c>
      <c r="W56" s="349">
        <f>SUMIFS('2026 P&amp;L'!$M:$M,'2026 P&amp;L'!$B:$B,$C56,'2026 P&amp;L'!$E:$E,W$2)</f>
        <v>1140.71</v>
      </c>
      <c r="X56" s="349">
        <f>SUMIFS('2026 P&amp;L'!$M:$M,'2026 P&amp;L'!$B:$B,$C56,'2026 P&amp;L'!$E:$E,X$2)</f>
        <v>1258.3300000000002</v>
      </c>
      <c r="Y56" s="42"/>
      <c r="Z56" s="42"/>
    </row>
    <row r="57" spans="1:26" ht="15.75" customHeight="1">
      <c r="A57" s="8" t="s">
        <v>171</v>
      </c>
      <c r="C57" s="332" t="s">
        <v>1292</v>
      </c>
      <c r="D57" s="348">
        <v>289.61</v>
      </c>
      <c r="E57" s="348">
        <v>302.77999999999997</v>
      </c>
      <c r="F57" s="348">
        <f>SUMIFS('2025 FY P&amp;L'!B:B,'2025 FY P&amp;L'!$A:$A,$C57)</f>
        <v>0</v>
      </c>
      <c r="G57" s="348">
        <f t="shared" si="2"/>
        <v>0</v>
      </c>
      <c r="H57" s="349">
        <f>SUMIFS('2025 FY P&amp;L'!D:D,'2025 FY P&amp;L'!$A:$A,$C57)</f>
        <v>0</v>
      </c>
      <c r="I57" s="349">
        <f>SUMIFS('2025 FY P&amp;L'!E:E,'2025 FY P&amp;L'!$A:$A,$C57)</f>
        <v>0</v>
      </c>
      <c r="J57" s="349">
        <f>SUMIFS('2025 FY P&amp;L'!F:F,'2025 FY P&amp;L'!$A:$A,$C57)</f>
        <v>0</v>
      </c>
      <c r="K57" s="349">
        <f>SUMIFS('2025 FY P&amp;L'!G:G,'2025 FY P&amp;L'!$A:$A,$C57)</f>
        <v>0</v>
      </c>
      <c r="L57" s="349">
        <f>SUMIFS('2025 FY P&amp;L'!H:H,'2025 FY P&amp;L'!$A:$A,$C57)</f>
        <v>0</v>
      </c>
      <c r="M57" s="349">
        <f>SUMIFS('2025 FY P&amp;L'!I:I,'2025 FY P&amp;L'!$A:$A,$C57)</f>
        <v>0</v>
      </c>
      <c r="N57" s="349">
        <f>SUMIFS('2025 FY P&amp;L'!J:J,'2025 FY P&amp;L'!$A:$A,$C57)</f>
        <v>0</v>
      </c>
      <c r="O57" s="349">
        <f>SUMIFS('2025 FY P&amp;L'!K:K,'2025 FY P&amp;L'!$A:$A,$C57)</f>
        <v>0</v>
      </c>
      <c r="P57" s="349">
        <f>SUMIFS('2025 FY P&amp;L'!L:L,'2025 FY P&amp;L'!$A:$A,$C57)</f>
        <v>0</v>
      </c>
      <c r="Q57" s="349">
        <f>SUMIFS('2025 FY P&amp;L'!M:M,'2025 FY P&amp;L'!$A:$A,$C57)</f>
        <v>0</v>
      </c>
      <c r="R57" s="349">
        <f>SUMIFS('2025 FY P&amp;L'!N:N,'2025 FY P&amp;L'!$A:$A,$C57)</f>
        <v>0</v>
      </c>
      <c r="S57" s="349">
        <f>SUMIFS('2025 FY P&amp;L'!O:O,'2025 FY P&amp;L'!$A:$A,$C57)</f>
        <v>0</v>
      </c>
      <c r="T57" s="349">
        <f>SUMIFS('2026 P&amp;L'!$M:$M,'2026 P&amp;L'!$B:$B,$C57,'2026 P&amp;L'!$E:$E,T$2)</f>
        <v>0</v>
      </c>
      <c r="U57" s="349">
        <f>SUMIFS('2026 P&amp;L'!$M:$M,'2026 P&amp;L'!$B:$B,$C57,'2026 P&amp;L'!$E:$E,U$2)</f>
        <v>0</v>
      </c>
      <c r="V57" s="349">
        <f>SUMIFS('2026 P&amp;L'!$M:$M,'2026 P&amp;L'!$B:$B,$C57,'2026 P&amp;L'!$E:$E,V$2)</f>
        <v>0</v>
      </c>
      <c r="W57" s="349">
        <f>SUMIFS('2026 P&amp;L'!$M:$M,'2026 P&amp;L'!$B:$B,$C57,'2026 P&amp;L'!$E:$E,W$2)</f>
        <v>0</v>
      </c>
      <c r="X57" s="349">
        <f>SUMIFS('2026 P&amp;L'!$M:$M,'2026 P&amp;L'!$B:$B,$C57,'2026 P&amp;L'!$E:$E,X$2)</f>
        <v>0</v>
      </c>
      <c r="Y57" s="42"/>
      <c r="Z57" s="42"/>
    </row>
    <row r="58" spans="1:26" ht="15.75" customHeight="1">
      <c r="A58" s="8" t="s">
        <v>166</v>
      </c>
      <c r="C58" s="332" t="s">
        <v>1293</v>
      </c>
      <c r="D58" s="348">
        <v>3725</v>
      </c>
      <c r="E58" s="348">
        <v>5100</v>
      </c>
      <c r="F58" s="348">
        <f>SUMIFS('2025 FY P&amp;L'!B:B,'2025 FY P&amp;L'!$A:$A,$C58)</f>
        <v>7800</v>
      </c>
      <c r="G58" s="348">
        <f t="shared" si="2"/>
        <v>7200</v>
      </c>
      <c r="H58" s="349">
        <f>SUMIFS('2025 FY P&amp;L'!D:D,'2025 FY P&amp;L'!$A:$A,$C58)</f>
        <v>600</v>
      </c>
      <c r="I58" s="349">
        <f>SUMIFS('2025 FY P&amp;L'!E:E,'2025 FY P&amp;L'!$A:$A,$C58)</f>
        <v>1200</v>
      </c>
      <c r="J58" s="349">
        <f>SUMIFS('2025 FY P&amp;L'!F:F,'2025 FY P&amp;L'!$A:$A,$C58)</f>
        <v>600</v>
      </c>
      <c r="K58" s="349">
        <f>SUMIFS('2025 FY P&amp;L'!G:G,'2025 FY P&amp;L'!$A:$A,$C58)</f>
        <v>0</v>
      </c>
      <c r="L58" s="349">
        <f>SUMIFS('2025 FY P&amp;L'!H:H,'2025 FY P&amp;L'!$A:$A,$C58)</f>
        <v>1200</v>
      </c>
      <c r="M58" s="349">
        <f>SUMIFS('2025 FY P&amp;L'!I:I,'2025 FY P&amp;L'!$A:$A,$C58)</f>
        <v>600</v>
      </c>
      <c r="N58" s="349">
        <f>SUMIFS('2025 FY P&amp;L'!J:J,'2025 FY P&amp;L'!$A:$A,$C58)</f>
        <v>600</v>
      </c>
      <c r="O58" s="349">
        <f>SUMIFS('2025 FY P&amp;L'!K:K,'2025 FY P&amp;L'!$A:$A,$C58)</f>
        <v>600</v>
      </c>
      <c r="P58" s="349">
        <f>SUMIFS('2025 FY P&amp;L'!L:L,'2025 FY P&amp;L'!$A:$A,$C58)</f>
        <v>600</v>
      </c>
      <c r="Q58" s="349">
        <f>SUMIFS('2025 FY P&amp;L'!M:M,'2025 FY P&amp;L'!$A:$A,$C58)</f>
        <v>600</v>
      </c>
      <c r="R58" s="349">
        <f>SUMIFS('2025 FY P&amp;L'!N:N,'2025 FY P&amp;L'!$A:$A,$C58)</f>
        <v>600</v>
      </c>
      <c r="S58" s="349">
        <f>SUMIFS('2025 FY P&amp;L'!O:O,'2025 FY P&amp;L'!$A:$A,$C58)</f>
        <v>600</v>
      </c>
      <c r="T58" s="349">
        <f>SUMIFS('2026 P&amp;L'!$M:$M,'2026 P&amp;L'!$B:$B,$C58,'2026 P&amp;L'!$E:$E,T$2)</f>
        <v>600</v>
      </c>
      <c r="U58" s="349">
        <f>SUMIFS('2026 P&amp;L'!$M:$M,'2026 P&amp;L'!$B:$B,$C58,'2026 P&amp;L'!$E:$E,U$2)</f>
        <v>600</v>
      </c>
      <c r="V58" s="349">
        <f>SUMIFS('2026 P&amp;L'!$M:$M,'2026 P&amp;L'!$B:$B,$C58,'2026 P&amp;L'!$E:$E,V$2)</f>
        <v>0</v>
      </c>
      <c r="W58" s="349">
        <f>SUMIFS('2026 P&amp;L'!$M:$M,'2026 P&amp;L'!$B:$B,$C58,'2026 P&amp;L'!$E:$E,W$2)</f>
        <v>600</v>
      </c>
      <c r="X58" s="349">
        <f>SUMIFS('2026 P&amp;L'!$M:$M,'2026 P&amp;L'!$B:$B,$C58,'2026 P&amp;L'!$E:$E,X$2)</f>
        <v>0</v>
      </c>
      <c r="Y58" s="42"/>
      <c r="Z58" s="42"/>
    </row>
    <row r="59" spans="1:26" ht="15.75" customHeight="1">
      <c r="C59" s="350" t="s">
        <v>1294</v>
      </c>
      <c r="D59" s="351">
        <f t="shared" ref="D59:X59" si="3">SUM(D10:D58)</f>
        <v>1059931.48</v>
      </c>
      <c r="E59" s="351">
        <f t="shared" si="3"/>
        <v>1049771.9799999997</v>
      </c>
      <c r="F59" s="351">
        <f t="shared" si="3"/>
        <v>1223219.3700000001</v>
      </c>
      <c r="G59" s="351">
        <f t="shared" si="3"/>
        <v>1216119.6700000002</v>
      </c>
      <c r="H59" s="351">
        <f t="shared" si="3"/>
        <v>75920.159999999989</v>
      </c>
      <c r="I59" s="351">
        <f t="shared" si="3"/>
        <v>95861.559999999983</v>
      </c>
      <c r="J59" s="351">
        <f t="shared" si="3"/>
        <v>79166.890000000014</v>
      </c>
      <c r="K59" s="351">
        <f t="shared" si="3"/>
        <v>50879.199999999997</v>
      </c>
      <c r="L59" s="351">
        <f t="shared" si="3"/>
        <v>166391.06</v>
      </c>
      <c r="M59" s="351">
        <f t="shared" si="3"/>
        <v>126975.81999999998</v>
      </c>
      <c r="N59" s="351">
        <f t="shared" si="3"/>
        <v>88347.24</v>
      </c>
      <c r="O59" s="351">
        <f t="shared" si="3"/>
        <v>89724.219999999987</v>
      </c>
      <c r="P59" s="351">
        <f t="shared" si="3"/>
        <v>113202.87</v>
      </c>
      <c r="Q59" s="351">
        <f t="shared" si="3"/>
        <v>147099.41999999998</v>
      </c>
      <c r="R59" s="351">
        <f t="shared" si="3"/>
        <v>123746.69000000002</v>
      </c>
      <c r="S59" s="351">
        <f t="shared" si="3"/>
        <v>65904.240000000005</v>
      </c>
      <c r="T59" s="351">
        <f t="shared" si="3"/>
        <v>47363.72</v>
      </c>
      <c r="U59" s="351">
        <f t="shared" si="3"/>
        <v>66842.710000000006</v>
      </c>
      <c r="V59" s="351">
        <f t="shared" si="3"/>
        <v>97859.760000000009</v>
      </c>
      <c r="W59" s="351">
        <f t="shared" si="3"/>
        <v>82661.919999999998</v>
      </c>
      <c r="X59" s="351">
        <f t="shared" si="3"/>
        <v>78507.25</v>
      </c>
      <c r="Y59" s="42"/>
      <c r="Z59" s="42"/>
    </row>
    <row r="60" spans="1:26" ht="15.75" customHeight="1">
      <c r="C60" s="332"/>
      <c r="D60" s="348"/>
      <c r="E60" s="348"/>
      <c r="F60" s="348"/>
      <c r="G60" s="348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5.75" customHeight="1">
      <c r="C61" s="358" t="s">
        <v>1295</v>
      </c>
      <c r="D61" s="359">
        <f t="shared" ref="D61:G61" si="4">D7-D59</f>
        <v>419674.90999999992</v>
      </c>
      <c r="E61" s="359">
        <f t="shared" si="4"/>
        <v>851335.51000000024</v>
      </c>
      <c r="F61" s="359">
        <f t="shared" si="4"/>
        <v>87859.299999999814</v>
      </c>
      <c r="G61" s="359">
        <f t="shared" si="4"/>
        <v>-1216119.6700000002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5.75" customHeight="1">
      <c r="C62" s="332"/>
      <c r="D62" s="348"/>
      <c r="E62" s="348"/>
      <c r="F62" s="348"/>
      <c r="G62" s="348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5.75" customHeight="1">
      <c r="C63" s="360"/>
      <c r="D63" s="348"/>
      <c r="E63" s="348"/>
      <c r="F63" s="348"/>
      <c r="G63" s="348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5.75" customHeight="1">
      <c r="C64" s="332"/>
      <c r="D64" s="348"/>
      <c r="E64" s="348"/>
      <c r="F64" s="348"/>
      <c r="G64" s="348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3:26" ht="15.75" customHeight="1">
      <c r="C65" s="332"/>
      <c r="D65" s="348"/>
      <c r="E65" s="348"/>
      <c r="F65" s="348"/>
      <c r="G65" s="348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3:26" ht="15.75" customHeight="1">
      <c r="C66" s="350"/>
      <c r="D66" s="351"/>
      <c r="E66" s="351"/>
      <c r="F66" s="351"/>
      <c r="G66" s="351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3:26" ht="15.75" customHeight="1">
      <c r="C67" s="332"/>
      <c r="D67" s="348"/>
      <c r="E67" s="348"/>
      <c r="F67" s="348"/>
      <c r="G67" s="348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3:26" ht="15.75" customHeight="1">
      <c r="C68" s="332"/>
      <c r="D68" s="348"/>
      <c r="E68" s="348"/>
      <c r="F68" s="348"/>
      <c r="G68" s="348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3:26" ht="15.75" customHeight="1">
      <c r="D69" s="140"/>
      <c r="E69" s="140"/>
      <c r="F69" s="140"/>
      <c r="G69" s="140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3:26" ht="15.75" customHeight="1">
      <c r="C70" s="332" t="s">
        <v>1296</v>
      </c>
      <c r="D70" s="183">
        <f>D59-D22-D28</f>
        <v>1018218.9299999999</v>
      </c>
      <c r="E70" s="183">
        <f>E59-E28</f>
        <v>1013833.3199999997</v>
      </c>
      <c r="F70" s="183">
        <f>F59</f>
        <v>1223219.3700000001</v>
      </c>
      <c r="G70" s="183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3:26" ht="15.75" customHeight="1"/>
    <row r="72" spans="3:26" ht="15.75" customHeight="1"/>
    <row r="73" spans="3:26" ht="15.75" customHeight="1"/>
    <row r="74" spans="3:26" ht="15.75" customHeight="1"/>
    <row r="75" spans="3:26" ht="15.75" customHeight="1"/>
    <row r="76" spans="3:26" ht="15.75" customHeight="1"/>
    <row r="77" spans="3:26" ht="15.75" customHeight="1"/>
    <row r="78" spans="3:26" ht="15.75" customHeight="1"/>
    <row r="79" spans="3:26" ht="15.75" customHeight="1"/>
    <row r="80" spans="3:2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2.54296875" defaultRowHeight="15" customHeight="1" outlineLevelRow="1"/>
  <cols>
    <col min="1" max="1" width="38" customWidth="1"/>
    <col min="2" max="2" width="18.453125" customWidth="1"/>
    <col min="3" max="26" width="12.81640625" customWidth="1"/>
  </cols>
  <sheetData>
    <row r="1" spans="1:26" ht="15.75" customHeight="1">
      <c r="A1" s="251" t="s">
        <v>1297</v>
      </c>
      <c r="B1" s="252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spans="1:26" ht="15.75" customHeight="1">
      <c r="A2" s="361" t="s">
        <v>14</v>
      </c>
      <c r="B2" s="252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spans="1:26" ht="15.75" customHeight="1">
      <c r="A3" s="362" t="s">
        <v>1298</v>
      </c>
      <c r="B3" s="252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spans="1:26" ht="15.75" customHeight="1">
      <c r="A4" s="252"/>
      <c r="B4" s="252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spans="1:26" ht="15.75" customHeight="1">
      <c r="A5" s="363" t="s">
        <v>1299</v>
      </c>
      <c r="B5" s="363" t="s">
        <v>195</v>
      </c>
      <c r="C5" s="268"/>
      <c r="D5" s="364">
        <v>45688</v>
      </c>
      <c r="E5" s="364">
        <f t="shared" ref="E5:O5" si="0">EOMONTH(D5,1)</f>
        <v>45716</v>
      </c>
      <c r="F5" s="364">
        <f t="shared" si="0"/>
        <v>45747</v>
      </c>
      <c r="G5" s="364">
        <f t="shared" si="0"/>
        <v>45777</v>
      </c>
      <c r="H5" s="364">
        <f t="shared" si="0"/>
        <v>45808</v>
      </c>
      <c r="I5" s="364">
        <f t="shared" si="0"/>
        <v>45838</v>
      </c>
      <c r="J5" s="364">
        <f t="shared" si="0"/>
        <v>45869</v>
      </c>
      <c r="K5" s="364">
        <f t="shared" si="0"/>
        <v>45900</v>
      </c>
      <c r="L5" s="364">
        <f t="shared" si="0"/>
        <v>45930</v>
      </c>
      <c r="M5" s="364">
        <f t="shared" si="0"/>
        <v>45961</v>
      </c>
      <c r="N5" s="364">
        <f t="shared" si="0"/>
        <v>45991</v>
      </c>
      <c r="O5" s="364">
        <f t="shared" si="0"/>
        <v>46022</v>
      </c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spans="1:26" ht="15.75" customHeight="1">
      <c r="A6" s="365" t="s">
        <v>1300</v>
      </c>
      <c r="B6" s="252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spans="1:26" ht="15.75" customHeight="1" outlineLevel="1">
      <c r="A7" s="365" t="s">
        <v>1250</v>
      </c>
      <c r="B7" s="366">
        <v>1308685.8999999999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spans="1:26" ht="15.75" customHeight="1" outlineLevel="1">
      <c r="A8" s="365" t="s">
        <v>1252</v>
      </c>
      <c r="B8" s="366">
        <v>2392.77</v>
      </c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spans="1:26" ht="15.75" customHeight="1">
      <c r="A9" s="367" t="s">
        <v>1253</v>
      </c>
      <c r="B9" s="368">
        <f>B7+B8</f>
        <v>1311078.67</v>
      </c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spans="1:26" ht="15.75" customHeight="1">
      <c r="A10" s="367" t="s">
        <v>1301</v>
      </c>
      <c r="B10" s="368">
        <v>1311078.67</v>
      </c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spans="1:26" ht="15.75" customHeight="1">
      <c r="A11" s="365" t="s">
        <v>1296</v>
      </c>
      <c r="B11" s="252"/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spans="1:26" ht="15.75" customHeight="1" outlineLevel="1">
      <c r="A12" s="365" t="s">
        <v>364</v>
      </c>
      <c r="B12" s="366">
        <v>53442.33</v>
      </c>
      <c r="C12" s="369"/>
      <c r="D12" s="370">
        <v>2784.15</v>
      </c>
      <c r="E12" s="370">
        <v>3712.93</v>
      </c>
      <c r="F12" s="370">
        <v>3417</v>
      </c>
      <c r="G12" s="370">
        <v>2879.75</v>
      </c>
      <c r="H12" s="370">
        <v>6391.47</v>
      </c>
      <c r="I12" s="370">
        <v>9521.5</v>
      </c>
      <c r="J12" s="370">
        <v>3000</v>
      </c>
      <c r="K12" s="370">
        <v>3873.7799999999997</v>
      </c>
      <c r="L12" s="370">
        <v>7354.5</v>
      </c>
      <c r="M12" s="370">
        <v>1211.99</v>
      </c>
      <c r="N12" s="370">
        <v>7572.12</v>
      </c>
      <c r="O12" s="370">
        <v>1723.14</v>
      </c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spans="1:26" ht="15.75" customHeight="1" outlineLevel="1">
      <c r="A13" s="365" t="s">
        <v>346</v>
      </c>
      <c r="B13" s="366">
        <v>275866.43</v>
      </c>
      <c r="C13" s="369"/>
      <c r="D13" s="370">
        <v>10136.86</v>
      </c>
      <c r="E13" s="370">
        <v>24616.83</v>
      </c>
      <c r="F13" s="370">
        <v>3753.58</v>
      </c>
      <c r="G13" s="370">
        <v>4242.67</v>
      </c>
      <c r="H13" s="370">
        <v>33514.18</v>
      </c>
      <c r="I13" s="370">
        <v>44748.149999999994</v>
      </c>
      <c r="J13" s="370">
        <v>8977.39</v>
      </c>
      <c r="K13" s="370">
        <v>11289.529999999999</v>
      </c>
      <c r="L13" s="370">
        <v>37846.240000000005</v>
      </c>
      <c r="M13" s="370">
        <v>51036.66</v>
      </c>
      <c r="N13" s="370">
        <v>43109.399999999994</v>
      </c>
      <c r="O13" s="370">
        <v>2594.94</v>
      </c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spans="1:26" ht="15.75" customHeight="1" outlineLevel="1">
      <c r="A14" s="365" t="s">
        <v>354</v>
      </c>
      <c r="B14" s="366">
        <v>31419.1</v>
      </c>
      <c r="C14" s="369"/>
      <c r="D14" s="370">
        <v>566.69000000000005</v>
      </c>
      <c r="E14" s="370">
        <v>566.69000000000005</v>
      </c>
      <c r="F14" s="370">
        <v>566.69000000000005</v>
      </c>
      <c r="G14" s="370">
        <v>566.69000000000005</v>
      </c>
      <c r="H14" s="370">
        <v>24586.69</v>
      </c>
      <c r="I14" s="370">
        <v>566.69000000000005</v>
      </c>
      <c r="J14" s="370">
        <v>682.2</v>
      </c>
      <c r="K14" s="370">
        <v>566.69000000000005</v>
      </c>
      <c r="L14" s="370">
        <v>570.06000000000006</v>
      </c>
      <c r="M14" s="370">
        <v>566.69000000000005</v>
      </c>
      <c r="N14" s="370">
        <v>791.87000000000012</v>
      </c>
      <c r="O14" s="370">
        <v>821.45</v>
      </c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spans="1:26" ht="15.75" customHeight="1" outlineLevel="1">
      <c r="A15" s="365" t="s">
        <v>1256</v>
      </c>
      <c r="B15" s="366">
        <v>5522.71</v>
      </c>
      <c r="C15" s="369"/>
      <c r="D15" s="370">
        <v>0</v>
      </c>
      <c r="E15" s="370">
        <v>0</v>
      </c>
      <c r="F15" s="370">
        <v>0</v>
      </c>
      <c r="G15" s="370">
        <v>100</v>
      </c>
      <c r="H15" s="370">
        <v>0</v>
      </c>
      <c r="I15" s="370">
        <v>0</v>
      </c>
      <c r="J15" s="370">
        <v>0</v>
      </c>
      <c r="K15" s="370">
        <v>0</v>
      </c>
      <c r="L15" s="370">
        <v>3272</v>
      </c>
      <c r="M15" s="370">
        <v>0</v>
      </c>
      <c r="N15" s="370">
        <v>1620</v>
      </c>
      <c r="O15" s="370">
        <v>530.71</v>
      </c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spans="1:26" ht="15.75" customHeight="1" outlineLevel="1">
      <c r="A16" s="365" t="s">
        <v>395</v>
      </c>
      <c r="B16" s="366">
        <v>2775</v>
      </c>
      <c r="C16" s="369"/>
      <c r="D16" s="370">
        <v>0</v>
      </c>
      <c r="E16" s="370">
        <v>100</v>
      </c>
      <c r="F16" s="370">
        <v>0</v>
      </c>
      <c r="G16" s="370">
        <v>0</v>
      </c>
      <c r="H16" s="370">
        <v>0</v>
      </c>
      <c r="I16" s="370">
        <v>0</v>
      </c>
      <c r="J16" s="370">
        <v>0</v>
      </c>
      <c r="K16" s="370">
        <v>155</v>
      </c>
      <c r="L16" s="370">
        <v>520</v>
      </c>
      <c r="M16" s="370">
        <v>0</v>
      </c>
      <c r="N16" s="370">
        <v>200</v>
      </c>
      <c r="O16" s="370">
        <v>1800</v>
      </c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spans="1:26" ht="15.75" customHeight="1" outlineLevel="1">
      <c r="A17" s="365" t="s">
        <v>1257</v>
      </c>
      <c r="B17" s="366">
        <v>665.35</v>
      </c>
      <c r="C17" s="369"/>
      <c r="D17" s="370">
        <v>256.49</v>
      </c>
      <c r="E17" s="370">
        <v>0</v>
      </c>
      <c r="F17" s="370">
        <v>236.52</v>
      </c>
      <c r="G17" s="370">
        <v>109.82</v>
      </c>
      <c r="H17" s="370">
        <v>16</v>
      </c>
      <c r="I17" s="370">
        <v>0</v>
      </c>
      <c r="J17" s="370">
        <v>0</v>
      </c>
      <c r="K17" s="370">
        <v>0</v>
      </c>
      <c r="L17" s="370">
        <v>0</v>
      </c>
      <c r="M17" s="370">
        <v>0</v>
      </c>
      <c r="N17" s="370">
        <v>46.52</v>
      </c>
      <c r="O17" s="370">
        <v>0</v>
      </c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spans="1:26" ht="15.75" customHeight="1" outlineLevel="1">
      <c r="A18" s="365" t="s">
        <v>421</v>
      </c>
      <c r="B18" s="366">
        <v>12725.9</v>
      </c>
      <c r="C18" s="369"/>
      <c r="D18" s="370">
        <v>1068.1400000000001</v>
      </c>
      <c r="E18" s="370">
        <v>772.01</v>
      </c>
      <c r="F18" s="370">
        <v>1635.1999999999998</v>
      </c>
      <c r="G18" s="370">
        <v>724.53</v>
      </c>
      <c r="H18" s="370">
        <v>980.08999999999992</v>
      </c>
      <c r="I18" s="370">
        <v>1425.4399999999998</v>
      </c>
      <c r="J18" s="370">
        <v>1024.97</v>
      </c>
      <c r="K18" s="370">
        <v>729.86</v>
      </c>
      <c r="L18" s="370">
        <v>555</v>
      </c>
      <c r="M18" s="370">
        <v>1525.59</v>
      </c>
      <c r="N18" s="370">
        <v>0</v>
      </c>
      <c r="O18" s="370">
        <v>2285.0700000000002</v>
      </c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spans="1:26" ht="15.75" customHeight="1" outlineLevel="1">
      <c r="A19" s="365" t="s">
        <v>414</v>
      </c>
      <c r="B19" s="366">
        <v>17230</v>
      </c>
      <c r="C19" s="369"/>
      <c r="D19" s="370">
        <v>1450</v>
      </c>
      <c r="E19" s="370">
        <v>6780</v>
      </c>
      <c r="F19" s="370">
        <v>9000</v>
      </c>
      <c r="G19" s="370">
        <v>0</v>
      </c>
      <c r="H19" s="370">
        <v>0</v>
      </c>
      <c r="I19" s="370">
        <v>0</v>
      </c>
      <c r="J19" s="370">
        <v>0</v>
      </c>
      <c r="K19" s="370">
        <v>0</v>
      </c>
      <c r="L19" s="370">
        <v>0</v>
      </c>
      <c r="M19" s="370">
        <v>0</v>
      </c>
      <c r="N19" s="370">
        <v>0</v>
      </c>
      <c r="O19" s="370">
        <v>0</v>
      </c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spans="1:26" ht="15.75" customHeight="1" outlineLevel="1">
      <c r="A20" s="365" t="s">
        <v>1259</v>
      </c>
      <c r="B20" s="366">
        <v>98181.02</v>
      </c>
      <c r="C20" s="369"/>
      <c r="D20" s="370">
        <v>5088.96</v>
      </c>
      <c r="E20" s="370">
        <v>2202</v>
      </c>
      <c r="F20" s="370">
        <v>1382.6</v>
      </c>
      <c r="G20" s="370">
        <v>7023.8</v>
      </c>
      <c r="H20" s="370">
        <v>12111.84</v>
      </c>
      <c r="I20" s="370">
        <v>12975.260000000002</v>
      </c>
      <c r="J20" s="370">
        <v>10426.910000000002</v>
      </c>
      <c r="K20" s="370">
        <v>5359.32</v>
      </c>
      <c r="L20" s="370">
        <v>8467.48</v>
      </c>
      <c r="M20" s="370">
        <v>12558.949999999999</v>
      </c>
      <c r="N20" s="370">
        <v>13585.5</v>
      </c>
      <c r="O20" s="370">
        <v>6998.4000000000005</v>
      </c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spans="1:26" ht="15.75" customHeight="1" outlineLevel="1">
      <c r="A21" s="371" t="s">
        <v>1260</v>
      </c>
      <c r="B21" s="366">
        <v>99</v>
      </c>
      <c r="C21" s="369"/>
      <c r="D21" s="370">
        <v>0</v>
      </c>
      <c r="E21" s="370">
        <v>0</v>
      </c>
      <c r="F21" s="370">
        <v>0</v>
      </c>
      <c r="G21" s="370">
        <v>0</v>
      </c>
      <c r="H21" s="370">
        <v>0</v>
      </c>
      <c r="I21" s="370">
        <v>0</v>
      </c>
      <c r="J21" s="370">
        <v>99</v>
      </c>
      <c r="K21" s="370">
        <v>0</v>
      </c>
      <c r="L21" s="370">
        <v>0</v>
      </c>
      <c r="M21" s="370">
        <v>0</v>
      </c>
      <c r="N21" s="370">
        <v>0</v>
      </c>
      <c r="O21" s="370">
        <v>0</v>
      </c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spans="1:26" ht="15.75" customHeight="1" outlineLevel="1">
      <c r="A22" s="365" t="s">
        <v>1261</v>
      </c>
      <c r="B22" s="366">
        <v>857.6</v>
      </c>
      <c r="C22" s="369"/>
      <c r="D22" s="370">
        <v>0</v>
      </c>
      <c r="E22" s="370">
        <v>0</v>
      </c>
      <c r="F22" s="370">
        <v>0</v>
      </c>
      <c r="G22" s="370">
        <v>89.92</v>
      </c>
      <c r="H22" s="370">
        <v>0</v>
      </c>
      <c r="I22" s="370">
        <v>301.23</v>
      </c>
      <c r="J22" s="370">
        <v>0</v>
      </c>
      <c r="K22" s="370">
        <v>0</v>
      </c>
      <c r="L22" s="370">
        <v>0</v>
      </c>
      <c r="M22" s="370">
        <v>388.45</v>
      </c>
      <c r="N22" s="370">
        <v>78</v>
      </c>
      <c r="O22" s="370">
        <v>0</v>
      </c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spans="1:26" ht="15.75" customHeight="1" outlineLevel="1">
      <c r="A23" s="365" t="s">
        <v>1264</v>
      </c>
      <c r="B23" s="366">
        <v>2474.09</v>
      </c>
      <c r="C23" s="369"/>
      <c r="D23" s="370">
        <v>0</v>
      </c>
      <c r="E23" s="370">
        <v>0</v>
      </c>
      <c r="F23" s="370">
        <v>0</v>
      </c>
      <c r="G23" s="370">
        <v>0</v>
      </c>
      <c r="H23" s="370">
        <v>2321.88</v>
      </c>
      <c r="I23" s="370">
        <v>0</v>
      </c>
      <c r="J23" s="370">
        <v>0</v>
      </c>
      <c r="K23" s="370">
        <v>0</v>
      </c>
      <c r="L23" s="370">
        <v>0</v>
      </c>
      <c r="M23" s="370">
        <v>0</v>
      </c>
      <c r="N23" s="370">
        <v>0</v>
      </c>
      <c r="O23" s="370">
        <v>152.21</v>
      </c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spans="1:26" ht="15.75" customHeight="1" outlineLevel="1">
      <c r="A24" s="365" t="s">
        <v>1265</v>
      </c>
      <c r="B24" s="366">
        <v>4925</v>
      </c>
      <c r="C24" s="369"/>
      <c r="D24" s="370">
        <v>0</v>
      </c>
      <c r="E24" s="370">
        <v>400</v>
      </c>
      <c r="F24" s="370">
        <v>0</v>
      </c>
      <c r="G24" s="370">
        <v>500</v>
      </c>
      <c r="H24" s="370">
        <v>0</v>
      </c>
      <c r="I24" s="370">
        <v>1100</v>
      </c>
      <c r="J24" s="370">
        <v>500</v>
      </c>
      <c r="K24" s="370">
        <v>0</v>
      </c>
      <c r="L24" s="370">
        <v>700</v>
      </c>
      <c r="M24" s="370">
        <v>625</v>
      </c>
      <c r="N24" s="370">
        <v>600</v>
      </c>
      <c r="O24" s="370">
        <v>500</v>
      </c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spans="1:26" ht="15.75" customHeight="1" outlineLevel="1">
      <c r="A25" s="372" t="s">
        <v>1266</v>
      </c>
      <c r="B25" s="366">
        <v>2229.91</v>
      </c>
      <c r="C25" s="369"/>
      <c r="D25" s="370">
        <v>0</v>
      </c>
      <c r="E25" s="370">
        <v>38.49</v>
      </c>
      <c r="F25" s="370">
        <v>786.95</v>
      </c>
      <c r="G25" s="370">
        <v>0</v>
      </c>
      <c r="H25" s="370">
        <v>0</v>
      </c>
      <c r="I25" s="370">
        <v>0</v>
      </c>
      <c r="J25" s="370">
        <v>0</v>
      </c>
      <c r="K25" s="370">
        <v>584.9</v>
      </c>
      <c r="L25" s="370">
        <v>0</v>
      </c>
      <c r="M25" s="370">
        <v>177.5</v>
      </c>
      <c r="N25" s="370">
        <v>213.99</v>
      </c>
      <c r="O25" s="370">
        <v>428.08</v>
      </c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spans="1:26" ht="15.75" customHeight="1" outlineLevel="1">
      <c r="A26" s="365" t="s">
        <v>1267</v>
      </c>
      <c r="B26" s="366">
        <v>3154.04</v>
      </c>
      <c r="C26" s="369"/>
      <c r="D26" s="370">
        <v>40</v>
      </c>
      <c r="E26" s="370">
        <v>0</v>
      </c>
      <c r="F26" s="370">
        <v>20</v>
      </c>
      <c r="G26" s="370">
        <v>56.8</v>
      </c>
      <c r="H26" s="370">
        <v>1543.8899999999999</v>
      </c>
      <c r="I26" s="370">
        <v>212.60000000000002</v>
      </c>
      <c r="J26" s="370">
        <v>0</v>
      </c>
      <c r="K26" s="370">
        <v>870.96</v>
      </c>
      <c r="L26" s="370">
        <v>0</v>
      </c>
      <c r="M26" s="370">
        <v>138.29</v>
      </c>
      <c r="N26" s="370">
        <v>147.6</v>
      </c>
      <c r="O26" s="370">
        <v>123.9</v>
      </c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spans="1:26" ht="15.75" customHeight="1" outlineLevel="1">
      <c r="A27" s="365" t="s">
        <v>1268</v>
      </c>
      <c r="B27" s="366">
        <v>24607</v>
      </c>
      <c r="C27" s="369"/>
      <c r="D27" s="370">
        <v>0</v>
      </c>
      <c r="E27" s="370">
        <v>3378</v>
      </c>
      <c r="F27" s="370">
        <v>0</v>
      </c>
      <c r="G27" s="370">
        <v>25</v>
      </c>
      <c r="H27" s="370">
        <v>4251</v>
      </c>
      <c r="I27" s="370">
        <v>25</v>
      </c>
      <c r="J27" s="370">
        <v>0</v>
      </c>
      <c r="K27" s="370">
        <v>5638</v>
      </c>
      <c r="L27" s="370">
        <v>30</v>
      </c>
      <c r="M27" s="370">
        <v>5630</v>
      </c>
      <c r="N27" s="370">
        <v>0</v>
      </c>
      <c r="O27" s="370">
        <v>5630</v>
      </c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spans="1:26" ht="15.75" customHeight="1" outlineLevel="1">
      <c r="A28" s="365" t="s">
        <v>424</v>
      </c>
      <c r="B28" s="366">
        <v>18796.37</v>
      </c>
      <c r="C28" s="369"/>
      <c r="D28" s="370">
        <v>0</v>
      </c>
      <c r="E28" s="370">
        <v>3698</v>
      </c>
      <c r="F28" s="370">
        <v>3340</v>
      </c>
      <c r="G28" s="370">
        <v>0</v>
      </c>
      <c r="H28" s="370">
        <v>163.37</v>
      </c>
      <c r="I28" s="370">
        <v>0</v>
      </c>
      <c r="J28" s="370">
        <v>0</v>
      </c>
      <c r="K28" s="370">
        <v>4372</v>
      </c>
      <c r="L28" s="370">
        <v>75</v>
      </c>
      <c r="M28" s="370">
        <v>0</v>
      </c>
      <c r="N28" s="370">
        <v>7148</v>
      </c>
      <c r="O28" s="370">
        <v>0</v>
      </c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spans="1:26" ht="15.75" customHeight="1" outlineLevel="1">
      <c r="A29" s="365" t="s">
        <v>1271</v>
      </c>
      <c r="B29" s="366">
        <v>2186</v>
      </c>
      <c r="C29" s="369"/>
      <c r="D29" s="370">
        <v>0</v>
      </c>
      <c r="E29" s="370">
        <v>0</v>
      </c>
      <c r="F29" s="370">
        <v>0</v>
      </c>
      <c r="G29" s="370">
        <v>0</v>
      </c>
      <c r="H29" s="370">
        <v>0</v>
      </c>
      <c r="I29" s="370">
        <v>2186</v>
      </c>
      <c r="J29" s="370">
        <v>0</v>
      </c>
      <c r="K29" s="370">
        <v>0</v>
      </c>
      <c r="L29" s="370">
        <v>0</v>
      </c>
      <c r="M29" s="370">
        <v>0</v>
      </c>
      <c r="N29" s="370">
        <v>0</v>
      </c>
      <c r="O29" s="370">
        <v>0</v>
      </c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spans="1:26" ht="15.75" customHeight="1" outlineLevel="1">
      <c r="A30" s="365" t="s">
        <v>434</v>
      </c>
      <c r="B30" s="366">
        <v>399</v>
      </c>
      <c r="C30" s="369"/>
      <c r="D30" s="370">
        <v>0</v>
      </c>
      <c r="E30" s="370">
        <v>0</v>
      </c>
      <c r="F30" s="370">
        <v>99</v>
      </c>
      <c r="G30" s="370">
        <v>0</v>
      </c>
      <c r="H30" s="370">
        <v>0</v>
      </c>
      <c r="I30" s="370">
        <v>300</v>
      </c>
      <c r="J30" s="370">
        <v>0</v>
      </c>
      <c r="K30" s="370">
        <v>0</v>
      </c>
      <c r="L30" s="370">
        <v>0</v>
      </c>
      <c r="M30" s="370">
        <v>0</v>
      </c>
      <c r="N30" s="370">
        <v>0</v>
      </c>
      <c r="O30" s="370">
        <v>0</v>
      </c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spans="1:26" ht="15.75" customHeight="1" outlineLevel="1">
      <c r="A31" s="365" t="s">
        <v>461</v>
      </c>
      <c r="B31" s="366">
        <v>1793.05</v>
      </c>
      <c r="C31" s="369"/>
      <c r="D31" s="370">
        <v>0</v>
      </c>
      <c r="E31" s="370">
        <v>43.41</v>
      </c>
      <c r="F31" s="370">
        <v>0</v>
      </c>
      <c r="G31" s="370">
        <v>0</v>
      </c>
      <c r="H31" s="370">
        <v>1109.8499999999999</v>
      </c>
      <c r="I31" s="370">
        <v>0</v>
      </c>
      <c r="J31" s="370">
        <v>0</v>
      </c>
      <c r="K31" s="370">
        <v>0</v>
      </c>
      <c r="L31" s="370">
        <v>0</v>
      </c>
      <c r="M31" s="370">
        <v>0</v>
      </c>
      <c r="N31" s="370">
        <v>54.79</v>
      </c>
      <c r="O31" s="370">
        <v>585</v>
      </c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spans="1:26" ht="15.75" customHeight="1" outlineLevel="1">
      <c r="A32" s="365" t="s">
        <v>1273</v>
      </c>
      <c r="B32" s="366">
        <v>76.81</v>
      </c>
      <c r="C32" s="369"/>
      <c r="D32" s="370">
        <v>76.81</v>
      </c>
      <c r="E32" s="370">
        <v>0</v>
      </c>
      <c r="F32" s="370">
        <v>0</v>
      </c>
      <c r="G32" s="370">
        <v>0</v>
      </c>
      <c r="H32" s="370">
        <v>0</v>
      </c>
      <c r="I32" s="370">
        <v>0</v>
      </c>
      <c r="J32" s="370">
        <v>0</v>
      </c>
      <c r="K32" s="370">
        <v>0</v>
      </c>
      <c r="L32" s="370">
        <v>0</v>
      </c>
      <c r="M32" s="370">
        <v>0</v>
      </c>
      <c r="N32" s="370">
        <v>0</v>
      </c>
      <c r="O32" s="370">
        <v>0</v>
      </c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spans="1:26" ht="15.75" customHeight="1" outlineLevel="1">
      <c r="A33" s="365" t="s">
        <v>1274</v>
      </c>
      <c r="B33" s="366">
        <v>1427.7</v>
      </c>
      <c r="C33" s="369"/>
      <c r="D33" s="370">
        <v>0</v>
      </c>
      <c r="E33" s="370">
        <v>0</v>
      </c>
      <c r="F33" s="370">
        <v>29.2</v>
      </c>
      <c r="G33" s="370">
        <v>54.74</v>
      </c>
      <c r="H33" s="370">
        <v>146</v>
      </c>
      <c r="I33" s="370">
        <v>91.06</v>
      </c>
      <c r="J33" s="370">
        <v>574.02</v>
      </c>
      <c r="K33" s="370">
        <v>532.67999999999995</v>
      </c>
      <c r="L33" s="370">
        <v>0</v>
      </c>
      <c r="M33" s="370">
        <v>0</v>
      </c>
      <c r="N33" s="370">
        <v>0</v>
      </c>
      <c r="O33" s="370">
        <v>0</v>
      </c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spans="1:26" ht="15.75" customHeight="1" outlineLevel="1">
      <c r="A34" s="365" t="s">
        <v>436</v>
      </c>
      <c r="B34" s="366">
        <v>294474.92</v>
      </c>
      <c r="C34" s="369"/>
      <c r="D34" s="370">
        <v>24187.69</v>
      </c>
      <c r="E34" s="370">
        <v>11931.35</v>
      </c>
      <c r="F34" s="370">
        <v>13754.41</v>
      </c>
      <c r="G34" s="370">
        <v>20904.259999999998</v>
      </c>
      <c r="H34" s="370">
        <v>22704.29</v>
      </c>
      <c r="I34" s="370">
        <v>29670.85</v>
      </c>
      <c r="J34" s="370">
        <v>33719.780000000006</v>
      </c>
      <c r="K34" s="370">
        <v>28894.449999999997</v>
      </c>
      <c r="L34" s="370">
        <v>27680.61</v>
      </c>
      <c r="M34" s="370">
        <v>45938.33</v>
      </c>
      <c r="N34" s="370">
        <v>18860.54</v>
      </c>
      <c r="O34" s="370">
        <v>16228.36</v>
      </c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spans="1:26" ht="15.75" customHeight="1" outlineLevel="1">
      <c r="A35" s="365" t="s">
        <v>1275</v>
      </c>
      <c r="B35" s="366">
        <v>420.81</v>
      </c>
      <c r="C35" s="369"/>
      <c r="D35" s="370">
        <v>0</v>
      </c>
      <c r="E35" s="370">
        <v>163.70999999999998</v>
      </c>
      <c r="F35" s="370">
        <v>169</v>
      </c>
      <c r="G35" s="370">
        <v>88.1</v>
      </c>
      <c r="H35" s="370">
        <v>0</v>
      </c>
      <c r="I35" s="370">
        <v>0</v>
      </c>
      <c r="J35" s="370">
        <v>0</v>
      </c>
      <c r="K35" s="370">
        <v>0</v>
      </c>
      <c r="L35" s="370">
        <v>0</v>
      </c>
      <c r="M35" s="370">
        <v>0</v>
      </c>
      <c r="N35" s="370">
        <v>0</v>
      </c>
      <c r="O35" s="370">
        <v>0</v>
      </c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spans="1:26" ht="15.75" customHeight="1" outlineLevel="1">
      <c r="A36" s="365" t="s">
        <v>1276</v>
      </c>
      <c r="B36" s="366">
        <v>6671.16</v>
      </c>
      <c r="C36" s="369"/>
      <c r="D36" s="370">
        <v>1195</v>
      </c>
      <c r="E36" s="370">
        <v>2030.14</v>
      </c>
      <c r="F36" s="370">
        <v>2199.87</v>
      </c>
      <c r="G36" s="370">
        <v>1246.1500000000001</v>
      </c>
      <c r="H36" s="370">
        <v>0</v>
      </c>
      <c r="I36" s="370">
        <v>0</v>
      </c>
      <c r="J36" s="370">
        <v>0</v>
      </c>
      <c r="K36" s="370">
        <v>0</v>
      </c>
      <c r="L36" s="370">
        <v>0</v>
      </c>
      <c r="M36" s="370">
        <v>0</v>
      </c>
      <c r="N36" s="370">
        <v>0</v>
      </c>
      <c r="O36" s="370">
        <v>0</v>
      </c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spans="1:26" ht="15.75" customHeight="1" outlineLevel="1">
      <c r="A37" s="365" t="s">
        <v>441</v>
      </c>
      <c r="B37" s="366">
        <v>13386.33</v>
      </c>
      <c r="C37" s="369"/>
      <c r="D37" s="370">
        <v>0</v>
      </c>
      <c r="E37" s="370">
        <v>900</v>
      </c>
      <c r="F37" s="370">
        <v>1000</v>
      </c>
      <c r="G37" s="370">
        <v>0</v>
      </c>
      <c r="H37" s="370">
        <v>0</v>
      </c>
      <c r="I37" s="370">
        <v>2116.25</v>
      </c>
      <c r="J37" s="370">
        <v>0</v>
      </c>
      <c r="K37" s="370">
        <v>0</v>
      </c>
      <c r="L37" s="370">
        <v>5317.58</v>
      </c>
      <c r="M37" s="370">
        <v>0</v>
      </c>
      <c r="N37" s="370">
        <v>4000</v>
      </c>
      <c r="O37" s="370">
        <v>52.5</v>
      </c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spans="1:26" ht="15.75" customHeight="1" outlineLevel="1">
      <c r="A38" s="365" t="s">
        <v>1279</v>
      </c>
      <c r="B38" s="366">
        <v>6745</v>
      </c>
      <c r="C38" s="369"/>
      <c r="D38" s="370">
        <v>0</v>
      </c>
      <c r="E38" s="370">
        <v>0</v>
      </c>
      <c r="F38" s="370">
        <v>0</v>
      </c>
      <c r="G38" s="370">
        <v>0</v>
      </c>
      <c r="H38" s="370">
        <v>6745</v>
      </c>
      <c r="I38" s="370">
        <v>0</v>
      </c>
      <c r="J38" s="370">
        <v>0</v>
      </c>
      <c r="K38" s="370">
        <v>0</v>
      </c>
      <c r="L38" s="370">
        <v>0</v>
      </c>
      <c r="M38" s="370">
        <v>0</v>
      </c>
      <c r="N38" s="370">
        <v>0</v>
      </c>
      <c r="O38" s="370">
        <v>0</v>
      </c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spans="1:26" ht="15.75" customHeight="1" outlineLevel="1">
      <c r="A39" s="365" t="s">
        <v>1280</v>
      </c>
      <c r="B39" s="366">
        <v>16</v>
      </c>
      <c r="C39" s="369"/>
      <c r="D39" s="370">
        <v>0</v>
      </c>
      <c r="E39" s="370">
        <v>16</v>
      </c>
      <c r="F39" s="370">
        <v>0</v>
      </c>
      <c r="G39" s="370">
        <v>0</v>
      </c>
      <c r="H39" s="370">
        <v>0</v>
      </c>
      <c r="I39" s="370">
        <v>0</v>
      </c>
      <c r="J39" s="370">
        <v>0</v>
      </c>
      <c r="K39" s="370">
        <v>0</v>
      </c>
      <c r="L39" s="370">
        <v>0</v>
      </c>
      <c r="M39" s="370">
        <v>0</v>
      </c>
      <c r="N39" s="370">
        <v>0</v>
      </c>
      <c r="O39" s="370">
        <v>0</v>
      </c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spans="1:26" ht="15.75" customHeight="1" outlineLevel="1">
      <c r="A40" s="365" t="s">
        <v>456</v>
      </c>
      <c r="B40" s="366">
        <v>30640.39</v>
      </c>
      <c r="C40" s="369"/>
      <c r="D40" s="370">
        <v>0</v>
      </c>
      <c r="E40" s="370">
        <v>876.99</v>
      </c>
      <c r="F40" s="370">
        <v>8523.48</v>
      </c>
      <c r="G40" s="370">
        <v>1571.3899999999999</v>
      </c>
      <c r="H40" s="370">
        <v>1702.9299999999998</v>
      </c>
      <c r="I40" s="370">
        <v>265.56</v>
      </c>
      <c r="J40" s="370">
        <v>5640</v>
      </c>
      <c r="K40" s="370">
        <v>6218.13</v>
      </c>
      <c r="L40" s="370">
        <v>1141.6100000000001</v>
      </c>
      <c r="M40" s="370">
        <v>3902.3199999999997</v>
      </c>
      <c r="N40" s="370">
        <v>531.21</v>
      </c>
      <c r="O40" s="370">
        <v>266.77</v>
      </c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spans="1:26" ht="15.75" customHeight="1" outlineLevel="1">
      <c r="A41" s="365" t="s">
        <v>447</v>
      </c>
      <c r="B41" s="366">
        <v>208500</v>
      </c>
      <c r="C41" s="369"/>
      <c r="D41" s="370">
        <v>15500</v>
      </c>
      <c r="E41" s="370">
        <v>31000</v>
      </c>
      <c r="F41" s="370">
        <v>15500</v>
      </c>
      <c r="G41" s="370">
        <v>0</v>
      </c>
      <c r="H41" s="370">
        <v>38000</v>
      </c>
      <c r="I41" s="370">
        <v>15500</v>
      </c>
      <c r="J41" s="370">
        <v>15500</v>
      </c>
      <c r="K41" s="370">
        <v>15500</v>
      </c>
      <c r="L41" s="370">
        <v>15500</v>
      </c>
      <c r="M41" s="370">
        <v>15500</v>
      </c>
      <c r="N41" s="370">
        <v>15500</v>
      </c>
      <c r="O41" s="370">
        <v>15500</v>
      </c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spans="1:26" ht="15.75" customHeight="1" outlineLevel="1">
      <c r="A42" s="365" t="s">
        <v>466</v>
      </c>
      <c r="B42" s="366">
        <v>50109.01</v>
      </c>
      <c r="C42" s="369"/>
      <c r="D42" s="370">
        <v>9588.9599999999991</v>
      </c>
      <c r="E42" s="370">
        <v>316.09000000000003</v>
      </c>
      <c r="F42" s="370">
        <v>5565</v>
      </c>
      <c r="G42" s="370">
        <v>7600</v>
      </c>
      <c r="H42" s="370">
        <v>5129.45</v>
      </c>
      <c r="I42" s="370">
        <v>2134.02</v>
      </c>
      <c r="J42" s="370">
        <v>251.68</v>
      </c>
      <c r="K42" s="370">
        <v>1931.71</v>
      </c>
      <c r="L42" s="370">
        <v>829.02</v>
      </c>
      <c r="M42" s="370">
        <v>3476.6700000000005</v>
      </c>
      <c r="N42" s="370">
        <v>6729.5499999999993</v>
      </c>
      <c r="O42" s="370">
        <v>6556.8600000000006</v>
      </c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spans="1:26" ht="15.75" customHeight="1" outlineLevel="1">
      <c r="A43" s="372" t="s">
        <v>456</v>
      </c>
      <c r="B43" s="366">
        <v>6140</v>
      </c>
      <c r="C43" s="369"/>
      <c r="D43" s="370">
        <v>0</v>
      </c>
      <c r="E43" s="370">
        <v>0</v>
      </c>
      <c r="F43" s="370">
        <v>500</v>
      </c>
      <c r="G43" s="370">
        <v>0</v>
      </c>
      <c r="H43" s="370">
        <v>0</v>
      </c>
      <c r="I43" s="370">
        <v>0</v>
      </c>
      <c r="J43" s="370">
        <v>5640</v>
      </c>
      <c r="K43" s="370">
        <v>0</v>
      </c>
      <c r="L43" s="370">
        <v>0</v>
      </c>
      <c r="M43" s="370">
        <v>0</v>
      </c>
      <c r="N43" s="370">
        <v>0</v>
      </c>
      <c r="O43" s="370">
        <v>0</v>
      </c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spans="1:26" ht="15.75" customHeight="1" outlineLevel="1">
      <c r="A44" s="365" t="s">
        <v>1286</v>
      </c>
      <c r="B44" s="366">
        <v>87.09</v>
      </c>
      <c r="C44" s="369"/>
      <c r="D44" s="370">
        <v>0</v>
      </c>
      <c r="E44" s="370">
        <v>0</v>
      </c>
      <c r="F44" s="370">
        <v>0</v>
      </c>
      <c r="G44" s="370">
        <v>0</v>
      </c>
      <c r="H44" s="370">
        <v>17.95</v>
      </c>
      <c r="I44" s="370">
        <v>67.180000000000007</v>
      </c>
      <c r="J44" s="370">
        <v>0</v>
      </c>
      <c r="K44" s="370">
        <v>0</v>
      </c>
      <c r="L44" s="370">
        <v>0</v>
      </c>
      <c r="M44" s="370">
        <v>0</v>
      </c>
      <c r="N44" s="370">
        <v>0</v>
      </c>
      <c r="O44" s="370">
        <v>1.96</v>
      </c>
      <c r="P44" s="268"/>
      <c r="Q44" s="268"/>
      <c r="R44" s="268">
        <v>0</v>
      </c>
      <c r="S44" s="268"/>
      <c r="T44" s="268"/>
      <c r="U44" s="268"/>
      <c r="V44" s="268"/>
      <c r="W44" s="268"/>
      <c r="X44" s="268"/>
      <c r="Y44" s="268"/>
      <c r="Z44" s="268"/>
    </row>
    <row r="45" spans="1:26" ht="15.75" customHeight="1" outlineLevel="1">
      <c r="A45" s="365" t="s">
        <v>1288</v>
      </c>
      <c r="B45" s="366">
        <v>9459.9</v>
      </c>
      <c r="C45" s="369"/>
      <c r="D45" s="370">
        <v>959.23</v>
      </c>
      <c r="E45" s="370">
        <v>574.93999999999994</v>
      </c>
      <c r="F45" s="370">
        <v>2184.35</v>
      </c>
      <c r="G45" s="370">
        <v>278.94</v>
      </c>
      <c r="H45" s="370">
        <v>1175.53</v>
      </c>
      <c r="I45" s="370">
        <v>1265.8999999999999</v>
      </c>
      <c r="J45" s="370">
        <v>141.66</v>
      </c>
      <c r="K45" s="370">
        <v>0</v>
      </c>
      <c r="L45" s="370">
        <v>541.74</v>
      </c>
      <c r="M45" s="370">
        <v>1782.5900000000001</v>
      </c>
      <c r="N45" s="370">
        <v>230.01</v>
      </c>
      <c r="O45" s="370">
        <v>325.01</v>
      </c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spans="1:26" ht="15.75" customHeight="1" outlineLevel="1">
      <c r="A46" s="365" t="s">
        <v>1289</v>
      </c>
      <c r="B46" s="366">
        <v>7701.79</v>
      </c>
      <c r="C46" s="369"/>
      <c r="D46" s="370">
        <v>619.67999999999995</v>
      </c>
      <c r="E46" s="370">
        <v>516.72</v>
      </c>
      <c r="F46" s="370">
        <v>540.46</v>
      </c>
      <c r="G46" s="370">
        <v>822.84</v>
      </c>
      <c r="H46" s="370">
        <v>510.43</v>
      </c>
      <c r="I46" s="370">
        <v>537.73</v>
      </c>
      <c r="J46" s="370">
        <v>537.73</v>
      </c>
      <c r="K46" s="370">
        <v>741.04</v>
      </c>
      <c r="L46" s="370">
        <v>528.03</v>
      </c>
      <c r="M46" s="370">
        <v>699.08</v>
      </c>
      <c r="N46" s="370">
        <v>595.80999999999995</v>
      </c>
      <c r="O46" s="370">
        <v>1052.24</v>
      </c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spans="1:26" ht="15.75" customHeight="1" outlineLevel="1">
      <c r="A47" s="372" t="s">
        <v>1266</v>
      </c>
      <c r="B47" s="366">
        <v>162.85</v>
      </c>
      <c r="C47" s="369"/>
      <c r="D47" s="370">
        <v>0</v>
      </c>
      <c r="E47" s="370">
        <v>0</v>
      </c>
      <c r="F47" s="370">
        <v>0</v>
      </c>
      <c r="G47" s="370">
        <v>0</v>
      </c>
      <c r="H47" s="370">
        <v>0</v>
      </c>
      <c r="I47" s="370">
        <v>0</v>
      </c>
      <c r="J47" s="370">
        <v>0</v>
      </c>
      <c r="K47" s="370">
        <v>0</v>
      </c>
      <c r="L47" s="370">
        <v>162.85</v>
      </c>
      <c r="M47" s="370">
        <v>0</v>
      </c>
      <c r="N47" s="370">
        <v>0</v>
      </c>
      <c r="O47" s="370">
        <v>0</v>
      </c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spans="1:26" ht="15.75" customHeight="1" outlineLevel="1">
      <c r="A48" s="365" t="s">
        <v>1290</v>
      </c>
      <c r="B48" s="366">
        <v>1750.58</v>
      </c>
      <c r="C48" s="369"/>
      <c r="D48" s="370">
        <v>0</v>
      </c>
      <c r="E48" s="370">
        <v>0</v>
      </c>
      <c r="F48" s="370">
        <v>0</v>
      </c>
      <c r="G48" s="370">
        <v>184.79000000000002</v>
      </c>
      <c r="H48" s="370">
        <v>437.09999999999997</v>
      </c>
      <c r="I48" s="370">
        <v>176.48</v>
      </c>
      <c r="J48" s="370">
        <v>101.66</v>
      </c>
      <c r="K48" s="370">
        <v>16.47</v>
      </c>
      <c r="L48" s="370">
        <v>151.88999999999999</v>
      </c>
      <c r="M48" s="370">
        <v>159.16</v>
      </c>
      <c r="N48" s="370">
        <v>242.8</v>
      </c>
      <c r="O48" s="370">
        <v>280.23</v>
      </c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spans="1:26" ht="15.75" customHeight="1" outlineLevel="1">
      <c r="A49" s="365" t="s">
        <v>511</v>
      </c>
      <c r="B49" s="366">
        <v>18300.13</v>
      </c>
      <c r="C49" s="369"/>
      <c r="D49" s="370">
        <v>1801.5</v>
      </c>
      <c r="E49" s="370">
        <v>27.26</v>
      </c>
      <c r="F49" s="370">
        <v>4363.58</v>
      </c>
      <c r="G49" s="370">
        <v>1809.0099999999998</v>
      </c>
      <c r="H49" s="370">
        <v>1632.1200000000001</v>
      </c>
      <c r="I49" s="370">
        <v>1188.92</v>
      </c>
      <c r="J49" s="370">
        <v>930.24</v>
      </c>
      <c r="K49" s="370">
        <v>1849.7</v>
      </c>
      <c r="L49" s="370">
        <v>1359.26</v>
      </c>
      <c r="M49" s="370">
        <v>1182.1499999999999</v>
      </c>
      <c r="N49" s="370">
        <v>1288.98</v>
      </c>
      <c r="O49" s="370">
        <v>867.41</v>
      </c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spans="1:26" ht="15.75" customHeight="1" outlineLevel="1">
      <c r="A50" s="365" t="s">
        <v>1293</v>
      </c>
      <c r="B50" s="366">
        <v>7800</v>
      </c>
      <c r="C50" s="369"/>
      <c r="D50" s="370">
        <v>600</v>
      </c>
      <c r="E50" s="370">
        <v>1200</v>
      </c>
      <c r="F50" s="370">
        <v>600</v>
      </c>
      <c r="G50" s="370">
        <v>0</v>
      </c>
      <c r="H50" s="370">
        <v>1200</v>
      </c>
      <c r="I50" s="370">
        <v>600</v>
      </c>
      <c r="J50" s="370">
        <v>600</v>
      </c>
      <c r="K50" s="370">
        <v>600</v>
      </c>
      <c r="L50" s="370">
        <v>600</v>
      </c>
      <c r="M50" s="370">
        <v>600</v>
      </c>
      <c r="N50" s="370">
        <v>600</v>
      </c>
      <c r="O50" s="370">
        <v>600</v>
      </c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spans="1:26" ht="15.75" customHeight="1">
      <c r="A51" s="367" t="s">
        <v>1294</v>
      </c>
      <c r="B51" s="368">
        <f>B12+B13+B14+B15+B16+B17+B18+B19+B20+B21+B22+B23+B24+B25+B26+B27+B28+B29+B30+B31+B32+B33+B34+B35+B36+B37+B38+B39+B40+B41+B42+B43+B44+B45+B46+B47+B48+B49+B50</f>
        <v>1223219.3700000001</v>
      </c>
      <c r="C51" s="268"/>
      <c r="D51" s="373">
        <f t="shared" ref="D51:O51" si="1">SUM(D12:D50)</f>
        <v>75920.159999999989</v>
      </c>
      <c r="E51" s="373">
        <f t="shared" si="1"/>
        <v>95861.559999999983</v>
      </c>
      <c r="F51" s="373">
        <f t="shared" si="1"/>
        <v>79166.890000000014</v>
      </c>
      <c r="G51" s="373">
        <f t="shared" si="1"/>
        <v>50879.199999999997</v>
      </c>
      <c r="H51" s="373">
        <f t="shared" si="1"/>
        <v>166391.06</v>
      </c>
      <c r="I51" s="373">
        <f t="shared" si="1"/>
        <v>126975.81999999998</v>
      </c>
      <c r="J51" s="373">
        <f t="shared" si="1"/>
        <v>88347.24</v>
      </c>
      <c r="K51" s="373">
        <f t="shared" si="1"/>
        <v>89724.219999999987</v>
      </c>
      <c r="L51" s="373">
        <f t="shared" si="1"/>
        <v>113202.87000000001</v>
      </c>
      <c r="M51" s="373">
        <f t="shared" si="1"/>
        <v>147099.41999999998</v>
      </c>
      <c r="N51" s="373">
        <f t="shared" si="1"/>
        <v>123746.69000000002</v>
      </c>
      <c r="O51" s="373">
        <f t="shared" si="1"/>
        <v>65904.240000000005</v>
      </c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spans="1:26" ht="15.75" customHeight="1">
      <c r="A52" s="367" t="s">
        <v>1295</v>
      </c>
      <c r="B52" s="368">
        <v>87859.299999999814</v>
      </c>
      <c r="C52" s="268"/>
      <c r="D52" s="370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spans="1:26" ht="15.75" customHeight="1">
      <c r="A53" s="365" t="s">
        <v>1302</v>
      </c>
      <c r="B53" s="252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spans="1:26" ht="15.75" customHeight="1" outlineLevel="1">
      <c r="A54" s="365" t="s">
        <v>1303</v>
      </c>
      <c r="B54" s="366">
        <v>-17375.66</v>
      </c>
      <c r="C54" s="369"/>
      <c r="D54" s="370">
        <v>-6750</v>
      </c>
      <c r="E54" s="370">
        <v>-6000</v>
      </c>
      <c r="F54" s="370">
        <v>-5750</v>
      </c>
      <c r="G54" s="370">
        <v>-1500</v>
      </c>
      <c r="H54" s="370">
        <v>0</v>
      </c>
      <c r="I54" s="370">
        <v>0</v>
      </c>
      <c r="J54" s="370">
        <v>0</v>
      </c>
      <c r="K54" s="370">
        <v>0</v>
      </c>
      <c r="L54" s="370">
        <v>0</v>
      </c>
      <c r="M54" s="370">
        <v>0</v>
      </c>
      <c r="N54" s="370">
        <v>0</v>
      </c>
      <c r="O54" s="370">
        <v>2624.34</v>
      </c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spans="1:26" ht="15.75" customHeight="1" outlineLevel="1">
      <c r="A55" s="365" t="s">
        <v>1304</v>
      </c>
      <c r="B55" s="366">
        <v>600</v>
      </c>
      <c r="C55" s="369"/>
      <c r="D55" s="370">
        <v>600</v>
      </c>
      <c r="E55" s="370">
        <v>0</v>
      </c>
      <c r="F55" s="370">
        <v>0</v>
      </c>
      <c r="G55" s="370">
        <v>0</v>
      </c>
      <c r="H55" s="370">
        <v>0</v>
      </c>
      <c r="I55" s="370">
        <v>0</v>
      </c>
      <c r="J55" s="370">
        <v>0</v>
      </c>
      <c r="K55" s="370">
        <v>0</v>
      </c>
      <c r="L55" s="370">
        <v>0</v>
      </c>
      <c r="M55" s="370">
        <v>0</v>
      </c>
      <c r="N55" s="370">
        <v>0</v>
      </c>
      <c r="O55" s="370">
        <v>0</v>
      </c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spans="1:26" ht="15.75" customHeight="1">
      <c r="A56" s="367" t="s">
        <v>1305</v>
      </c>
      <c r="B56" s="368">
        <f>B54+B55</f>
        <v>-16775.66</v>
      </c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spans="1:26" ht="15.75" customHeight="1">
      <c r="A57" s="367" t="s">
        <v>1306</v>
      </c>
      <c r="B57" s="368">
        <v>16775.66</v>
      </c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spans="1:26" ht="15.75" customHeight="1">
      <c r="A58" s="367" t="s">
        <v>1307</v>
      </c>
      <c r="B58" s="368">
        <v>104634.95999999982</v>
      </c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spans="1:26" ht="15.75" customHeight="1">
      <c r="A59" s="252"/>
      <c r="B59" s="252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spans="1:26" ht="15.75" customHeight="1">
      <c r="A60" s="252"/>
      <c r="B60" s="252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spans="1:26" ht="15.75" customHeight="1">
      <c r="A61" s="252"/>
      <c r="B61" s="252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spans="1:26" ht="15.75" customHeight="1">
      <c r="A62" s="374" t="s">
        <v>1308</v>
      </c>
      <c r="B62" s="252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spans="1:26" ht="15.75" customHeight="1">
      <c r="A63" s="252"/>
      <c r="B63" s="252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spans="1:26" ht="15.75" customHeight="1">
      <c r="A64" s="252"/>
      <c r="B64" s="252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spans="1:26" ht="15.75" customHeight="1">
      <c r="A65" s="252"/>
      <c r="B65" s="252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spans="1:26" ht="15.75" customHeight="1">
      <c r="A66" s="252"/>
      <c r="B66" s="252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spans="1:26" ht="15.75" customHeight="1">
      <c r="A67" s="252"/>
      <c r="B67" s="252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spans="1:26" ht="15.75" customHeight="1">
      <c r="A68" s="252"/>
      <c r="B68" s="252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spans="1:26" ht="15.75" customHeight="1">
      <c r="A69" s="252"/>
      <c r="B69" s="252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spans="1:26" ht="15.75" customHeight="1">
      <c r="A70" s="252"/>
      <c r="B70" s="252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spans="1:26" ht="15.75" customHeight="1">
      <c r="A71" s="252"/>
      <c r="B71" s="252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spans="1:26" ht="15.75" customHeight="1">
      <c r="A72" s="252"/>
      <c r="B72" s="252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spans="1:26" ht="15.75" customHeight="1">
      <c r="A73" s="252"/>
      <c r="B73" s="252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spans="1:26" ht="15.75" customHeight="1">
      <c r="A74" s="252"/>
      <c r="B74" s="252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spans="1:26" ht="15.75" customHeight="1">
      <c r="A75" s="252"/>
      <c r="B75" s="252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spans="1:26" ht="15.75" customHeight="1">
      <c r="A76" s="252"/>
      <c r="B76" s="252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spans="1:26" ht="15.75" customHeight="1">
      <c r="A77" s="252"/>
      <c r="B77" s="252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spans="1:26" ht="15.75" customHeight="1">
      <c r="A78" s="252"/>
      <c r="B78" s="252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spans="1:26" ht="15.75" customHeight="1">
      <c r="A79" s="252"/>
      <c r="B79" s="252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spans="1:26" ht="15.75" customHeight="1">
      <c r="A80" s="252"/>
      <c r="B80" s="252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spans="1:26" ht="15.75" customHeight="1">
      <c r="A81" s="252"/>
      <c r="B81" s="252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spans="1:26" ht="15.75" customHeight="1">
      <c r="A82" s="252"/>
      <c r="B82" s="252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spans="1:26" ht="15.75" customHeight="1">
      <c r="A83" s="252"/>
      <c r="B83" s="252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spans="1:26" ht="15.75" customHeight="1">
      <c r="A84" s="252"/>
      <c r="B84" s="252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spans="1:26" ht="15.75" customHeight="1">
      <c r="A85" s="252"/>
      <c r="B85" s="252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spans="1:26" ht="15.75" customHeight="1">
      <c r="A86" s="252"/>
      <c r="B86" s="252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spans="1:26" ht="15.75" customHeight="1">
      <c r="A87" s="252"/>
      <c r="B87" s="252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spans="1:26" ht="15.75" customHeight="1">
      <c r="A88" s="252"/>
      <c r="B88" s="252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spans="1:26" ht="15.75" customHeight="1">
      <c r="A89" s="252"/>
      <c r="B89" s="252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spans="1:26" ht="15.75" customHeight="1">
      <c r="A90" s="252"/>
      <c r="B90" s="252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spans="1:26" ht="15.75" customHeight="1">
      <c r="A91" s="252"/>
      <c r="B91" s="252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spans="1:26" ht="15.75" customHeight="1">
      <c r="A92" s="252"/>
      <c r="B92" s="252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spans="1:26" ht="15.75" customHeight="1">
      <c r="A93" s="252"/>
      <c r="B93" s="252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spans="1:26" ht="15.75" customHeight="1">
      <c r="A94" s="252"/>
      <c r="B94" s="252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spans="1:26" ht="15.75" customHeight="1">
      <c r="A95" s="252"/>
      <c r="B95" s="252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spans="1:26" ht="15.75" customHeight="1">
      <c r="A96" s="252"/>
      <c r="B96" s="252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spans="1:26" ht="15.75" customHeight="1">
      <c r="A97" s="252"/>
      <c r="B97" s="252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spans="1:26" ht="15.75" customHeight="1">
      <c r="A98" s="252"/>
      <c r="B98" s="252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spans="1:26" ht="15.75" customHeight="1">
      <c r="A99" s="252"/>
      <c r="B99" s="252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spans="1:26" ht="15.75" customHeight="1">
      <c r="A100" s="252"/>
      <c r="B100" s="252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spans="1:26" ht="15.75" customHeight="1">
      <c r="A101" s="252"/>
      <c r="B101" s="252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spans="1:26" ht="15.75" customHeight="1">
      <c r="A102" s="252"/>
      <c r="B102" s="252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spans="1:26" ht="15.75" customHeight="1">
      <c r="A103" s="252"/>
      <c r="B103" s="252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spans="1:26" ht="15.75" customHeight="1">
      <c r="A104" s="252"/>
      <c r="B104" s="252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spans="1:26" ht="15.75" customHeight="1">
      <c r="A105" s="252"/>
      <c r="B105" s="252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spans="1:26" ht="15.75" customHeight="1">
      <c r="A106" s="252"/>
      <c r="B106" s="252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spans="1:26" ht="15.75" customHeight="1">
      <c r="A107" s="252"/>
      <c r="B107" s="252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spans="1:26" ht="15.75" customHeight="1">
      <c r="A108" s="252"/>
      <c r="B108" s="252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spans="1:26" ht="15.75" customHeight="1">
      <c r="A109" s="252"/>
      <c r="B109" s="252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spans="1:26" ht="15.75" customHeight="1">
      <c r="A110" s="252"/>
      <c r="B110" s="252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spans="1:26" ht="15.75" customHeight="1">
      <c r="A111" s="252"/>
      <c r="B111" s="252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spans="1:26" ht="15.75" customHeight="1">
      <c r="A112" s="252"/>
      <c r="B112" s="252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spans="1:26" ht="15.75" customHeight="1">
      <c r="A113" s="252"/>
      <c r="B113" s="252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spans="1:26" ht="15.75" customHeight="1">
      <c r="A114" s="252"/>
      <c r="B114" s="252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spans="1:26" ht="15.75" customHeight="1">
      <c r="A115" s="252"/>
      <c r="B115" s="252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spans="1:26" ht="15.75" customHeight="1">
      <c r="A116" s="252"/>
      <c r="B116" s="252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spans="1:26" ht="15.75" customHeight="1">
      <c r="A117" s="252"/>
      <c r="B117" s="252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spans="1:26" ht="15.75" customHeight="1">
      <c r="A118" s="252"/>
      <c r="B118" s="252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spans="1:26" ht="15.75" customHeight="1">
      <c r="A119" s="252"/>
      <c r="B119" s="252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spans="1:26" ht="15.75" customHeight="1">
      <c r="A120" s="252"/>
      <c r="B120" s="252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spans="1:26" ht="15.75" customHeight="1">
      <c r="A121" s="252"/>
      <c r="B121" s="252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spans="1:26" ht="15.75" customHeight="1">
      <c r="A122" s="252"/>
      <c r="B122" s="252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spans="1:26" ht="15.75" customHeight="1">
      <c r="A123" s="252"/>
      <c r="B123" s="252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spans="1:26" ht="15.75" customHeight="1">
      <c r="A124" s="252"/>
      <c r="B124" s="252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spans="1:26" ht="15.75" customHeight="1">
      <c r="A125" s="252"/>
      <c r="B125" s="252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spans="1:26" ht="15.75" customHeight="1">
      <c r="A126" s="252"/>
      <c r="B126" s="252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spans="1:26" ht="15.75" customHeight="1">
      <c r="A127" s="252"/>
      <c r="B127" s="252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spans="1:26" ht="15.75" customHeight="1">
      <c r="A128" s="252"/>
      <c r="B128" s="252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spans="1:26" ht="15.75" customHeight="1">
      <c r="A129" s="252"/>
      <c r="B129" s="252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spans="1:26" ht="15.75" customHeight="1">
      <c r="A130" s="252"/>
      <c r="B130" s="252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spans="1:26" ht="15.75" customHeight="1">
      <c r="A131" s="252"/>
      <c r="B131" s="252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spans="1:26" ht="15.75" customHeight="1">
      <c r="A132" s="252"/>
      <c r="B132" s="252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spans="1:26" ht="15.75" customHeight="1">
      <c r="A133" s="252"/>
      <c r="B133" s="252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spans="1:26" ht="15.75" customHeight="1">
      <c r="A134" s="252"/>
      <c r="B134" s="252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spans="1:26" ht="15.75" customHeight="1">
      <c r="A135" s="252"/>
      <c r="B135" s="252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spans="1:26" ht="15.75" customHeight="1">
      <c r="A136" s="252"/>
      <c r="B136" s="252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spans="1:26" ht="15.75" customHeight="1">
      <c r="A137" s="252"/>
      <c r="B137" s="252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spans="1:26" ht="15.75" customHeight="1">
      <c r="A138" s="252"/>
      <c r="B138" s="252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spans="1:26" ht="15.75" customHeight="1">
      <c r="A139" s="252"/>
      <c r="B139" s="252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spans="1:26" ht="15.75" customHeight="1">
      <c r="A140" s="252"/>
      <c r="B140" s="252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spans="1:26" ht="15.75" customHeight="1">
      <c r="A141" s="252"/>
      <c r="B141" s="252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spans="1:26" ht="15.75" customHeight="1">
      <c r="A142" s="252"/>
      <c r="B142" s="252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spans="1:26" ht="15.75" customHeight="1">
      <c r="A143" s="252"/>
      <c r="B143" s="252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spans="1:26" ht="15.75" customHeight="1">
      <c r="A144" s="252"/>
      <c r="B144" s="252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spans="1:26" ht="15.75" customHeight="1">
      <c r="A145" s="252"/>
      <c r="B145" s="252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spans="1:26" ht="15.75" customHeight="1">
      <c r="A146" s="252"/>
      <c r="B146" s="252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spans="1:26" ht="15.75" customHeight="1">
      <c r="A147" s="252"/>
      <c r="B147" s="252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spans="1:26" ht="15.75" customHeight="1">
      <c r="A148" s="252"/>
      <c r="B148" s="252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spans="1:26" ht="15.75" customHeight="1">
      <c r="A149" s="252"/>
      <c r="B149" s="252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spans="1:26" ht="15.75" customHeight="1">
      <c r="A150" s="252"/>
      <c r="B150" s="252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spans="1:26" ht="15.75" customHeight="1">
      <c r="A151" s="252"/>
      <c r="B151" s="252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spans="1:26" ht="15.75" customHeight="1">
      <c r="A152" s="252"/>
      <c r="B152" s="252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spans="1:26" ht="15.75" customHeight="1">
      <c r="A153" s="252"/>
      <c r="B153" s="252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spans="1:26" ht="15.75" customHeight="1">
      <c r="A154" s="252"/>
      <c r="B154" s="252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spans="1:26" ht="15.75" customHeight="1">
      <c r="A155" s="252"/>
      <c r="B155" s="252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spans="1:26" ht="15.75" customHeight="1">
      <c r="A156" s="252"/>
      <c r="B156" s="252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spans="1:26" ht="15.75" customHeight="1">
      <c r="A157" s="252"/>
      <c r="B157" s="252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spans="1:26" ht="15.75" customHeight="1">
      <c r="A158" s="252"/>
      <c r="B158" s="252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spans="1:26" ht="15.75" customHeight="1">
      <c r="A159" s="252"/>
      <c r="B159" s="252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spans="1:26" ht="15.75" customHeight="1">
      <c r="A160" s="252"/>
      <c r="B160" s="252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spans="1:26" ht="15.75" customHeight="1">
      <c r="A161" s="252"/>
      <c r="B161" s="252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spans="1:26" ht="15.75" customHeight="1">
      <c r="A162" s="252"/>
      <c r="B162" s="252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spans="1:26" ht="15.75" customHeight="1">
      <c r="A163" s="252"/>
      <c r="B163" s="252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spans="1:26" ht="15.75" customHeight="1">
      <c r="A164" s="252"/>
      <c r="B164" s="252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spans="1:26" ht="15.75" customHeight="1">
      <c r="A165" s="252"/>
      <c r="B165" s="252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spans="1:26" ht="15.75" customHeight="1">
      <c r="A166" s="252"/>
      <c r="B166" s="252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spans="1:26" ht="15.75" customHeight="1">
      <c r="A167" s="252"/>
      <c r="B167" s="252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spans="1:26" ht="15.75" customHeight="1">
      <c r="A168" s="252"/>
      <c r="B168" s="252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spans="1:26" ht="15.75" customHeight="1">
      <c r="A169" s="252"/>
      <c r="B169" s="252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spans="1:26" ht="15.75" customHeight="1">
      <c r="A170" s="252"/>
      <c r="B170" s="252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spans="1:26" ht="15.75" customHeight="1">
      <c r="A171" s="252"/>
      <c r="B171" s="252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spans="1:26" ht="15.75" customHeight="1">
      <c r="A172" s="252"/>
      <c r="B172" s="252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spans="1:26" ht="15.75" customHeight="1">
      <c r="A173" s="252"/>
      <c r="B173" s="252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spans="1:26" ht="15.75" customHeight="1">
      <c r="A174" s="252"/>
      <c r="B174" s="252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spans="1:26" ht="15.75" customHeight="1">
      <c r="A175" s="252"/>
      <c r="B175" s="252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spans="1:26" ht="15.75" customHeight="1">
      <c r="A176" s="252"/>
      <c r="B176" s="252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spans="1:26" ht="15.75" customHeight="1">
      <c r="A177" s="252"/>
      <c r="B177" s="252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spans="1:26" ht="15.75" customHeight="1">
      <c r="A178" s="252"/>
      <c r="B178" s="252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spans="1:26" ht="15.75" customHeight="1">
      <c r="A179" s="252"/>
      <c r="B179" s="252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spans="1:26" ht="15.75" customHeight="1">
      <c r="A180" s="252"/>
      <c r="B180" s="252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spans="1:26" ht="15.75" customHeight="1">
      <c r="A181" s="252"/>
      <c r="B181" s="252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spans="1:26" ht="15.75" customHeight="1">
      <c r="A182" s="252"/>
      <c r="B182" s="252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spans="1:26" ht="15.75" customHeight="1">
      <c r="A183" s="252"/>
      <c r="B183" s="252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spans="1:26" ht="15.75" customHeight="1">
      <c r="A184" s="252"/>
      <c r="B184" s="252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spans="1:26" ht="15.75" customHeight="1">
      <c r="A185" s="252"/>
      <c r="B185" s="252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spans="1:26" ht="15.75" customHeight="1">
      <c r="A186" s="252"/>
      <c r="B186" s="252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spans="1:26" ht="15.75" customHeight="1">
      <c r="A187" s="252"/>
      <c r="B187" s="252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spans="1:26" ht="15.75" customHeight="1">
      <c r="A188" s="252"/>
      <c r="B188" s="252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spans="1:26" ht="15.75" customHeight="1">
      <c r="A189" s="252"/>
      <c r="B189" s="252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spans="1:26" ht="15.75" customHeight="1">
      <c r="A190" s="252"/>
      <c r="B190" s="252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spans="1:26" ht="15.75" customHeight="1">
      <c r="A191" s="252"/>
      <c r="B191" s="252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spans="1:26" ht="15.75" customHeight="1">
      <c r="A192" s="252"/>
      <c r="B192" s="252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spans="1:26" ht="15.75" customHeight="1">
      <c r="A193" s="252"/>
      <c r="B193" s="252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spans="1:26" ht="15.75" customHeight="1">
      <c r="A194" s="252"/>
      <c r="B194" s="252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spans="1:26" ht="15.75" customHeight="1">
      <c r="A195" s="252"/>
      <c r="B195" s="252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spans="1:26" ht="15.75" customHeight="1">
      <c r="A196" s="252"/>
      <c r="B196" s="252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spans="1:26" ht="15.75" customHeight="1">
      <c r="A197" s="252"/>
      <c r="B197" s="252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spans="1:26" ht="15.75" customHeight="1">
      <c r="A198" s="252"/>
      <c r="B198" s="252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spans="1:26" ht="15.75" customHeight="1">
      <c r="A199" s="252"/>
      <c r="B199" s="252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spans="1:26" ht="15.75" customHeight="1">
      <c r="A200" s="252"/>
      <c r="B200" s="252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spans="1:26" ht="15.75" customHeight="1">
      <c r="A201" s="252"/>
      <c r="B201" s="252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spans="1:26" ht="15.75" customHeight="1">
      <c r="A202" s="252"/>
      <c r="B202" s="252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spans="1:26" ht="15.75" customHeight="1">
      <c r="A203" s="252"/>
      <c r="B203" s="252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spans="1:26" ht="15.75" customHeight="1">
      <c r="A204" s="252"/>
      <c r="B204" s="252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spans="1:26" ht="15.75" customHeight="1">
      <c r="A205" s="252"/>
      <c r="B205" s="252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spans="1:26" ht="15.75" customHeight="1">
      <c r="A206" s="252"/>
      <c r="B206" s="252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spans="1:26" ht="15.75" customHeight="1">
      <c r="A207" s="252"/>
      <c r="B207" s="252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spans="1:26" ht="15.75" customHeight="1">
      <c r="A208" s="252"/>
      <c r="B208" s="252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spans="1:26" ht="15.75" customHeight="1">
      <c r="A209" s="252"/>
      <c r="B209" s="252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spans="1:26" ht="15.75" customHeight="1">
      <c r="A210" s="252"/>
      <c r="B210" s="252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spans="1:26" ht="15.75" customHeight="1">
      <c r="A211" s="252"/>
      <c r="B211" s="252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spans="1:26" ht="15.75" customHeight="1">
      <c r="A212" s="252"/>
      <c r="B212" s="252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spans="1:26" ht="15.75" customHeight="1">
      <c r="A213" s="252"/>
      <c r="B213" s="252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spans="1:26" ht="15.75" customHeight="1">
      <c r="A214" s="252"/>
      <c r="B214" s="252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spans="1:26" ht="15.75" customHeight="1">
      <c r="A215" s="252"/>
      <c r="B215" s="252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spans="1:26" ht="15.75" customHeight="1">
      <c r="A216" s="252"/>
      <c r="B216" s="252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spans="1:26" ht="15.75" customHeight="1">
      <c r="A217" s="252"/>
      <c r="B217" s="252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spans="1:26" ht="15.75" customHeight="1">
      <c r="A218" s="252"/>
      <c r="B218" s="252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spans="1:26" ht="15.75" customHeight="1">
      <c r="A219" s="252"/>
      <c r="B219" s="252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spans="1:26" ht="15.75" customHeight="1">
      <c r="A220" s="252"/>
      <c r="B220" s="252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spans="1:26" ht="15.75" customHeight="1">
      <c r="A221" s="252"/>
      <c r="B221" s="252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spans="1:26" ht="15.75" customHeight="1">
      <c r="A222" s="252"/>
      <c r="B222" s="252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spans="1:26" ht="15.75" customHeight="1">
      <c r="A223" s="252"/>
      <c r="B223" s="252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spans="1:26" ht="15.75" customHeight="1">
      <c r="A224" s="252"/>
      <c r="B224" s="252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spans="1:26" ht="15.75" customHeight="1">
      <c r="A225" s="252"/>
      <c r="B225" s="252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spans="1:26" ht="15.75" customHeight="1">
      <c r="A226" s="252"/>
      <c r="B226" s="252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spans="1:26" ht="15.75" customHeight="1">
      <c r="A227" s="252"/>
      <c r="B227" s="252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spans="1:26" ht="15.75" customHeight="1">
      <c r="A228" s="252"/>
      <c r="B228" s="252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spans="1:26" ht="15.75" customHeight="1">
      <c r="A229" s="252"/>
      <c r="B229" s="252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spans="1:26" ht="15.75" customHeight="1">
      <c r="A230" s="252"/>
      <c r="B230" s="252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spans="1:26" ht="15.75" customHeight="1">
      <c r="A231" s="252"/>
      <c r="B231" s="252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spans="1:26" ht="15.75" customHeight="1">
      <c r="A232" s="252"/>
      <c r="B232" s="252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spans="1:26" ht="15.75" customHeight="1">
      <c r="A233" s="252"/>
      <c r="B233" s="252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spans="1:26" ht="15.75" customHeight="1">
      <c r="A234" s="252"/>
      <c r="B234" s="252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spans="1:26" ht="15.75" customHeight="1">
      <c r="A235" s="252"/>
      <c r="B235" s="252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spans="1:26" ht="15.75" customHeight="1">
      <c r="A236" s="252"/>
      <c r="B236" s="252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spans="1:26" ht="15.75" customHeight="1">
      <c r="A237" s="252"/>
      <c r="B237" s="252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spans="1:26" ht="15.75" customHeight="1">
      <c r="A238" s="252"/>
      <c r="B238" s="252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spans="1:26" ht="15.75" customHeight="1">
      <c r="A239" s="252"/>
      <c r="B239" s="252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spans="1:26" ht="15.75" customHeight="1">
      <c r="A240" s="252"/>
      <c r="B240" s="252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spans="1:26" ht="15.75" customHeight="1">
      <c r="A241" s="252"/>
      <c r="B241" s="252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spans="1:26" ht="15.75" customHeight="1">
      <c r="A242" s="252"/>
      <c r="B242" s="252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spans="1:26" ht="15.75" customHeight="1">
      <c r="A243" s="252"/>
      <c r="B243" s="252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spans="1:26" ht="15.75" customHeight="1">
      <c r="A244" s="252"/>
      <c r="B244" s="252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spans="1:26" ht="15.75" customHeight="1">
      <c r="A245" s="252"/>
      <c r="B245" s="252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spans="1:26" ht="15.75" customHeight="1">
      <c r="A246" s="252"/>
      <c r="B246" s="252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spans="1:26" ht="15.75" customHeight="1">
      <c r="A247" s="252"/>
      <c r="B247" s="252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spans="1:26" ht="15.75" customHeight="1">
      <c r="A248" s="252"/>
      <c r="B248" s="252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spans="1:26" ht="15.75" customHeight="1">
      <c r="A249" s="252"/>
      <c r="B249" s="252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spans="1:26" ht="15.75" customHeight="1">
      <c r="A250" s="252"/>
      <c r="B250" s="252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spans="1:26" ht="15.75" customHeight="1">
      <c r="A251" s="252"/>
      <c r="B251" s="252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spans="1:26" ht="15.75" customHeight="1">
      <c r="A252" s="252"/>
      <c r="B252" s="252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spans="1:26" ht="15.75" customHeight="1">
      <c r="A253" s="252"/>
      <c r="B253" s="252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spans="1:26" ht="15.75" customHeight="1">
      <c r="A254" s="252"/>
      <c r="B254" s="252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spans="1:26" ht="15.75" customHeight="1">
      <c r="A255" s="252"/>
      <c r="B255" s="252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spans="1:26" ht="15.75" customHeight="1">
      <c r="A256" s="252"/>
      <c r="B256" s="252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spans="1:26" ht="15.75" customHeight="1">
      <c r="A257" s="252"/>
      <c r="B257" s="252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spans="1:26" ht="15.75" customHeight="1">
      <c r="A258" s="252"/>
      <c r="B258" s="252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spans="1:26" ht="15.75" customHeight="1">
      <c r="A259" s="252"/>
      <c r="B259" s="252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spans="1:26" ht="15.75" customHeight="1">
      <c r="A260" s="252"/>
      <c r="B260" s="252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spans="1:26" ht="15.75" customHeight="1">
      <c r="A261" s="252"/>
      <c r="B261" s="252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spans="1:26" ht="15.75" customHeight="1">
      <c r="A262" s="252"/>
      <c r="B262" s="252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spans="1:26" ht="15.75" customHeight="1">
      <c r="A263" s="252"/>
      <c r="B263" s="252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spans="1:26" ht="15.75" customHeight="1">
      <c r="A264" s="252"/>
      <c r="B264" s="252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spans="1:26" ht="15.75" customHeight="1">
      <c r="A265" s="252"/>
      <c r="B265" s="252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spans="1:26" ht="15.75" customHeight="1">
      <c r="A266" s="252"/>
      <c r="B266" s="252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spans="1:26" ht="15.75" customHeight="1">
      <c r="A267" s="252"/>
      <c r="B267" s="252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spans="1:26" ht="15.75" customHeight="1">
      <c r="A268" s="252"/>
      <c r="B268" s="252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spans="1:26" ht="15.75" customHeight="1">
      <c r="A269" s="252"/>
      <c r="B269" s="252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spans="1:26" ht="15.75" customHeight="1">
      <c r="A270" s="252"/>
      <c r="B270" s="252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spans="1:26" ht="15.75" customHeight="1">
      <c r="A271" s="252"/>
      <c r="B271" s="252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spans="1:26" ht="15.75" customHeight="1">
      <c r="A272" s="252"/>
      <c r="B272" s="252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spans="1:26" ht="15.75" customHeight="1">
      <c r="A273" s="252"/>
      <c r="B273" s="252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spans="1:26" ht="15.75" customHeight="1">
      <c r="A274" s="252"/>
      <c r="B274" s="252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spans="1:26" ht="15.75" customHeight="1">
      <c r="A275" s="252"/>
      <c r="B275" s="252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spans="1:26" ht="15.75" customHeight="1">
      <c r="A276" s="252"/>
      <c r="B276" s="252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spans="1:26" ht="15.75" customHeight="1">
      <c r="A277" s="252"/>
      <c r="B277" s="252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spans="1:26" ht="15.75" customHeight="1">
      <c r="A278" s="252"/>
      <c r="B278" s="252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spans="1:26" ht="15.75" customHeight="1">
      <c r="A279" s="252"/>
      <c r="B279" s="252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spans="1:26" ht="15.75" customHeight="1">
      <c r="A280" s="252"/>
      <c r="B280" s="252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spans="1:26" ht="15.75" customHeight="1">
      <c r="A281" s="252"/>
      <c r="B281" s="252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spans="1:26" ht="15.75" customHeight="1">
      <c r="A282" s="252"/>
      <c r="B282" s="252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spans="1:26" ht="15.75" customHeight="1">
      <c r="A283" s="252"/>
      <c r="B283" s="252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spans="1:26" ht="15.75" customHeight="1">
      <c r="A284" s="252"/>
      <c r="B284" s="252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spans="1:26" ht="15.75" customHeight="1">
      <c r="A285" s="252"/>
      <c r="B285" s="252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spans="1:26" ht="15.75" customHeight="1">
      <c r="A286" s="252"/>
      <c r="B286" s="252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spans="1:26" ht="15.75" customHeight="1">
      <c r="A287" s="252"/>
      <c r="B287" s="252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spans="1:26" ht="15.75" customHeight="1">
      <c r="A288" s="252"/>
      <c r="B288" s="252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spans="1:26" ht="15.75" customHeight="1">
      <c r="A289" s="252"/>
      <c r="B289" s="252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spans="1:26" ht="15.75" customHeight="1">
      <c r="A290" s="252"/>
      <c r="B290" s="252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spans="1:26" ht="15.75" customHeight="1">
      <c r="A291" s="252"/>
      <c r="B291" s="252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spans="1:26" ht="15.75" customHeight="1">
      <c r="A292" s="252"/>
      <c r="B292" s="252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spans="1:26" ht="15.75" customHeight="1">
      <c r="A293" s="252"/>
      <c r="B293" s="252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spans="1:26" ht="15.75" customHeight="1">
      <c r="A294" s="252"/>
      <c r="B294" s="252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spans="1:26" ht="15.75" customHeight="1">
      <c r="A295" s="252"/>
      <c r="B295" s="252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spans="1:26" ht="15.75" customHeight="1">
      <c r="A296" s="252"/>
      <c r="B296" s="252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spans="1:26" ht="15.75" customHeight="1">
      <c r="A297" s="252"/>
      <c r="B297" s="252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spans="1:26" ht="15.75" customHeight="1">
      <c r="A298" s="252"/>
      <c r="B298" s="252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spans="1:26" ht="15.75" customHeight="1">
      <c r="A299" s="252"/>
      <c r="B299" s="252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spans="1:26" ht="15.75" customHeight="1">
      <c r="A300" s="252"/>
      <c r="B300" s="252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spans="1:26" ht="15.75" customHeight="1">
      <c r="A301" s="252"/>
      <c r="B301" s="252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spans="1:26" ht="15.75" customHeight="1">
      <c r="A302" s="252"/>
      <c r="B302" s="252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spans="1:26" ht="15.75" customHeight="1">
      <c r="A303" s="252"/>
      <c r="B303" s="252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spans="1:26" ht="15.75" customHeight="1">
      <c r="A304" s="252"/>
      <c r="B304" s="252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spans="1:26" ht="15.75" customHeight="1">
      <c r="A305" s="252"/>
      <c r="B305" s="252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spans="1:26" ht="15.75" customHeight="1">
      <c r="A306" s="252"/>
      <c r="B306" s="252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spans="1:26" ht="15.75" customHeight="1">
      <c r="A307" s="252"/>
      <c r="B307" s="252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spans="1:26" ht="15.75" customHeight="1">
      <c r="A308" s="252"/>
      <c r="B308" s="252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spans="1:26" ht="15.75" customHeight="1">
      <c r="A309" s="252"/>
      <c r="B309" s="252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spans="1:26" ht="15.75" customHeight="1">
      <c r="A310" s="252"/>
      <c r="B310" s="252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spans="1:26" ht="15.75" customHeight="1">
      <c r="A311" s="252"/>
      <c r="B311" s="252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spans="1:26" ht="15.75" customHeight="1">
      <c r="A312" s="252"/>
      <c r="B312" s="252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spans="1:26" ht="15.75" customHeight="1">
      <c r="A313" s="252"/>
      <c r="B313" s="252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spans="1:26" ht="15.75" customHeight="1">
      <c r="A314" s="252"/>
      <c r="B314" s="252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spans="1:26" ht="15.75" customHeight="1">
      <c r="A315" s="252"/>
      <c r="B315" s="252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spans="1:26" ht="15.75" customHeight="1">
      <c r="A316" s="252"/>
      <c r="B316" s="252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spans="1:26" ht="15.75" customHeight="1">
      <c r="A317" s="252"/>
      <c r="B317" s="252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spans="1:26" ht="15.75" customHeight="1">
      <c r="A318" s="252"/>
      <c r="B318" s="252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spans="1:26" ht="15.75" customHeight="1">
      <c r="A319" s="252"/>
      <c r="B319" s="252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spans="1:26" ht="15.75" customHeight="1">
      <c r="A320" s="252"/>
      <c r="B320" s="252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spans="1:26" ht="15.75" customHeight="1">
      <c r="A321" s="252"/>
      <c r="B321" s="252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spans="1:26" ht="15.75" customHeight="1">
      <c r="A322" s="252"/>
      <c r="B322" s="252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spans="1:26" ht="15.75" customHeight="1">
      <c r="A323" s="252"/>
      <c r="B323" s="252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spans="1:26" ht="15.75" customHeight="1">
      <c r="A324" s="252"/>
      <c r="B324" s="252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spans="1:26" ht="15.75" customHeight="1">
      <c r="A325" s="252"/>
      <c r="B325" s="252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spans="1:26" ht="15.75" customHeight="1">
      <c r="A326" s="252"/>
      <c r="B326" s="252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spans="1:26" ht="15.75" customHeight="1">
      <c r="A327" s="252"/>
      <c r="B327" s="252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spans="1:26" ht="15.75" customHeight="1">
      <c r="A328" s="252"/>
      <c r="B328" s="252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spans="1:26" ht="15.75" customHeight="1">
      <c r="A329" s="252"/>
      <c r="B329" s="252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spans="1:26" ht="15.75" customHeight="1">
      <c r="A330" s="252"/>
      <c r="B330" s="252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spans="1:26" ht="15.75" customHeight="1">
      <c r="A331" s="252"/>
      <c r="B331" s="252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spans="1:26" ht="15.75" customHeight="1">
      <c r="A332" s="252"/>
      <c r="B332" s="252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spans="1:26" ht="15.75" customHeight="1">
      <c r="A333" s="252"/>
      <c r="B333" s="252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spans="1:26" ht="15.75" customHeight="1">
      <c r="A334" s="252"/>
      <c r="B334" s="252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spans="1:26" ht="15.75" customHeight="1">
      <c r="A335" s="252"/>
      <c r="B335" s="252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spans="1:26" ht="15.75" customHeight="1">
      <c r="A336" s="252"/>
      <c r="B336" s="252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spans="1:26" ht="15.75" customHeight="1">
      <c r="A337" s="252"/>
      <c r="B337" s="252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spans="1:26" ht="15.75" customHeight="1">
      <c r="A338" s="252"/>
      <c r="B338" s="252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spans="1:26" ht="15.75" customHeight="1">
      <c r="A339" s="252"/>
      <c r="B339" s="252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spans="1:26" ht="15.75" customHeight="1">
      <c r="A340" s="252"/>
      <c r="B340" s="252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spans="1:26" ht="15.75" customHeight="1">
      <c r="A341" s="252"/>
      <c r="B341" s="252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spans="1:26" ht="15.75" customHeight="1">
      <c r="A342" s="252"/>
      <c r="B342" s="252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spans="1:26" ht="15.75" customHeight="1">
      <c r="A343" s="252"/>
      <c r="B343" s="252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spans="1:26" ht="15.75" customHeight="1">
      <c r="A344" s="252"/>
      <c r="B344" s="252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spans="1:26" ht="15.75" customHeight="1">
      <c r="A345" s="252"/>
      <c r="B345" s="252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spans="1:26" ht="15.75" customHeight="1">
      <c r="A346" s="252"/>
      <c r="B346" s="252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spans="1:26" ht="15.75" customHeight="1">
      <c r="A347" s="252"/>
      <c r="B347" s="252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spans="1:26" ht="15.75" customHeight="1">
      <c r="A348" s="252"/>
      <c r="B348" s="252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spans="1:26" ht="15.75" customHeight="1">
      <c r="A349" s="252"/>
      <c r="B349" s="252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spans="1:26" ht="15.75" customHeight="1">
      <c r="A350" s="252"/>
      <c r="B350" s="252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spans="1:26" ht="15.75" customHeight="1">
      <c r="A351" s="252"/>
      <c r="B351" s="252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spans="1:26" ht="15.75" customHeight="1">
      <c r="A352" s="252"/>
      <c r="B352" s="252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spans="1:26" ht="15.75" customHeight="1">
      <c r="A353" s="252"/>
      <c r="B353" s="252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spans="1:26" ht="15.75" customHeight="1">
      <c r="A354" s="252"/>
      <c r="B354" s="252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spans="1:26" ht="15.75" customHeight="1">
      <c r="A355" s="252"/>
      <c r="B355" s="252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spans="1:26" ht="15.75" customHeight="1">
      <c r="A356" s="252"/>
      <c r="B356" s="252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spans="1:26" ht="15.75" customHeight="1">
      <c r="A357" s="252"/>
      <c r="B357" s="252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spans="1:26" ht="15.75" customHeight="1">
      <c r="A358" s="252"/>
      <c r="B358" s="252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spans="1:26" ht="15.75" customHeight="1">
      <c r="A359" s="252"/>
      <c r="B359" s="252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spans="1:26" ht="15.75" customHeight="1">
      <c r="A360" s="252"/>
      <c r="B360" s="252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spans="1:26" ht="15.75" customHeight="1">
      <c r="A361" s="252"/>
      <c r="B361" s="252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spans="1:26" ht="15.75" customHeight="1">
      <c r="A362" s="252"/>
      <c r="B362" s="252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spans="1:26" ht="15.75" customHeight="1">
      <c r="A363" s="252"/>
      <c r="B363" s="252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spans="1:26" ht="15.75" customHeight="1">
      <c r="A364" s="252"/>
      <c r="B364" s="252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spans="1:26" ht="15.75" customHeight="1">
      <c r="A365" s="252"/>
      <c r="B365" s="252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spans="1:26" ht="15.75" customHeight="1">
      <c r="A366" s="252"/>
      <c r="B366" s="252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spans="1:26" ht="15.75" customHeight="1">
      <c r="A367" s="252"/>
      <c r="B367" s="252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spans="1:26" ht="15.75" customHeight="1">
      <c r="A368" s="252"/>
      <c r="B368" s="252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spans="1:26" ht="15.75" customHeight="1">
      <c r="A369" s="252"/>
      <c r="B369" s="252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spans="1:26" ht="15.75" customHeight="1">
      <c r="A370" s="252"/>
      <c r="B370" s="252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spans="1:26" ht="15.75" customHeight="1">
      <c r="A371" s="252"/>
      <c r="B371" s="252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spans="1:26" ht="15.75" customHeight="1">
      <c r="A372" s="252"/>
      <c r="B372" s="252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spans="1:26" ht="15.75" customHeight="1">
      <c r="A373" s="252"/>
      <c r="B373" s="252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spans="1:26" ht="15.75" customHeight="1">
      <c r="A374" s="252"/>
      <c r="B374" s="252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spans="1:26" ht="15.75" customHeight="1">
      <c r="A375" s="252"/>
      <c r="B375" s="252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spans="1:26" ht="15.75" customHeight="1">
      <c r="A376" s="252"/>
      <c r="B376" s="252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spans="1:26" ht="15.75" customHeight="1">
      <c r="A377" s="252"/>
      <c r="B377" s="252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spans="1:26" ht="15.75" customHeight="1">
      <c r="A378" s="252"/>
      <c r="B378" s="252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spans="1:26" ht="15.75" customHeight="1">
      <c r="A379" s="252"/>
      <c r="B379" s="252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spans="1:26" ht="15.75" customHeight="1">
      <c r="A380" s="252"/>
      <c r="B380" s="252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spans="1:26" ht="15.75" customHeight="1">
      <c r="A381" s="252"/>
      <c r="B381" s="252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spans="1:26" ht="15.75" customHeight="1">
      <c r="A382" s="252"/>
      <c r="B382" s="252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spans="1:26" ht="15.75" customHeight="1">
      <c r="A383" s="252"/>
      <c r="B383" s="252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spans="1:26" ht="15.75" customHeight="1">
      <c r="A384" s="252"/>
      <c r="B384" s="252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spans="1:26" ht="15.75" customHeight="1">
      <c r="A385" s="252"/>
      <c r="B385" s="252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spans="1:26" ht="15.75" customHeight="1">
      <c r="A386" s="252"/>
      <c r="B386" s="252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spans="1:26" ht="15.75" customHeight="1">
      <c r="A387" s="252"/>
      <c r="B387" s="252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spans="1:26" ht="15.75" customHeight="1">
      <c r="A388" s="252"/>
      <c r="B388" s="252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spans="1:26" ht="15.75" customHeight="1">
      <c r="A389" s="252"/>
      <c r="B389" s="252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spans="1:26" ht="15.75" customHeight="1">
      <c r="A390" s="252"/>
      <c r="B390" s="252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spans="1:26" ht="15.75" customHeight="1">
      <c r="A391" s="252"/>
      <c r="B391" s="252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spans="1:26" ht="15.75" customHeight="1">
      <c r="A392" s="252"/>
      <c r="B392" s="252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spans="1:26" ht="15.75" customHeight="1">
      <c r="A393" s="252"/>
      <c r="B393" s="252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spans="1:26" ht="15.75" customHeight="1">
      <c r="A394" s="252"/>
      <c r="B394" s="252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spans="1:26" ht="15.75" customHeight="1">
      <c r="A395" s="252"/>
      <c r="B395" s="252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spans="1:26" ht="15.75" customHeight="1">
      <c r="A396" s="252"/>
      <c r="B396" s="252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spans="1:26" ht="15.75" customHeight="1">
      <c r="A397" s="252"/>
      <c r="B397" s="252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spans="1:26" ht="15.75" customHeight="1">
      <c r="A398" s="252"/>
      <c r="B398" s="252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spans="1:26" ht="15.75" customHeight="1">
      <c r="A399" s="252"/>
      <c r="B399" s="252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spans="1:26" ht="15.75" customHeight="1">
      <c r="A400" s="252"/>
      <c r="B400" s="252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spans="1:26" ht="15.75" customHeight="1">
      <c r="A401" s="252"/>
      <c r="B401" s="252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spans="1:26" ht="15.75" customHeight="1">
      <c r="A402" s="252"/>
      <c r="B402" s="252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spans="1:26" ht="15.75" customHeight="1">
      <c r="A403" s="252"/>
      <c r="B403" s="252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spans="1:26" ht="15.75" customHeight="1">
      <c r="A404" s="252"/>
      <c r="B404" s="252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spans="1:26" ht="15.75" customHeight="1">
      <c r="A405" s="252"/>
      <c r="B405" s="252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spans="1:26" ht="15.75" customHeight="1">
      <c r="A406" s="252"/>
      <c r="B406" s="252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spans="1:26" ht="15.75" customHeight="1">
      <c r="A407" s="252"/>
      <c r="B407" s="252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spans="1:26" ht="15.75" customHeight="1">
      <c r="A408" s="252"/>
      <c r="B408" s="252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spans="1:26" ht="15.75" customHeight="1">
      <c r="A409" s="252"/>
      <c r="B409" s="252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spans="1:26" ht="15.75" customHeight="1">
      <c r="A410" s="252"/>
      <c r="B410" s="252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spans="1:26" ht="15.75" customHeight="1">
      <c r="A411" s="252"/>
      <c r="B411" s="252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spans="1:26" ht="15.75" customHeight="1">
      <c r="A412" s="252"/>
      <c r="B412" s="252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spans="1:26" ht="15.75" customHeight="1">
      <c r="A413" s="252"/>
      <c r="B413" s="252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spans="1:26" ht="15.75" customHeight="1">
      <c r="A414" s="252"/>
      <c r="B414" s="252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spans="1:26" ht="15.75" customHeight="1">
      <c r="A415" s="252"/>
      <c r="B415" s="252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spans="1:26" ht="15.75" customHeight="1">
      <c r="A416" s="252"/>
      <c r="B416" s="252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spans="1:26" ht="15.75" customHeight="1">
      <c r="A417" s="252"/>
      <c r="B417" s="252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spans="1:26" ht="15.75" customHeight="1">
      <c r="A418" s="252"/>
      <c r="B418" s="252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spans="1:26" ht="15.75" customHeight="1">
      <c r="A419" s="252"/>
      <c r="B419" s="252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spans="1:26" ht="15.75" customHeight="1">
      <c r="A420" s="252"/>
      <c r="B420" s="252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spans="1:26" ht="15.75" customHeight="1">
      <c r="A421" s="252"/>
      <c r="B421" s="252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spans="1:26" ht="15.75" customHeight="1">
      <c r="A422" s="252"/>
      <c r="B422" s="252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spans="1:26" ht="15.75" customHeight="1">
      <c r="A423" s="252"/>
      <c r="B423" s="252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spans="1:26" ht="15.75" customHeight="1">
      <c r="A424" s="252"/>
      <c r="B424" s="252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spans="1:26" ht="15.75" customHeight="1">
      <c r="A425" s="252"/>
      <c r="B425" s="252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spans="1:26" ht="15.75" customHeight="1">
      <c r="A426" s="252"/>
      <c r="B426" s="252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spans="1:26" ht="15.75" customHeight="1">
      <c r="A427" s="252"/>
      <c r="B427" s="252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spans="1:26" ht="15.75" customHeight="1">
      <c r="A428" s="252"/>
      <c r="B428" s="252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spans="1:26" ht="15.75" customHeight="1">
      <c r="A429" s="252"/>
      <c r="B429" s="252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spans="1:26" ht="15.75" customHeight="1">
      <c r="A430" s="252"/>
      <c r="B430" s="252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spans="1:26" ht="15.75" customHeight="1">
      <c r="A431" s="252"/>
      <c r="B431" s="252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spans="1:26" ht="15.75" customHeight="1">
      <c r="A432" s="252"/>
      <c r="B432" s="252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spans="1:26" ht="15.75" customHeight="1">
      <c r="A433" s="252"/>
      <c r="B433" s="252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spans="1:26" ht="15.75" customHeight="1">
      <c r="A434" s="252"/>
      <c r="B434" s="252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spans="1:26" ht="15.75" customHeight="1">
      <c r="A435" s="252"/>
      <c r="B435" s="252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spans="1:26" ht="15.75" customHeight="1">
      <c r="A436" s="252"/>
      <c r="B436" s="252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spans="1:26" ht="15.75" customHeight="1">
      <c r="A437" s="252"/>
      <c r="B437" s="252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spans="1:26" ht="15.75" customHeight="1">
      <c r="A438" s="252"/>
      <c r="B438" s="252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spans="1:26" ht="15.75" customHeight="1">
      <c r="A439" s="252"/>
      <c r="B439" s="252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spans="1:26" ht="15.75" customHeight="1">
      <c r="A440" s="252"/>
      <c r="B440" s="252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spans="1:26" ht="15.75" customHeight="1">
      <c r="A441" s="252"/>
      <c r="B441" s="252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spans="1:26" ht="15.75" customHeight="1">
      <c r="A442" s="252"/>
      <c r="B442" s="252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spans="1:26" ht="15.75" customHeight="1">
      <c r="A443" s="252"/>
      <c r="B443" s="252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spans="1:26" ht="15.75" customHeight="1">
      <c r="A444" s="252"/>
      <c r="B444" s="252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spans="1:26" ht="15.75" customHeight="1">
      <c r="A445" s="252"/>
      <c r="B445" s="252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spans="1:26" ht="15.75" customHeight="1">
      <c r="A446" s="252"/>
      <c r="B446" s="252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spans="1:26" ht="15.75" customHeight="1">
      <c r="A447" s="252"/>
      <c r="B447" s="252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spans="1:26" ht="15.75" customHeight="1">
      <c r="A448" s="252"/>
      <c r="B448" s="252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spans="1:26" ht="15.75" customHeight="1">
      <c r="A449" s="252"/>
      <c r="B449" s="252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spans="1:26" ht="15.75" customHeight="1">
      <c r="A450" s="252"/>
      <c r="B450" s="252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spans="1:26" ht="15.75" customHeight="1">
      <c r="A451" s="252"/>
      <c r="B451" s="252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spans="1:26" ht="15.75" customHeight="1">
      <c r="A452" s="252"/>
      <c r="B452" s="252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spans="1:26" ht="15.75" customHeight="1">
      <c r="A453" s="252"/>
      <c r="B453" s="252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spans="1:26" ht="15.75" customHeight="1">
      <c r="A454" s="252"/>
      <c r="B454" s="252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spans="1:26" ht="15.75" customHeight="1">
      <c r="A455" s="252"/>
      <c r="B455" s="252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spans="1:26" ht="15.75" customHeight="1">
      <c r="A456" s="252"/>
      <c r="B456" s="252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spans="1:26" ht="15.75" customHeight="1">
      <c r="A457" s="252"/>
      <c r="B457" s="252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spans="1:26" ht="15.75" customHeight="1">
      <c r="A458" s="252"/>
      <c r="B458" s="252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spans="1:26" ht="15.75" customHeight="1">
      <c r="A459" s="252"/>
      <c r="B459" s="252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spans="1:26" ht="15.75" customHeight="1">
      <c r="A460" s="252"/>
      <c r="B460" s="252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spans="1:26" ht="15.75" customHeight="1">
      <c r="A461" s="252"/>
      <c r="B461" s="252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spans="1:26" ht="15.75" customHeight="1">
      <c r="A462" s="252"/>
      <c r="B462" s="252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spans="1:26" ht="15.75" customHeight="1">
      <c r="A463" s="252"/>
      <c r="B463" s="252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spans="1:26" ht="15.75" customHeight="1">
      <c r="A464" s="252"/>
      <c r="B464" s="252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spans="1:26" ht="15.75" customHeight="1">
      <c r="A465" s="252"/>
      <c r="B465" s="252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spans="1:26" ht="15.75" customHeight="1">
      <c r="A466" s="252"/>
      <c r="B466" s="252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spans="1:26" ht="15.75" customHeight="1">
      <c r="A467" s="252"/>
      <c r="B467" s="252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spans="1:26" ht="15.75" customHeight="1">
      <c r="A468" s="252"/>
      <c r="B468" s="252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spans="1:26" ht="15.75" customHeight="1">
      <c r="A469" s="252"/>
      <c r="B469" s="252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spans="1:26" ht="15.75" customHeight="1">
      <c r="A470" s="252"/>
      <c r="B470" s="252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spans="1:26" ht="15.75" customHeight="1">
      <c r="A471" s="252"/>
      <c r="B471" s="252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spans="1:26" ht="15.75" customHeight="1">
      <c r="A472" s="252"/>
      <c r="B472" s="252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spans="1:26" ht="15.75" customHeight="1">
      <c r="A473" s="252"/>
      <c r="B473" s="252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spans="1:26" ht="15.75" customHeight="1">
      <c r="A474" s="252"/>
      <c r="B474" s="252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spans="1:26" ht="15.75" customHeight="1">
      <c r="A475" s="252"/>
      <c r="B475" s="252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spans="1:26" ht="15.75" customHeight="1">
      <c r="A476" s="252"/>
      <c r="B476" s="252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spans="1:26" ht="15.75" customHeight="1">
      <c r="A477" s="252"/>
      <c r="B477" s="252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spans="1:26" ht="15.75" customHeight="1">
      <c r="A478" s="252"/>
      <c r="B478" s="252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spans="1:26" ht="15.75" customHeight="1">
      <c r="A479" s="252"/>
      <c r="B479" s="252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spans="1:26" ht="15.75" customHeight="1">
      <c r="A480" s="252"/>
      <c r="B480" s="252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spans="1:26" ht="15.75" customHeight="1">
      <c r="A481" s="252"/>
      <c r="B481" s="252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spans="1:26" ht="15.75" customHeight="1">
      <c r="A482" s="252"/>
      <c r="B482" s="252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spans="1:26" ht="15.75" customHeight="1">
      <c r="A483" s="252"/>
      <c r="B483" s="252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spans="1:26" ht="15.75" customHeight="1">
      <c r="A484" s="252"/>
      <c r="B484" s="252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spans="1:26" ht="15.75" customHeight="1">
      <c r="A485" s="252"/>
      <c r="B485" s="252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spans="1:26" ht="15.75" customHeight="1">
      <c r="A486" s="252"/>
      <c r="B486" s="252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spans="1:26" ht="15.75" customHeight="1">
      <c r="A487" s="252"/>
      <c r="B487" s="252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spans="1:26" ht="15.75" customHeight="1">
      <c r="A488" s="252"/>
      <c r="B488" s="252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spans="1:26" ht="15.75" customHeight="1">
      <c r="A489" s="252"/>
      <c r="B489" s="252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spans="1:26" ht="15.75" customHeight="1">
      <c r="A490" s="252"/>
      <c r="B490" s="252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spans="1:26" ht="15.75" customHeight="1">
      <c r="A491" s="252"/>
      <c r="B491" s="252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spans="1:26" ht="15.75" customHeight="1">
      <c r="A492" s="252"/>
      <c r="B492" s="252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spans="1:26" ht="15.75" customHeight="1">
      <c r="A493" s="252"/>
      <c r="B493" s="252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spans="1:26" ht="15.75" customHeight="1">
      <c r="A494" s="252"/>
      <c r="B494" s="252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spans="1:26" ht="15.75" customHeight="1">
      <c r="A495" s="252"/>
      <c r="B495" s="252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spans="1:26" ht="15.75" customHeight="1">
      <c r="A496" s="252"/>
      <c r="B496" s="252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spans="1:26" ht="15.75" customHeight="1">
      <c r="A497" s="252"/>
      <c r="B497" s="252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spans="1:26" ht="15.75" customHeight="1">
      <c r="A498" s="252"/>
      <c r="B498" s="252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spans="1:26" ht="15.75" customHeight="1">
      <c r="A499" s="252"/>
      <c r="B499" s="252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spans="1:26" ht="15.75" customHeight="1">
      <c r="A500" s="252"/>
      <c r="B500" s="252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spans="1:26" ht="15.75" customHeight="1">
      <c r="A501" s="252"/>
      <c r="B501" s="252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spans="1:26" ht="15.75" customHeight="1">
      <c r="A502" s="252"/>
      <c r="B502" s="252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spans="1:26" ht="15.75" customHeight="1">
      <c r="A503" s="252"/>
      <c r="B503" s="252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spans="1:26" ht="15.75" customHeight="1">
      <c r="A504" s="252"/>
      <c r="B504" s="252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spans="1:26" ht="15.75" customHeight="1">
      <c r="A505" s="252"/>
      <c r="B505" s="252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spans="1:26" ht="15.75" customHeight="1">
      <c r="A506" s="252"/>
      <c r="B506" s="252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spans="1:26" ht="15.75" customHeight="1">
      <c r="A507" s="252"/>
      <c r="B507" s="252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spans="1:26" ht="15.75" customHeight="1">
      <c r="A508" s="252"/>
      <c r="B508" s="252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spans="1:26" ht="15.75" customHeight="1">
      <c r="A509" s="252"/>
      <c r="B509" s="252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spans="1:26" ht="15.75" customHeight="1">
      <c r="A510" s="252"/>
      <c r="B510" s="252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spans="1:26" ht="15.75" customHeight="1">
      <c r="A511" s="252"/>
      <c r="B511" s="252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spans="1:26" ht="15.75" customHeight="1">
      <c r="A512" s="252"/>
      <c r="B512" s="252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spans="1:26" ht="15.75" customHeight="1">
      <c r="A513" s="252"/>
      <c r="B513" s="252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spans="1:26" ht="15.75" customHeight="1">
      <c r="A514" s="252"/>
      <c r="B514" s="252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spans="1:26" ht="15.75" customHeight="1">
      <c r="A515" s="252"/>
      <c r="B515" s="252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spans="1:26" ht="15.75" customHeight="1">
      <c r="A516" s="252"/>
      <c r="B516" s="252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spans="1:26" ht="15.75" customHeight="1">
      <c r="A517" s="252"/>
      <c r="B517" s="252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spans="1:26" ht="15.75" customHeight="1">
      <c r="A518" s="252"/>
      <c r="B518" s="252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spans="1:26" ht="15.75" customHeight="1">
      <c r="A519" s="252"/>
      <c r="B519" s="252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spans="1:26" ht="15.75" customHeight="1">
      <c r="A520" s="252"/>
      <c r="B520" s="252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spans="1:26" ht="15.75" customHeight="1">
      <c r="A521" s="252"/>
      <c r="B521" s="252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spans="1:26" ht="15.75" customHeight="1">
      <c r="A522" s="252"/>
      <c r="B522" s="252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spans="1:26" ht="15.75" customHeight="1">
      <c r="A523" s="252"/>
      <c r="B523" s="252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spans="1:26" ht="15.75" customHeight="1">
      <c r="A524" s="252"/>
      <c r="B524" s="252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spans="1:26" ht="15.75" customHeight="1">
      <c r="A525" s="252"/>
      <c r="B525" s="252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spans="1:26" ht="15.75" customHeight="1">
      <c r="A526" s="252"/>
      <c r="B526" s="252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spans="1:26" ht="15.75" customHeight="1">
      <c r="A527" s="252"/>
      <c r="B527" s="252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spans="1:26" ht="15.75" customHeight="1">
      <c r="A528" s="252"/>
      <c r="B528" s="252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spans="1:26" ht="15.75" customHeight="1">
      <c r="A529" s="252"/>
      <c r="B529" s="252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spans="1:26" ht="15.75" customHeight="1">
      <c r="A530" s="252"/>
      <c r="B530" s="252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spans="1:26" ht="15.75" customHeight="1">
      <c r="A531" s="252"/>
      <c r="B531" s="252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spans="1:26" ht="15.75" customHeight="1">
      <c r="A532" s="252"/>
      <c r="B532" s="252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spans="1:26" ht="15.75" customHeight="1">
      <c r="A533" s="252"/>
      <c r="B533" s="252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spans="1:26" ht="15.75" customHeight="1">
      <c r="A534" s="252"/>
      <c r="B534" s="252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spans="1:26" ht="15.75" customHeight="1">
      <c r="A535" s="252"/>
      <c r="B535" s="252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spans="1:26" ht="15.75" customHeight="1">
      <c r="A536" s="252"/>
      <c r="B536" s="252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spans="1:26" ht="15.75" customHeight="1">
      <c r="A537" s="252"/>
      <c r="B537" s="252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spans="1:26" ht="15.75" customHeight="1">
      <c r="A538" s="252"/>
      <c r="B538" s="252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spans="1:26" ht="15.75" customHeight="1">
      <c r="A539" s="252"/>
      <c r="B539" s="252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spans="1:26" ht="15.75" customHeight="1">
      <c r="A540" s="252"/>
      <c r="B540" s="252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spans="1:26" ht="15.75" customHeight="1">
      <c r="A541" s="252"/>
      <c r="B541" s="252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spans="1:26" ht="15.75" customHeight="1">
      <c r="A542" s="252"/>
      <c r="B542" s="252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spans="1:26" ht="15.75" customHeight="1">
      <c r="A543" s="252"/>
      <c r="B543" s="252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spans="1:26" ht="15.75" customHeight="1">
      <c r="A544" s="252"/>
      <c r="B544" s="252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spans="1:26" ht="15.75" customHeight="1">
      <c r="A545" s="252"/>
      <c r="B545" s="252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spans="1:26" ht="15.75" customHeight="1">
      <c r="A546" s="252"/>
      <c r="B546" s="252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spans="1:26" ht="15.75" customHeight="1">
      <c r="A547" s="252"/>
      <c r="B547" s="252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spans="1:26" ht="15.75" customHeight="1">
      <c r="A548" s="252"/>
      <c r="B548" s="252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spans="1:26" ht="15.75" customHeight="1">
      <c r="A549" s="252"/>
      <c r="B549" s="252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spans="1:26" ht="15.75" customHeight="1">
      <c r="A550" s="252"/>
      <c r="B550" s="252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spans="1:26" ht="15.75" customHeight="1">
      <c r="A551" s="252"/>
      <c r="B551" s="252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spans="1:26" ht="15.75" customHeight="1">
      <c r="A552" s="252"/>
      <c r="B552" s="252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spans="1:26" ht="15.75" customHeight="1">
      <c r="A553" s="252"/>
      <c r="B553" s="252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spans="1:26" ht="15.75" customHeight="1">
      <c r="A554" s="252"/>
      <c r="B554" s="252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spans="1:26" ht="15.75" customHeight="1">
      <c r="A555" s="252"/>
      <c r="B555" s="252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spans="1:26" ht="15.75" customHeight="1">
      <c r="A556" s="252"/>
      <c r="B556" s="252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spans="1:26" ht="15.75" customHeight="1">
      <c r="A557" s="252"/>
      <c r="B557" s="252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spans="1:26" ht="15.75" customHeight="1">
      <c r="A558" s="252"/>
      <c r="B558" s="252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spans="1:26" ht="15.75" customHeight="1">
      <c r="A559" s="252"/>
      <c r="B559" s="252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spans="1:26" ht="15.75" customHeight="1">
      <c r="A560" s="252"/>
      <c r="B560" s="252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spans="1:26" ht="15.75" customHeight="1">
      <c r="A561" s="252"/>
      <c r="B561" s="252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spans="1:26" ht="15.75" customHeight="1">
      <c r="A562" s="252"/>
      <c r="B562" s="252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spans="1:26" ht="15.75" customHeight="1">
      <c r="A563" s="252"/>
      <c r="B563" s="252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spans="1:26" ht="15.75" customHeight="1">
      <c r="A564" s="252"/>
      <c r="B564" s="252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spans="1:26" ht="15.75" customHeight="1">
      <c r="A565" s="252"/>
      <c r="B565" s="252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spans="1:26" ht="15.75" customHeight="1">
      <c r="A566" s="252"/>
      <c r="B566" s="252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spans="1:26" ht="15.75" customHeight="1">
      <c r="A567" s="252"/>
      <c r="B567" s="252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spans="1:26" ht="15.75" customHeight="1">
      <c r="A568" s="252"/>
      <c r="B568" s="252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spans="1:26" ht="15.75" customHeight="1">
      <c r="A569" s="252"/>
      <c r="B569" s="252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spans="1:26" ht="15.75" customHeight="1">
      <c r="A570" s="252"/>
      <c r="B570" s="252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spans="1:26" ht="15.75" customHeight="1">
      <c r="A571" s="252"/>
      <c r="B571" s="252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spans="1:26" ht="15.75" customHeight="1">
      <c r="A572" s="252"/>
      <c r="B572" s="252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spans="1:26" ht="15.75" customHeight="1">
      <c r="A573" s="252"/>
      <c r="B573" s="252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spans="1:26" ht="15.75" customHeight="1">
      <c r="A574" s="252"/>
      <c r="B574" s="252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spans="1:26" ht="15.75" customHeight="1">
      <c r="A575" s="252"/>
      <c r="B575" s="252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spans="1:26" ht="15.75" customHeight="1">
      <c r="A576" s="252"/>
      <c r="B576" s="252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spans="1:26" ht="15.75" customHeight="1">
      <c r="A577" s="252"/>
      <c r="B577" s="252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spans="1:26" ht="15.75" customHeight="1">
      <c r="A578" s="252"/>
      <c r="B578" s="252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spans="1:26" ht="15.75" customHeight="1">
      <c r="A579" s="252"/>
      <c r="B579" s="252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spans="1:26" ht="15.75" customHeight="1">
      <c r="A580" s="252"/>
      <c r="B580" s="252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spans="1:26" ht="15.75" customHeight="1">
      <c r="A581" s="252"/>
      <c r="B581" s="252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spans="1:26" ht="15.75" customHeight="1">
      <c r="A582" s="252"/>
      <c r="B582" s="252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spans="1:26" ht="15.75" customHeight="1">
      <c r="A583" s="252"/>
      <c r="B583" s="252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spans="1:26" ht="15.75" customHeight="1">
      <c r="A584" s="252"/>
      <c r="B584" s="252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spans="1:26" ht="15.75" customHeight="1">
      <c r="A585" s="252"/>
      <c r="B585" s="252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spans="1:26" ht="15.75" customHeight="1">
      <c r="A586" s="252"/>
      <c r="B586" s="252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spans="1:26" ht="15.75" customHeight="1">
      <c r="A587" s="252"/>
      <c r="B587" s="252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spans="1:26" ht="15.75" customHeight="1">
      <c r="A588" s="252"/>
      <c r="B588" s="252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spans="1:26" ht="15.75" customHeight="1">
      <c r="A589" s="252"/>
      <c r="B589" s="252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spans="1:26" ht="15.75" customHeight="1">
      <c r="A590" s="252"/>
      <c r="B590" s="252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spans="1:26" ht="15.75" customHeight="1">
      <c r="A591" s="252"/>
      <c r="B591" s="252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spans="1:26" ht="15.75" customHeight="1">
      <c r="A592" s="252"/>
      <c r="B592" s="252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spans="1:26" ht="15.75" customHeight="1">
      <c r="A593" s="252"/>
      <c r="B593" s="252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spans="1:26" ht="15.75" customHeight="1">
      <c r="A594" s="252"/>
      <c r="B594" s="252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spans="1:26" ht="15.75" customHeight="1">
      <c r="A595" s="252"/>
      <c r="B595" s="252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spans="1:26" ht="15.75" customHeight="1">
      <c r="A596" s="252"/>
      <c r="B596" s="252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spans="1:26" ht="15.75" customHeight="1">
      <c r="A597" s="252"/>
      <c r="B597" s="252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spans="1:26" ht="15.75" customHeight="1">
      <c r="A598" s="252"/>
      <c r="B598" s="252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spans="1:26" ht="15.75" customHeight="1">
      <c r="A599" s="252"/>
      <c r="B599" s="252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spans="1:26" ht="15.75" customHeight="1">
      <c r="A600" s="252"/>
      <c r="B600" s="252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spans="1:26" ht="15.75" customHeight="1">
      <c r="A601" s="252"/>
      <c r="B601" s="252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spans="1:26" ht="15.75" customHeight="1">
      <c r="A602" s="252"/>
      <c r="B602" s="252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spans="1:26" ht="15.75" customHeight="1">
      <c r="A603" s="252"/>
      <c r="B603" s="252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spans="1:26" ht="15.75" customHeight="1">
      <c r="A604" s="252"/>
      <c r="B604" s="252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spans="1:26" ht="15.75" customHeight="1">
      <c r="A605" s="252"/>
      <c r="B605" s="252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spans="1:26" ht="15.75" customHeight="1">
      <c r="A606" s="252"/>
      <c r="B606" s="252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spans="1:26" ht="15.75" customHeight="1">
      <c r="A607" s="252"/>
      <c r="B607" s="252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spans="1:26" ht="15.75" customHeight="1">
      <c r="A608" s="252"/>
      <c r="B608" s="252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spans="1:26" ht="15.75" customHeight="1">
      <c r="A609" s="252"/>
      <c r="B609" s="252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spans="1:26" ht="15.75" customHeight="1">
      <c r="A610" s="252"/>
      <c r="B610" s="252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spans="1:26" ht="15.75" customHeight="1">
      <c r="A611" s="252"/>
      <c r="B611" s="252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spans="1:26" ht="15.75" customHeight="1">
      <c r="A612" s="252"/>
      <c r="B612" s="252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spans="1:26" ht="15.75" customHeight="1">
      <c r="A613" s="252"/>
      <c r="B613" s="252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spans="1:26" ht="15.75" customHeight="1">
      <c r="A614" s="252"/>
      <c r="B614" s="252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spans="1:26" ht="15.75" customHeight="1">
      <c r="A615" s="252"/>
      <c r="B615" s="252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spans="1:26" ht="15.75" customHeight="1">
      <c r="A616" s="252"/>
      <c r="B616" s="252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spans="1:26" ht="15.75" customHeight="1">
      <c r="A617" s="252"/>
      <c r="B617" s="252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spans="1:26" ht="15.75" customHeight="1">
      <c r="A618" s="252"/>
      <c r="B618" s="252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spans="1:26" ht="15.75" customHeight="1">
      <c r="A619" s="252"/>
      <c r="B619" s="252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spans="1:26" ht="15.75" customHeight="1">
      <c r="A620" s="252"/>
      <c r="B620" s="252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spans="1:26" ht="15.75" customHeight="1">
      <c r="A621" s="252"/>
      <c r="B621" s="252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spans="1:26" ht="15.75" customHeight="1">
      <c r="A622" s="252"/>
      <c r="B622" s="252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spans="1:26" ht="15.75" customHeight="1">
      <c r="A623" s="252"/>
      <c r="B623" s="252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spans="1:26" ht="15.75" customHeight="1">
      <c r="A624" s="252"/>
      <c r="B624" s="252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spans="1:26" ht="15.75" customHeight="1">
      <c r="A625" s="252"/>
      <c r="B625" s="252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spans="1:26" ht="15.75" customHeight="1">
      <c r="A626" s="252"/>
      <c r="B626" s="252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spans="1:26" ht="15.75" customHeight="1">
      <c r="A627" s="252"/>
      <c r="B627" s="252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spans="1:26" ht="15.75" customHeight="1">
      <c r="A628" s="252"/>
      <c r="B628" s="252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spans="1:26" ht="15.75" customHeight="1">
      <c r="A629" s="252"/>
      <c r="B629" s="252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spans="1:26" ht="15.75" customHeight="1">
      <c r="A630" s="252"/>
      <c r="B630" s="252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spans="1:26" ht="15.75" customHeight="1">
      <c r="A631" s="252"/>
      <c r="B631" s="252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spans="1:26" ht="15.75" customHeight="1">
      <c r="A632" s="252"/>
      <c r="B632" s="252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spans="1:26" ht="15.75" customHeight="1">
      <c r="A633" s="252"/>
      <c r="B633" s="252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spans="1:26" ht="15.75" customHeight="1">
      <c r="A634" s="252"/>
      <c r="B634" s="252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spans="1:26" ht="15.75" customHeight="1">
      <c r="A635" s="252"/>
      <c r="B635" s="252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spans="1:26" ht="15.75" customHeight="1">
      <c r="A636" s="252"/>
      <c r="B636" s="252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spans="1:26" ht="15.75" customHeight="1">
      <c r="A637" s="252"/>
      <c r="B637" s="252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spans="1:26" ht="15.75" customHeight="1">
      <c r="A638" s="252"/>
      <c r="B638" s="252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spans="1:26" ht="15.75" customHeight="1">
      <c r="A639" s="252"/>
      <c r="B639" s="252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spans="1:26" ht="15.75" customHeight="1">
      <c r="A640" s="252"/>
      <c r="B640" s="252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spans="1:26" ht="15.75" customHeight="1">
      <c r="A641" s="252"/>
      <c r="B641" s="252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spans="1:26" ht="15.75" customHeight="1">
      <c r="A642" s="252"/>
      <c r="B642" s="252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spans="1:26" ht="15.75" customHeight="1">
      <c r="A643" s="252"/>
      <c r="B643" s="252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spans="1:26" ht="15.75" customHeight="1">
      <c r="A644" s="252"/>
      <c r="B644" s="252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spans="1:26" ht="15.75" customHeight="1">
      <c r="A645" s="252"/>
      <c r="B645" s="252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spans="1:26" ht="15.75" customHeight="1">
      <c r="A646" s="252"/>
      <c r="B646" s="252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spans="1:26" ht="15.75" customHeight="1">
      <c r="A647" s="252"/>
      <c r="B647" s="252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spans="1:26" ht="15.75" customHeight="1">
      <c r="A648" s="252"/>
      <c r="B648" s="252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spans="1:26" ht="15.75" customHeight="1">
      <c r="A649" s="252"/>
      <c r="B649" s="252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spans="1:26" ht="15.75" customHeight="1">
      <c r="A650" s="252"/>
      <c r="B650" s="252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spans="1:26" ht="15.75" customHeight="1">
      <c r="A651" s="252"/>
      <c r="B651" s="252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spans="1:26" ht="15.75" customHeight="1">
      <c r="A652" s="252"/>
      <c r="B652" s="252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spans="1:26" ht="15.75" customHeight="1">
      <c r="A653" s="252"/>
      <c r="B653" s="252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spans="1:26" ht="15.75" customHeight="1">
      <c r="A654" s="252"/>
      <c r="B654" s="252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spans="1:26" ht="15.75" customHeight="1">
      <c r="A655" s="252"/>
      <c r="B655" s="252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spans="1:26" ht="15.75" customHeight="1">
      <c r="A656" s="252"/>
      <c r="B656" s="252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spans="1:26" ht="15.75" customHeight="1">
      <c r="A657" s="252"/>
      <c r="B657" s="252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spans="1:26" ht="15.75" customHeight="1">
      <c r="A658" s="252"/>
      <c r="B658" s="252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spans="1:26" ht="15.75" customHeight="1">
      <c r="A659" s="252"/>
      <c r="B659" s="252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spans="1:26" ht="15.75" customHeight="1">
      <c r="A660" s="252"/>
      <c r="B660" s="252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spans="1:26" ht="15.75" customHeight="1">
      <c r="A661" s="252"/>
      <c r="B661" s="252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spans="1:26" ht="15.75" customHeight="1">
      <c r="A662" s="252"/>
      <c r="B662" s="252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spans="1:26" ht="15.75" customHeight="1">
      <c r="A663" s="252"/>
      <c r="B663" s="252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spans="1:26" ht="15.75" customHeight="1">
      <c r="A664" s="252"/>
      <c r="B664" s="252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spans="1:26" ht="15.75" customHeight="1">
      <c r="A665" s="252"/>
      <c r="B665" s="252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spans="1:26" ht="15.75" customHeight="1">
      <c r="A666" s="252"/>
      <c r="B666" s="252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spans="1:26" ht="15.75" customHeight="1">
      <c r="A667" s="252"/>
      <c r="B667" s="252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spans="1:26" ht="15.75" customHeight="1">
      <c r="A668" s="252"/>
      <c r="B668" s="252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spans="1:26" ht="15.75" customHeight="1">
      <c r="A669" s="252"/>
      <c r="B669" s="252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spans="1:26" ht="15.75" customHeight="1">
      <c r="A670" s="252"/>
      <c r="B670" s="252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spans="1:26" ht="15.75" customHeight="1">
      <c r="A671" s="252"/>
      <c r="B671" s="252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spans="1:26" ht="15.75" customHeight="1">
      <c r="A672" s="252"/>
      <c r="B672" s="252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spans="1:26" ht="15.75" customHeight="1">
      <c r="A673" s="252"/>
      <c r="B673" s="252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spans="1:26" ht="15.75" customHeight="1">
      <c r="A674" s="252"/>
      <c r="B674" s="252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spans="1:26" ht="15.75" customHeight="1">
      <c r="A675" s="252"/>
      <c r="B675" s="252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spans="1:26" ht="15.75" customHeight="1">
      <c r="A676" s="252"/>
      <c r="B676" s="252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spans="1:26" ht="15.75" customHeight="1">
      <c r="A677" s="252"/>
      <c r="B677" s="252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spans="1:26" ht="15.75" customHeight="1">
      <c r="A678" s="252"/>
      <c r="B678" s="252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spans="1:26" ht="15.75" customHeight="1">
      <c r="A679" s="252"/>
      <c r="B679" s="252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spans="1:26" ht="15.75" customHeight="1">
      <c r="A680" s="252"/>
      <c r="B680" s="252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spans="1:26" ht="15.75" customHeight="1">
      <c r="A681" s="252"/>
      <c r="B681" s="252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spans="1:26" ht="15.75" customHeight="1">
      <c r="A682" s="252"/>
      <c r="B682" s="252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spans="1:26" ht="15.75" customHeight="1">
      <c r="A683" s="252"/>
      <c r="B683" s="252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spans="1:26" ht="15.75" customHeight="1">
      <c r="A684" s="252"/>
      <c r="B684" s="252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spans="1:26" ht="15.75" customHeight="1">
      <c r="A685" s="252"/>
      <c r="B685" s="252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spans="1:26" ht="15.75" customHeight="1">
      <c r="A686" s="252"/>
      <c r="B686" s="252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spans="1:26" ht="15.75" customHeight="1">
      <c r="A687" s="252"/>
      <c r="B687" s="252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spans="1:26" ht="15.75" customHeight="1">
      <c r="A688" s="252"/>
      <c r="B688" s="252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spans="1:26" ht="15.75" customHeight="1">
      <c r="A689" s="252"/>
      <c r="B689" s="252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spans="1:26" ht="15.75" customHeight="1">
      <c r="A690" s="252"/>
      <c r="B690" s="252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spans="1:26" ht="15.75" customHeight="1">
      <c r="A691" s="252"/>
      <c r="B691" s="252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spans="1:26" ht="15.75" customHeight="1">
      <c r="A692" s="252"/>
      <c r="B692" s="252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spans="1:26" ht="15.75" customHeight="1">
      <c r="A693" s="252"/>
      <c r="B693" s="252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spans="1:26" ht="15.75" customHeight="1">
      <c r="A694" s="252"/>
      <c r="B694" s="252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spans="1:26" ht="15.75" customHeight="1">
      <c r="A695" s="252"/>
      <c r="B695" s="252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spans="1:26" ht="15.75" customHeight="1">
      <c r="A696" s="252"/>
      <c r="B696" s="252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spans="1:26" ht="15.75" customHeight="1">
      <c r="A697" s="252"/>
      <c r="B697" s="252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spans="1:26" ht="15.75" customHeight="1">
      <c r="A698" s="252"/>
      <c r="B698" s="252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spans="1:26" ht="15.75" customHeight="1">
      <c r="A699" s="252"/>
      <c r="B699" s="252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spans="1:26" ht="15.75" customHeight="1">
      <c r="A700" s="252"/>
      <c r="B700" s="252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spans="1:26" ht="15.75" customHeight="1">
      <c r="A701" s="252"/>
      <c r="B701" s="252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spans="1:26" ht="15.75" customHeight="1">
      <c r="A702" s="252"/>
      <c r="B702" s="252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spans="1:26" ht="15.75" customHeight="1">
      <c r="A703" s="252"/>
      <c r="B703" s="252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spans="1:26" ht="15.75" customHeight="1">
      <c r="A704" s="252"/>
      <c r="B704" s="252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spans="1:26" ht="15.75" customHeight="1">
      <c r="A705" s="252"/>
      <c r="B705" s="252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spans="1:26" ht="15.75" customHeight="1">
      <c r="A706" s="252"/>
      <c r="B706" s="252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spans="1:26" ht="15.75" customHeight="1">
      <c r="A707" s="252"/>
      <c r="B707" s="252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spans="1:26" ht="15.75" customHeight="1">
      <c r="A708" s="252"/>
      <c r="B708" s="252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spans="1:26" ht="15.75" customHeight="1">
      <c r="A709" s="252"/>
      <c r="B709" s="252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spans="1:26" ht="15.75" customHeight="1">
      <c r="A710" s="252"/>
      <c r="B710" s="252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spans="1:26" ht="15.75" customHeight="1">
      <c r="A711" s="252"/>
      <c r="B711" s="252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spans="1:26" ht="15.75" customHeight="1">
      <c r="A712" s="252"/>
      <c r="B712" s="252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spans="1:26" ht="15.75" customHeight="1">
      <c r="A713" s="252"/>
      <c r="B713" s="252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spans="1:26" ht="15.75" customHeight="1">
      <c r="A714" s="252"/>
      <c r="B714" s="252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spans="1:26" ht="15.75" customHeight="1">
      <c r="A715" s="252"/>
      <c r="B715" s="252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spans="1:26" ht="15.75" customHeight="1">
      <c r="A716" s="252"/>
      <c r="B716" s="252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spans="1:26" ht="15.75" customHeight="1">
      <c r="A717" s="252"/>
      <c r="B717" s="252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spans="1:26" ht="15.75" customHeight="1">
      <c r="A718" s="252"/>
      <c r="B718" s="252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spans="1:26" ht="15.75" customHeight="1">
      <c r="A719" s="252"/>
      <c r="B719" s="252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spans="1:26" ht="15.75" customHeight="1">
      <c r="A720" s="252"/>
      <c r="B720" s="252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spans="1:26" ht="15.75" customHeight="1">
      <c r="A721" s="252"/>
      <c r="B721" s="252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spans="1:26" ht="15.75" customHeight="1">
      <c r="A722" s="252"/>
      <c r="B722" s="252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spans="1:26" ht="15.75" customHeight="1">
      <c r="A723" s="252"/>
      <c r="B723" s="252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spans="1:26" ht="15.75" customHeight="1">
      <c r="A724" s="252"/>
      <c r="B724" s="252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spans="1:26" ht="15.75" customHeight="1">
      <c r="A725" s="252"/>
      <c r="B725" s="252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spans="1:26" ht="15.75" customHeight="1">
      <c r="A726" s="252"/>
      <c r="B726" s="252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spans="1:26" ht="15.75" customHeight="1">
      <c r="A727" s="252"/>
      <c r="B727" s="252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spans="1:26" ht="15.75" customHeight="1">
      <c r="A728" s="252"/>
      <c r="B728" s="252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spans="1:26" ht="15.75" customHeight="1">
      <c r="A729" s="252"/>
      <c r="B729" s="252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spans="1:26" ht="15.75" customHeight="1">
      <c r="A730" s="252"/>
      <c r="B730" s="252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spans="1:26" ht="15.75" customHeight="1">
      <c r="A731" s="252"/>
      <c r="B731" s="252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spans="1:26" ht="15.75" customHeight="1">
      <c r="A732" s="252"/>
      <c r="B732" s="252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spans="1:26" ht="15.75" customHeight="1">
      <c r="A733" s="252"/>
      <c r="B733" s="252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spans="1:26" ht="15.75" customHeight="1">
      <c r="A734" s="252"/>
      <c r="B734" s="252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spans="1:26" ht="15.75" customHeight="1">
      <c r="A735" s="252"/>
      <c r="B735" s="252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spans="1:26" ht="15.75" customHeight="1">
      <c r="A736" s="252"/>
      <c r="B736" s="252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spans="1:26" ht="15.75" customHeight="1">
      <c r="A737" s="252"/>
      <c r="B737" s="252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spans="1:26" ht="15.75" customHeight="1">
      <c r="A738" s="252"/>
      <c r="B738" s="252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spans="1:26" ht="15.75" customHeight="1">
      <c r="A739" s="252"/>
      <c r="B739" s="252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spans="1:26" ht="15.75" customHeight="1">
      <c r="A740" s="252"/>
      <c r="B740" s="252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spans="1:26" ht="15.75" customHeight="1">
      <c r="A741" s="252"/>
      <c r="B741" s="252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spans="1:26" ht="15.75" customHeight="1">
      <c r="A742" s="252"/>
      <c r="B742" s="252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spans="1:26" ht="15.75" customHeight="1">
      <c r="A743" s="252"/>
      <c r="B743" s="252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spans="1:26" ht="15.75" customHeight="1">
      <c r="A744" s="252"/>
      <c r="B744" s="252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spans="1:26" ht="15.75" customHeight="1">
      <c r="A745" s="252"/>
      <c r="B745" s="252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spans="1:26" ht="15.75" customHeight="1">
      <c r="A746" s="252"/>
      <c r="B746" s="252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spans="1:26" ht="15.75" customHeight="1">
      <c r="A747" s="252"/>
      <c r="B747" s="252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spans="1:26" ht="15.75" customHeight="1">
      <c r="A748" s="252"/>
      <c r="B748" s="252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spans="1:26" ht="15.75" customHeight="1">
      <c r="A749" s="252"/>
      <c r="B749" s="252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spans="1:26" ht="15.75" customHeight="1">
      <c r="A750" s="252"/>
      <c r="B750" s="252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spans="1:26" ht="15.75" customHeight="1">
      <c r="A751" s="252"/>
      <c r="B751" s="252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spans="1:26" ht="15.75" customHeight="1">
      <c r="A752" s="252"/>
      <c r="B752" s="252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spans="1:26" ht="15.75" customHeight="1">
      <c r="A753" s="252"/>
      <c r="B753" s="252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spans="1:26" ht="15.75" customHeight="1">
      <c r="A754" s="252"/>
      <c r="B754" s="252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spans="1:26" ht="15.75" customHeight="1">
      <c r="A755" s="252"/>
      <c r="B755" s="252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spans="1:26" ht="15.75" customHeight="1">
      <c r="A756" s="252"/>
      <c r="B756" s="252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spans="1:26" ht="15.75" customHeight="1">
      <c r="A757" s="252"/>
      <c r="B757" s="252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spans="1:26" ht="15.75" customHeight="1">
      <c r="A758" s="252"/>
      <c r="B758" s="252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spans="1:26" ht="15.75" customHeight="1">
      <c r="A759" s="252"/>
      <c r="B759" s="252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spans="1:26" ht="15.75" customHeight="1">
      <c r="A760" s="252"/>
      <c r="B760" s="252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spans="1:26" ht="15.75" customHeight="1">
      <c r="A761" s="252"/>
      <c r="B761" s="252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spans="1:26" ht="15.75" customHeight="1">
      <c r="A762" s="252"/>
      <c r="B762" s="252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spans="1:26" ht="15.75" customHeight="1">
      <c r="A763" s="252"/>
      <c r="B763" s="252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spans="1:26" ht="15.75" customHeight="1">
      <c r="A764" s="252"/>
      <c r="B764" s="252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spans="1:26" ht="15.75" customHeight="1">
      <c r="A765" s="252"/>
      <c r="B765" s="252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spans="1:26" ht="15.75" customHeight="1">
      <c r="A766" s="252"/>
      <c r="B766" s="252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spans="1:26" ht="15.75" customHeight="1">
      <c r="A767" s="252"/>
      <c r="B767" s="252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spans="1:26" ht="15.75" customHeight="1">
      <c r="A768" s="252"/>
      <c r="B768" s="252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spans="1:26" ht="15.75" customHeight="1">
      <c r="A769" s="252"/>
      <c r="B769" s="252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spans="1:26" ht="15.75" customHeight="1">
      <c r="A770" s="252"/>
      <c r="B770" s="252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spans="1:26" ht="15.75" customHeight="1">
      <c r="A771" s="252"/>
      <c r="B771" s="252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spans="1:26" ht="15.75" customHeight="1">
      <c r="A772" s="252"/>
      <c r="B772" s="252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spans="1:26" ht="15.75" customHeight="1">
      <c r="A773" s="252"/>
      <c r="B773" s="252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spans="1:26" ht="15.75" customHeight="1">
      <c r="A774" s="252"/>
      <c r="B774" s="252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spans="1:26" ht="15.75" customHeight="1">
      <c r="A775" s="252"/>
      <c r="B775" s="252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spans="1:26" ht="15.75" customHeight="1">
      <c r="A776" s="252"/>
      <c r="B776" s="252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spans="1:26" ht="15.75" customHeight="1">
      <c r="A777" s="252"/>
      <c r="B777" s="252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spans="1:26" ht="15.75" customHeight="1">
      <c r="A778" s="252"/>
      <c r="B778" s="252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spans="1:26" ht="15.75" customHeight="1">
      <c r="A779" s="252"/>
      <c r="B779" s="252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spans="1:26" ht="15.75" customHeight="1">
      <c r="A780" s="252"/>
      <c r="B780" s="252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spans="1:26" ht="15.75" customHeight="1">
      <c r="A781" s="252"/>
      <c r="B781" s="252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spans="1:26" ht="15.75" customHeight="1">
      <c r="A782" s="252"/>
      <c r="B782" s="252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spans="1:26" ht="15.75" customHeight="1">
      <c r="A783" s="252"/>
      <c r="B783" s="252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spans="1:26" ht="15.75" customHeight="1">
      <c r="A784" s="252"/>
      <c r="B784" s="252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spans="1:26" ht="15.75" customHeight="1">
      <c r="A785" s="252"/>
      <c r="B785" s="252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spans="1:26" ht="15.75" customHeight="1">
      <c r="A786" s="252"/>
      <c r="B786" s="252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spans="1:26" ht="15.75" customHeight="1">
      <c r="A787" s="252"/>
      <c r="B787" s="252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spans="1:26" ht="15.75" customHeight="1">
      <c r="A788" s="252"/>
      <c r="B788" s="252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spans="1:26" ht="15.75" customHeight="1">
      <c r="A789" s="252"/>
      <c r="B789" s="252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spans="1:26" ht="15.75" customHeight="1">
      <c r="A790" s="252"/>
      <c r="B790" s="252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spans="1:26" ht="15.75" customHeight="1">
      <c r="A791" s="252"/>
      <c r="B791" s="252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spans="1:26" ht="15.75" customHeight="1">
      <c r="A792" s="252"/>
      <c r="B792" s="252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spans="1:26" ht="15.75" customHeight="1">
      <c r="A793" s="252"/>
      <c r="B793" s="252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spans="1:26" ht="15.75" customHeight="1">
      <c r="A794" s="252"/>
      <c r="B794" s="252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spans="1:26" ht="15.75" customHeight="1">
      <c r="A795" s="252"/>
      <c r="B795" s="252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spans="1:26" ht="15.75" customHeight="1">
      <c r="A796" s="252"/>
      <c r="B796" s="252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spans="1:26" ht="15.75" customHeight="1">
      <c r="A797" s="252"/>
      <c r="B797" s="252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spans="1:26" ht="15.75" customHeight="1">
      <c r="A798" s="252"/>
      <c r="B798" s="252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spans="1:26" ht="15.75" customHeight="1">
      <c r="A799" s="252"/>
      <c r="B799" s="252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spans="1:26" ht="15.75" customHeight="1">
      <c r="A800" s="252"/>
      <c r="B800" s="252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spans="1:26" ht="15.75" customHeight="1">
      <c r="A801" s="252"/>
      <c r="B801" s="252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spans="1:26" ht="15.75" customHeight="1">
      <c r="A802" s="252"/>
      <c r="B802" s="252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spans="1:26" ht="15.75" customHeight="1">
      <c r="A803" s="252"/>
      <c r="B803" s="252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spans="1:26" ht="15.75" customHeight="1">
      <c r="A804" s="252"/>
      <c r="B804" s="252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spans="1:26" ht="15.75" customHeight="1">
      <c r="A805" s="252"/>
      <c r="B805" s="252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spans="1:26" ht="15.75" customHeight="1">
      <c r="A806" s="252"/>
      <c r="B806" s="252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spans="1:26" ht="15.75" customHeight="1">
      <c r="A807" s="252"/>
      <c r="B807" s="252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spans="1:26" ht="15.75" customHeight="1">
      <c r="A808" s="252"/>
      <c r="B808" s="252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spans="1:26" ht="15.75" customHeight="1">
      <c r="A809" s="252"/>
      <c r="B809" s="252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spans="1:26" ht="15.75" customHeight="1">
      <c r="A810" s="252"/>
      <c r="B810" s="252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spans="1:26" ht="15.75" customHeight="1">
      <c r="A811" s="252"/>
      <c r="B811" s="252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spans="1:26" ht="15.75" customHeight="1">
      <c r="A812" s="252"/>
      <c r="B812" s="252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spans="1:26" ht="15.75" customHeight="1">
      <c r="A813" s="252"/>
      <c r="B813" s="252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spans="1:26" ht="15.75" customHeight="1">
      <c r="A814" s="252"/>
      <c r="B814" s="252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spans="1:26" ht="15.75" customHeight="1">
      <c r="A815" s="252"/>
      <c r="B815" s="252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spans="1:26" ht="15.75" customHeight="1">
      <c r="A816" s="252"/>
      <c r="B816" s="252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spans="1:26" ht="15.75" customHeight="1">
      <c r="A817" s="252"/>
      <c r="B817" s="252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spans="1:26" ht="15.75" customHeight="1">
      <c r="A818" s="252"/>
      <c r="B818" s="252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spans="1:26" ht="15.75" customHeight="1">
      <c r="A819" s="252"/>
      <c r="B819" s="252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spans="1:26" ht="15.75" customHeight="1">
      <c r="A820" s="252"/>
      <c r="B820" s="252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spans="1:26" ht="15.75" customHeight="1">
      <c r="A821" s="252"/>
      <c r="B821" s="252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spans="1:26" ht="15.75" customHeight="1">
      <c r="A822" s="252"/>
      <c r="B822" s="252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spans="1:26" ht="15.75" customHeight="1">
      <c r="A823" s="252"/>
      <c r="B823" s="252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spans="1:26" ht="15.75" customHeight="1">
      <c r="A824" s="252"/>
      <c r="B824" s="252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spans="1:26" ht="15.75" customHeight="1">
      <c r="A825" s="252"/>
      <c r="B825" s="252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spans="1:26" ht="15.75" customHeight="1">
      <c r="A826" s="252"/>
      <c r="B826" s="252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spans="1:26" ht="15.75" customHeight="1">
      <c r="A827" s="252"/>
      <c r="B827" s="252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spans="1:26" ht="15.75" customHeight="1">
      <c r="A828" s="252"/>
      <c r="B828" s="252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spans="1:26" ht="15.75" customHeight="1">
      <c r="A829" s="252"/>
      <c r="B829" s="252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spans="1:26" ht="15.75" customHeight="1">
      <c r="A830" s="252"/>
      <c r="B830" s="252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spans="1:26" ht="15.75" customHeight="1">
      <c r="A831" s="252"/>
      <c r="B831" s="252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spans="1:26" ht="15.75" customHeight="1">
      <c r="A832" s="252"/>
      <c r="B832" s="252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spans="1:26" ht="15.75" customHeight="1">
      <c r="A833" s="252"/>
      <c r="B833" s="252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spans="1:26" ht="15.75" customHeight="1">
      <c r="A834" s="252"/>
      <c r="B834" s="252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spans="1:26" ht="15.75" customHeight="1">
      <c r="A835" s="252"/>
      <c r="B835" s="252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spans="1:26" ht="15.75" customHeight="1">
      <c r="A836" s="252"/>
      <c r="B836" s="252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spans="1:26" ht="15.75" customHeight="1">
      <c r="A837" s="252"/>
      <c r="B837" s="252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spans="1:26" ht="15.75" customHeight="1">
      <c r="A838" s="252"/>
      <c r="B838" s="252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spans="1:26" ht="15.75" customHeight="1">
      <c r="A839" s="252"/>
      <c r="B839" s="252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spans="1:26" ht="15.75" customHeight="1">
      <c r="A840" s="252"/>
      <c r="B840" s="252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spans="1:26" ht="15.75" customHeight="1">
      <c r="A841" s="252"/>
      <c r="B841" s="252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spans="1:26" ht="15.75" customHeight="1">
      <c r="A842" s="252"/>
      <c r="B842" s="252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spans="1:26" ht="15.75" customHeight="1">
      <c r="A843" s="252"/>
      <c r="B843" s="252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spans="1:26" ht="15.75" customHeight="1">
      <c r="A844" s="252"/>
      <c r="B844" s="252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spans="1:26" ht="15.75" customHeight="1">
      <c r="A845" s="252"/>
      <c r="B845" s="252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spans="1:26" ht="15.75" customHeight="1">
      <c r="A846" s="252"/>
      <c r="B846" s="252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spans="1:26" ht="15.75" customHeight="1">
      <c r="A847" s="252"/>
      <c r="B847" s="252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spans="1:26" ht="15.75" customHeight="1">
      <c r="A848" s="252"/>
      <c r="B848" s="252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spans="1:26" ht="15.75" customHeight="1">
      <c r="A849" s="252"/>
      <c r="B849" s="252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spans="1:26" ht="15.75" customHeight="1">
      <c r="A850" s="252"/>
      <c r="B850" s="252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spans="1:26" ht="15.75" customHeight="1">
      <c r="A851" s="252"/>
      <c r="B851" s="252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spans="1:26" ht="15.75" customHeight="1">
      <c r="A852" s="252"/>
      <c r="B852" s="252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spans="1:26" ht="15.75" customHeight="1">
      <c r="A853" s="252"/>
      <c r="B853" s="252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spans="1:26" ht="15.75" customHeight="1">
      <c r="A854" s="252"/>
      <c r="B854" s="252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spans="1:26" ht="15.75" customHeight="1">
      <c r="A855" s="252"/>
      <c r="B855" s="252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spans="1:26" ht="15.75" customHeight="1">
      <c r="A856" s="252"/>
      <c r="B856" s="252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spans="1:26" ht="15.75" customHeight="1">
      <c r="A857" s="252"/>
      <c r="B857" s="252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spans="1:26" ht="15.75" customHeight="1">
      <c r="A858" s="252"/>
      <c r="B858" s="252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spans="1:26" ht="15.75" customHeight="1">
      <c r="A859" s="252"/>
      <c r="B859" s="252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spans="1:26" ht="15.75" customHeight="1">
      <c r="A860" s="252"/>
      <c r="B860" s="252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spans="1:26" ht="15.75" customHeight="1">
      <c r="A861" s="252"/>
      <c r="B861" s="252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spans="1:26" ht="15.75" customHeight="1">
      <c r="A862" s="252"/>
      <c r="B862" s="252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spans="1:26" ht="15.75" customHeight="1">
      <c r="A863" s="252"/>
      <c r="B863" s="252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spans="1:26" ht="15.75" customHeight="1">
      <c r="A864" s="252"/>
      <c r="B864" s="252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spans="1:26" ht="15.75" customHeight="1">
      <c r="A865" s="252"/>
      <c r="B865" s="252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spans="1:26" ht="15.75" customHeight="1">
      <c r="A866" s="252"/>
      <c r="B866" s="252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spans="1:26" ht="15.75" customHeight="1">
      <c r="A867" s="252"/>
      <c r="B867" s="252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spans="1:26" ht="15.75" customHeight="1">
      <c r="A868" s="252"/>
      <c r="B868" s="252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spans="1:26" ht="15.75" customHeight="1">
      <c r="A869" s="252"/>
      <c r="B869" s="252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spans="1:26" ht="15.75" customHeight="1">
      <c r="A870" s="252"/>
      <c r="B870" s="252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spans="1:26" ht="15.75" customHeight="1">
      <c r="A871" s="252"/>
      <c r="B871" s="252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spans="1:26" ht="15.75" customHeight="1">
      <c r="A872" s="252"/>
      <c r="B872" s="252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spans="1:26" ht="15.75" customHeight="1">
      <c r="A873" s="252"/>
      <c r="B873" s="252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spans="1:26" ht="15.75" customHeight="1">
      <c r="A874" s="252"/>
      <c r="B874" s="252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spans="1:26" ht="15.75" customHeight="1">
      <c r="A875" s="252"/>
      <c r="B875" s="252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spans="1:26" ht="15.75" customHeight="1">
      <c r="A876" s="252"/>
      <c r="B876" s="252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spans="1:26" ht="15.75" customHeight="1">
      <c r="A877" s="252"/>
      <c r="B877" s="252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spans="1:26" ht="15.75" customHeight="1">
      <c r="A878" s="252"/>
      <c r="B878" s="252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spans="1:26" ht="15.75" customHeight="1">
      <c r="A879" s="252"/>
      <c r="B879" s="252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spans="1:26" ht="15.75" customHeight="1">
      <c r="A880" s="252"/>
      <c r="B880" s="252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spans="1:26" ht="15.75" customHeight="1">
      <c r="A881" s="252"/>
      <c r="B881" s="252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spans="1:26" ht="15.75" customHeight="1">
      <c r="A882" s="252"/>
      <c r="B882" s="252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spans="1:26" ht="15.75" customHeight="1">
      <c r="A883" s="252"/>
      <c r="B883" s="252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spans="1:26" ht="15.75" customHeight="1">
      <c r="A884" s="252"/>
      <c r="B884" s="252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spans="1:26" ht="15.75" customHeight="1">
      <c r="A885" s="252"/>
      <c r="B885" s="252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spans="1:26" ht="15.75" customHeight="1">
      <c r="A886" s="252"/>
      <c r="B886" s="252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spans="1:26" ht="15.75" customHeight="1">
      <c r="A887" s="252"/>
      <c r="B887" s="252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spans="1:26" ht="15.75" customHeight="1">
      <c r="A888" s="252"/>
      <c r="B888" s="252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spans="1:26" ht="15.75" customHeight="1">
      <c r="A889" s="252"/>
      <c r="B889" s="252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spans="1:26" ht="15.75" customHeight="1">
      <c r="A890" s="252"/>
      <c r="B890" s="252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spans="1:26" ht="15.75" customHeight="1">
      <c r="A891" s="252"/>
      <c r="B891" s="252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spans="1:26" ht="15.75" customHeight="1">
      <c r="A892" s="252"/>
      <c r="B892" s="252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spans="1:26" ht="15.75" customHeight="1">
      <c r="A893" s="252"/>
      <c r="B893" s="252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spans="1:26" ht="15.75" customHeight="1">
      <c r="A894" s="252"/>
      <c r="B894" s="252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spans="1:26" ht="15.75" customHeight="1">
      <c r="A895" s="252"/>
      <c r="B895" s="252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spans="1:26" ht="15.75" customHeight="1">
      <c r="A896" s="252"/>
      <c r="B896" s="252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spans="1:26" ht="15.75" customHeight="1">
      <c r="A897" s="252"/>
      <c r="B897" s="252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spans="1:26" ht="15.75" customHeight="1">
      <c r="A898" s="252"/>
      <c r="B898" s="252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spans="1:26" ht="15.75" customHeight="1">
      <c r="A899" s="252"/>
      <c r="B899" s="252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spans="1:26" ht="15.75" customHeight="1">
      <c r="A900" s="252"/>
      <c r="B900" s="252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spans="1:26" ht="15.75" customHeight="1">
      <c r="A901" s="252"/>
      <c r="B901" s="252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spans="1:26" ht="15.75" customHeight="1">
      <c r="A902" s="252"/>
      <c r="B902" s="252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spans="1:26" ht="15.75" customHeight="1">
      <c r="A903" s="252"/>
      <c r="B903" s="252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spans="1:26" ht="15.75" customHeight="1">
      <c r="A904" s="252"/>
      <c r="B904" s="252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spans="1:26" ht="15.75" customHeight="1">
      <c r="A905" s="252"/>
      <c r="B905" s="252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spans="1:26" ht="15.75" customHeight="1">
      <c r="A906" s="252"/>
      <c r="B906" s="252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spans="1:26" ht="15.75" customHeight="1">
      <c r="A907" s="252"/>
      <c r="B907" s="252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spans="1:26" ht="15.75" customHeight="1">
      <c r="A908" s="252"/>
      <c r="B908" s="252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spans="1:26" ht="15.75" customHeight="1">
      <c r="A909" s="252"/>
      <c r="B909" s="252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spans="1:26" ht="15.75" customHeight="1">
      <c r="A910" s="252"/>
      <c r="B910" s="252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spans="1:26" ht="15.75" customHeight="1">
      <c r="A911" s="252"/>
      <c r="B911" s="252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spans="1:26" ht="15.75" customHeight="1">
      <c r="A912" s="252"/>
      <c r="B912" s="252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spans="1:26" ht="15.75" customHeight="1">
      <c r="A913" s="252"/>
      <c r="B913" s="252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spans="1:26" ht="15.75" customHeight="1">
      <c r="A914" s="252"/>
      <c r="B914" s="252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spans="1:26" ht="15.75" customHeight="1">
      <c r="A915" s="252"/>
      <c r="B915" s="252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spans="1:26" ht="15.75" customHeight="1">
      <c r="A916" s="252"/>
      <c r="B916" s="252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spans="1:26" ht="15.75" customHeight="1">
      <c r="A917" s="252"/>
      <c r="B917" s="252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spans="1:26" ht="15.75" customHeight="1">
      <c r="A918" s="252"/>
      <c r="B918" s="252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spans="1:26" ht="15.75" customHeight="1">
      <c r="A919" s="252"/>
      <c r="B919" s="252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spans="1:26" ht="15.75" customHeight="1">
      <c r="A920" s="252"/>
      <c r="B920" s="252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spans="1:26" ht="15.75" customHeight="1">
      <c r="A921" s="252"/>
      <c r="B921" s="252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spans="1:26" ht="15.75" customHeight="1">
      <c r="A922" s="252"/>
      <c r="B922" s="252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spans="1:26" ht="15.75" customHeight="1">
      <c r="A923" s="252"/>
      <c r="B923" s="252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spans="1:26" ht="15.75" customHeight="1">
      <c r="A924" s="252"/>
      <c r="B924" s="252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spans="1:26" ht="15.75" customHeight="1">
      <c r="A925" s="252"/>
      <c r="B925" s="252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spans="1:26" ht="15.75" customHeight="1">
      <c r="A926" s="252"/>
      <c r="B926" s="252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spans="1:26" ht="15.75" customHeight="1">
      <c r="A927" s="252"/>
      <c r="B927" s="252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spans="1:26" ht="15.75" customHeight="1">
      <c r="A928" s="252"/>
      <c r="B928" s="252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spans="1:26" ht="15.75" customHeight="1">
      <c r="A929" s="252"/>
      <c r="B929" s="252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spans="1:26" ht="15.75" customHeight="1">
      <c r="A930" s="252"/>
      <c r="B930" s="252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spans="1:26" ht="15.75" customHeight="1">
      <c r="A931" s="252"/>
      <c r="B931" s="252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spans="1:26" ht="15.75" customHeight="1">
      <c r="A932" s="252"/>
      <c r="B932" s="252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spans="1:26" ht="15.75" customHeight="1">
      <c r="A933" s="252"/>
      <c r="B933" s="252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spans="1:26" ht="15.75" customHeight="1">
      <c r="A934" s="252"/>
      <c r="B934" s="252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spans="1:26" ht="15.75" customHeight="1">
      <c r="A935" s="252"/>
      <c r="B935" s="252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spans="1:26" ht="15.75" customHeight="1">
      <c r="A936" s="252"/>
      <c r="B936" s="252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spans="1:26" ht="15.75" customHeight="1">
      <c r="A937" s="252"/>
      <c r="B937" s="252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spans="1:26" ht="15.75" customHeight="1">
      <c r="A938" s="252"/>
      <c r="B938" s="252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spans="1:26" ht="15.75" customHeight="1">
      <c r="A939" s="252"/>
      <c r="B939" s="252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spans="1:26" ht="15.75" customHeight="1">
      <c r="A940" s="252"/>
      <c r="B940" s="252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spans="1:26" ht="15.75" customHeight="1">
      <c r="A941" s="252"/>
      <c r="B941" s="252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spans="1:26" ht="15.75" customHeight="1">
      <c r="A942" s="252"/>
      <c r="B942" s="252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spans="1:26" ht="15.75" customHeight="1">
      <c r="A943" s="252"/>
      <c r="B943" s="252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spans="1:26" ht="15.75" customHeight="1">
      <c r="A944" s="252"/>
      <c r="B944" s="252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spans="1:26" ht="15.75" customHeight="1">
      <c r="A945" s="252"/>
      <c r="B945" s="252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spans="1:26" ht="15.75" customHeight="1">
      <c r="A946" s="252"/>
      <c r="B946" s="252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spans="1:26" ht="15.75" customHeight="1">
      <c r="A947" s="252"/>
      <c r="B947" s="252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spans="1:26" ht="15.75" customHeight="1">
      <c r="A948" s="252"/>
      <c r="B948" s="252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spans="1:26" ht="15.75" customHeight="1">
      <c r="A949" s="252"/>
      <c r="B949" s="252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spans="1:26" ht="15.75" customHeight="1">
      <c r="A950" s="252"/>
      <c r="B950" s="252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spans="1:26" ht="15.75" customHeight="1">
      <c r="A951" s="252"/>
      <c r="B951" s="252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spans="1:26" ht="15.75" customHeight="1">
      <c r="A952" s="252"/>
      <c r="B952" s="252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spans="1:26" ht="15.75" customHeight="1">
      <c r="A953" s="252"/>
      <c r="B953" s="252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spans="1:26" ht="15.75" customHeight="1">
      <c r="A954" s="252"/>
      <c r="B954" s="252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spans="1:26" ht="15.75" customHeight="1">
      <c r="A955" s="252"/>
      <c r="B955" s="252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spans="1:26" ht="15.75" customHeight="1">
      <c r="A956" s="252"/>
      <c r="B956" s="252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spans="1:26" ht="15.75" customHeight="1">
      <c r="A957" s="252"/>
      <c r="B957" s="252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spans="1:26" ht="15.75" customHeight="1">
      <c r="A958" s="252"/>
      <c r="B958" s="252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spans="1:26" ht="15.75" customHeight="1">
      <c r="A959" s="252"/>
      <c r="B959" s="252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spans="1:26" ht="15.75" customHeight="1">
      <c r="A960" s="252"/>
      <c r="B960" s="252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spans="1:26" ht="15.75" customHeight="1">
      <c r="A961" s="252"/>
      <c r="B961" s="252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spans="1:26" ht="15.75" customHeight="1">
      <c r="A962" s="252"/>
      <c r="B962" s="252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spans="1:26" ht="15.75" customHeight="1">
      <c r="A963" s="252"/>
      <c r="B963" s="252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spans="1:26" ht="15.75" customHeight="1">
      <c r="A964" s="252"/>
      <c r="B964" s="252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spans="1:26" ht="15.75" customHeight="1">
      <c r="A965" s="252"/>
      <c r="B965" s="252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spans="1:26" ht="15.75" customHeight="1">
      <c r="A966" s="252"/>
      <c r="B966" s="252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spans="1:26" ht="15.75" customHeight="1">
      <c r="A967" s="252"/>
      <c r="B967" s="252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spans="1:26" ht="15.75" customHeight="1">
      <c r="A968" s="252"/>
      <c r="B968" s="252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spans="1:26" ht="15.75" customHeight="1">
      <c r="A969" s="252"/>
      <c r="B969" s="252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spans="1:26" ht="15.75" customHeight="1">
      <c r="A970" s="252"/>
      <c r="B970" s="252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spans="1:26" ht="15.75" customHeight="1">
      <c r="A971" s="252"/>
      <c r="B971" s="252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spans="1:26" ht="15.75" customHeight="1">
      <c r="A972" s="252"/>
      <c r="B972" s="252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spans="1:26" ht="15.75" customHeight="1">
      <c r="A973" s="252"/>
      <c r="B973" s="252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spans="1:26" ht="15.75" customHeight="1">
      <c r="A974" s="252"/>
      <c r="B974" s="252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spans="1:26" ht="15.75" customHeight="1">
      <c r="A975" s="252"/>
      <c r="B975" s="252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spans="1:26" ht="15.75" customHeight="1">
      <c r="A976" s="252"/>
      <c r="B976" s="252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spans="1:26" ht="15.75" customHeight="1">
      <c r="A977" s="252"/>
      <c r="B977" s="252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spans="1:26" ht="15.75" customHeight="1">
      <c r="A978" s="252"/>
      <c r="B978" s="252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spans="1:26" ht="15.75" customHeight="1">
      <c r="A979" s="252"/>
      <c r="B979" s="252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spans="1:26" ht="15.75" customHeight="1">
      <c r="A980" s="252"/>
      <c r="B980" s="252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spans="1:26" ht="15.75" customHeight="1">
      <c r="A981" s="252"/>
      <c r="B981" s="252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spans="1:26" ht="15.75" customHeight="1">
      <c r="A982" s="252"/>
      <c r="B982" s="252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spans="1:26" ht="15.75" customHeight="1">
      <c r="A983" s="252"/>
      <c r="B983" s="252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spans="1:26" ht="15.75" customHeight="1">
      <c r="A984" s="252"/>
      <c r="B984" s="252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spans="1:26" ht="15.75" customHeight="1">
      <c r="A985" s="252"/>
      <c r="B985" s="252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spans="1:26" ht="15.75" customHeight="1">
      <c r="A986" s="252"/>
      <c r="B986" s="252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spans="1:26" ht="15.75" customHeight="1">
      <c r="A987" s="252"/>
      <c r="B987" s="252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spans="1:26" ht="15.75" customHeight="1">
      <c r="A988" s="252"/>
      <c r="B988" s="252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spans="1:26" ht="15.75" customHeight="1">
      <c r="A989" s="252"/>
      <c r="B989" s="252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spans="1:26" ht="15.75" customHeight="1">
      <c r="A990" s="252"/>
      <c r="B990" s="252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spans="1:26" ht="15.75" customHeight="1">
      <c r="A991" s="252"/>
      <c r="B991" s="252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spans="1:26" ht="15.75" customHeight="1">
      <c r="A992" s="252"/>
      <c r="B992" s="252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spans="1:26" ht="15.75" customHeight="1">
      <c r="A993" s="252"/>
      <c r="B993" s="252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spans="1:26" ht="15.75" customHeight="1">
      <c r="A994" s="252"/>
      <c r="B994" s="252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spans="1:26" ht="15.75" customHeight="1">
      <c r="A995" s="252"/>
      <c r="B995" s="252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spans="1:26" ht="15.75" customHeight="1">
      <c r="A996" s="252"/>
      <c r="B996" s="252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spans="1:26" ht="15.75" customHeight="1">
      <c r="A997" s="252"/>
      <c r="B997" s="252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spans="1:26" ht="15.75" customHeight="1">
      <c r="A998" s="252"/>
      <c r="B998" s="252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spans="1:26" ht="15.75" customHeight="1">
      <c r="A999" s="252"/>
      <c r="B999" s="252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spans="1:26" ht="15.75" customHeight="1">
      <c r="A1000" s="252"/>
      <c r="B1000" s="252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2.54296875" defaultRowHeight="15" customHeight="1"/>
  <cols>
    <col min="1" max="2" width="12.81640625" customWidth="1"/>
    <col min="3" max="3" width="41" customWidth="1"/>
    <col min="4" max="5" width="31.1796875" customWidth="1"/>
    <col min="6" max="6" width="16.453125" customWidth="1"/>
    <col min="7" max="7" width="8.54296875" customWidth="1"/>
    <col min="8" max="8" width="60.54296875" customWidth="1"/>
    <col min="9" max="9" width="8.54296875" customWidth="1"/>
    <col min="10" max="10" width="15.453125" customWidth="1"/>
    <col min="11" max="11" width="86.1796875" customWidth="1"/>
    <col min="12" max="12" width="21.26953125" customWidth="1"/>
    <col min="13" max="14" width="18.453125" customWidth="1"/>
    <col min="15" max="26" width="12.81640625" customWidth="1"/>
  </cols>
  <sheetData>
    <row r="1" spans="1:26" ht="15.75" customHeight="1">
      <c r="A1" s="268"/>
      <c r="B1" s="268"/>
      <c r="C1" s="251" t="s">
        <v>14</v>
      </c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 spans="1:26" ht="15.75" customHeight="1">
      <c r="A2" s="268"/>
      <c r="B2" s="268"/>
      <c r="C2" s="361" t="s">
        <v>339</v>
      </c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 spans="1:26" ht="15.75" customHeight="1">
      <c r="A3" s="268"/>
      <c r="B3" s="268"/>
      <c r="C3" s="362" t="s">
        <v>1309</v>
      </c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 spans="1:26" ht="15.75" customHeight="1">
      <c r="A4" s="268"/>
      <c r="B4" s="268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spans="1:26" ht="15.75" customHeight="1">
      <c r="A5" s="268"/>
      <c r="B5" s="268"/>
      <c r="C5" s="363" t="s">
        <v>344</v>
      </c>
      <c r="D5" s="363" t="s">
        <v>1310</v>
      </c>
      <c r="E5" s="363" t="s">
        <v>1311</v>
      </c>
      <c r="F5" s="363" t="s">
        <v>1312</v>
      </c>
      <c r="G5" s="363" t="s">
        <v>1313</v>
      </c>
      <c r="H5" s="363" t="s">
        <v>886</v>
      </c>
      <c r="I5" s="363" t="s">
        <v>1314</v>
      </c>
      <c r="J5" s="363" t="s">
        <v>1315</v>
      </c>
      <c r="K5" s="363" t="s">
        <v>1316</v>
      </c>
      <c r="L5" s="363" t="s">
        <v>1317</v>
      </c>
      <c r="M5" s="363" t="s">
        <v>1318</v>
      </c>
      <c r="N5" s="363" t="s">
        <v>1319</v>
      </c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 spans="1:26" ht="15.75" customHeight="1">
      <c r="A6" s="268"/>
      <c r="B6" s="268"/>
      <c r="C6" s="365" t="s">
        <v>1320</v>
      </c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 spans="1:26" ht="15.75" customHeight="1">
      <c r="A7" s="268"/>
      <c r="B7" s="268"/>
      <c r="C7" s="365" t="s">
        <v>1300</v>
      </c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spans="1:26" ht="15.75" customHeight="1">
      <c r="A8" s="268"/>
      <c r="B8" s="268" t="str">
        <f t="shared" ref="B8:B262" si="0">IF(ISBLANK(C8),B7,C8)</f>
        <v>Sales</v>
      </c>
      <c r="C8" s="365" t="s">
        <v>1250</v>
      </c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 spans="1:26" ht="15.75" customHeight="1">
      <c r="A9" s="268"/>
      <c r="B9" s="268" t="str">
        <f t="shared" si="0"/>
        <v>Sales</v>
      </c>
      <c r="C9" s="252"/>
      <c r="D9" s="253" t="s">
        <v>1321</v>
      </c>
      <c r="E9" s="375">
        <f t="shared" ref="E9:E263" si="1">EOMONTH(D9,0)</f>
        <v>46053</v>
      </c>
      <c r="F9" s="253" t="s">
        <v>1322</v>
      </c>
      <c r="G9" s="253" t="s">
        <v>1323</v>
      </c>
      <c r="H9" s="253" t="s">
        <v>1324</v>
      </c>
      <c r="I9" s="253" t="s">
        <v>344</v>
      </c>
      <c r="J9" s="253" t="s">
        <v>344</v>
      </c>
      <c r="K9" s="253" t="s">
        <v>344</v>
      </c>
      <c r="L9" s="253" t="s">
        <v>1325</v>
      </c>
      <c r="M9" s="366">
        <v>-32.4</v>
      </c>
      <c r="N9" s="366">
        <v>-32.4</v>
      </c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 spans="1:26" ht="15.75" customHeight="1">
      <c r="A10" s="268"/>
      <c r="B10" s="268" t="str">
        <f t="shared" si="0"/>
        <v>Sales</v>
      </c>
      <c r="C10" s="252"/>
      <c r="D10" s="253" t="s">
        <v>1326</v>
      </c>
      <c r="E10" s="375">
        <f t="shared" si="1"/>
        <v>46053</v>
      </c>
      <c r="F10" s="253" t="s">
        <v>1327</v>
      </c>
      <c r="G10" s="253" t="s">
        <v>1328</v>
      </c>
      <c r="H10" s="253" t="s">
        <v>1329</v>
      </c>
      <c r="I10" s="253" t="s">
        <v>344</v>
      </c>
      <c r="J10" s="253" t="s">
        <v>344</v>
      </c>
      <c r="K10" s="253" t="s">
        <v>344</v>
      </c>
      <c r="L10" s="253" t="s">
        <v>1325</v>
      </c>
      <c r="M10" s="366">
        <v>1400</v>
      </c>
      <c r="N10" s="366">
        <v>1367.6</v>
      </c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 spans="1:26" ht="15.75" customHeight="1">
      <c r="A11" s="268"/>
      <c r="B11" s="268" t="str">
        <f t="shared" si="0"/>
        <v>Sales</v>
      </c>
      <c r="C11" s="252"/>
      <c r="D11" s="253" t="s">
        <v>1330</v>
      </c>
      <c r="E11" s="375">
        <f t="shared" si="1"/>
        <v>46053</v>
      </c>
      <c r="F11" s="253" t="s">
        <v>1327</v>
      </c>
      <c r="G11" s="253" t="s">
        <v>1331</v>
      </c>
      <c r="H11" s="253" t="s">
        <v>1332</v>
      </c>
      <c r="I11" s="253" t="s">
        <v>344</v>
      </c>
      <c r="J11" s="253" t="s">
        <v>344</v>
      </c>
      <c r="K11" s="253" t="s">
        <v>344</v>
      </c>
      <c r="L11" s="253" t="s">
        <v>1325</v>
      </c>
      <c r="M11" s="366">
        <v>300</v>
      </c>
      <c r="N11" s="366">
        <v>1667.6</v>
      </c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 spans="1:26" ht="15.75" customHeight="1">
      <c r="A12" s="268"/>
      <c r="B12" s="268" t="str">
        <f t="shared" si="0"/>
        <v>Sales</v>
      </c>
      <c r="C12" s="252"/>
      <c r="D12" s="253" t="s">
        <v>1330</v>
      </c>
      <c r="E12" s="375">
        <f t="shared" si="1"/>
        <v>46053</v>
      </c>
      <c r="F12" s="253" t="s">
        <v>1327</v>
      </c>
      <c r="G12" s="253" t="s">
        <v>1331</v>
      </c>
      <c r="H12" s="253" t="s">
        <v>1332</v>
      </c>
      <c r="I12" s="253" t="s">
        <v>344</v>
      </c>
      <c r="J12" s="253" t="s">
        <v>344</v>
      </c>
      <c r="K12" s="253" t="s">
        <v>344</v>
      </c>
      <c r="L12" s="253" t="s">
        <v>1325</v>
      </c>
      <c r="M12" s="366">
        <v>10.5</v>
      </c>
      <c r="N12" s="366">
        <v>1678.1</v>
      </c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 spans="1:26" ht="15.75" customHeight="1">
      <c r="A13" s="268"/>
      <c r="B13" s="268" t="str">
        <f t="shared" si="0"/>
        <v>Sales</v>
      </c>
      <c r="C13" s="252"/>
      <c r="D13" s="253" t="s">
        <v>1333</v>
      </c>
      <c r="E13" s="375">
        <f t="shared" si="1"/>
        <v>46053</v>
      </c>
      <c r="F13" s="253" t="s">
        <v>1327</v>
      </c>
      <c r="G13" s="253" t="s">
        <v>1334</v>
      </c>
      <c r="H13" s="253" t="s">
        <v>1335</v>
      </c>
      <c r="I13" s="253" t="s">
        <v>344</v>
      </c>
      <c r="J13" s="253" t="s">
        <v>344</v>
      </c>
      <c r="K13" s="253" t="s">
        <v>344</v>
      </c>
      <c r="L13" s="253" t="s">
        <v>1325</v>
      </c>
      <c r="M13" s="366">
        <v>1400</v>
      </c>
      <c r="N13" s="366">
        <v>3078.1</v>
      </c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 spans="1:26" ht="15.75" customHeight="1">
      <c r="A14" s="268"/>
      <c r="B14" s="268" t="str">
        <f t="shared" si="0"/>
        <v>Sales</v>
      </c>
      <c r="C14" s="252"/>
      <c r="D14" s="253" t="s">
        <v>1333</v>
      </c>
      <c r="E14" s="375">
        <f t="shared" si="1"/>
        <v>46053</v>
      </c>
      <c r="F14" s="253" t="s">
        <v>1327</v>
      </c>
      <c r="G14" s="253" t="s">
        <v>1336</v>
      </c>
      <c r="H14" s="253" t="s">
        <v>1337</v>
      </c>
      <c r="I14" s="253" t="s">
        <v>344</v>
      </c>
      <c r="J14" s="253" t="s">
        <v>344</v>
      </c>
      <c r="K14" s="253" t="s">
        <v>344</v>
      </c>
      <c r="L14" s="253" t="s">
        <v>1325</v>
      </c>
      <c r="M14" s="366">
        <v>1125</v>
      </c>
      <c r="N14" s="366">
        <v>4203.1000000000004</v>
      </c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 spans="1:26" ht="15.75" customHeight="1">
      <c r="A15" s="268"/>
      <c r="B15" s="268" t="str">
        <f t="shared" si="0"/>
        <v>Sales</v>
      </c>
      <c r="C15" s="252"/>
      <c r="D15" s="253" t="s">
        <v>1333</v>
      </c>
      <c r="E15" s="375">
        <f t="shared" si="1"/>
        <v>46053</v>
      </c>
      <c r="F15" s="253" t="s">
        <v>1327</v>
      </c>
      <c r="G15" s="253" t="s">
        <v>1338</v>
      </c>
      <c r="H15" s="253" t="s">
        <v>1337</v>
      </c>
      <c r="I15" s="253" t="s">
        <v>344</v>
      </c>
      <c r="J15" s="253" t="s">
        <v>344</v>
      </c>
      <c r="K15" s="253" t="s">
        <v>344</v>
      </c>
      <c r="L15" s="253" t="s">
        <v>1325</v>
      </c>
      <c r="M15" s="366">
        <v>625</v>
      </c>
      <c r="N15" s="366">
        <v>4828.1000000000004</v>
      </c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 spans="1:26" ht="15.75" customHeight="1">
      <c r="A16" s="268"/>
      <c r="B16" s="268" t="str">
        <f t="shared" si="0"/>
        <v>Sales</v>
      </c>
      <c r="C16" s="252"/>
      <c r="D16" s="253" t="s">
        <v>1333</v>
      </c>
      <c r="E16" s="375">
        <f t="shared" si="1"/>
        <v>46053</v>
      </c>
      <c r="F16" s="253" t="s">
        <v>1327</v>
      </c>
      <c r="G16" s="253" t="s">
        <v>1339</v>
      </c>
      <c r="H16" s="253" t="s">
        <v>1340</v>
      </c>
      <c r="I16" s="253" t="s">
        <v>344</v>
      </c>
      <c r="J16" s="253" t="s">
        <v>344</v>
      </c>
      <c r="K16" s="253" t="s">
        <v>344</v>
      </c>
      <c r="L16" s="253" t="s">
        <v>1325</v>
      </c>
      <c r="M16" s="366">
        <v>1125</v>
      </c>
      <c r="N16" s="366">
        <v>5953.1</v>
      </c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 spans="1:26" ht="15.75" customHeight="1">
      <c r="A17" s="268"/>
      <c r="B17" s="268" t="str">
        <f t="shared" si="0"/>
        <v>Sales</v>
      </c>
      <c r="C17" s="252"/>
      <c r="D17" s="253" t="s">
        <v>1333</v>
      </c>
      <c r="E17" s="375">
        <f t="shared" si="1"/>
        <v>46053</v>
      </c>
      <c r="F17" s="253" t="s">
        <v>1327</v>
      </c>
      <c r="G17" s="253" t="s">
        <v>1341</v>
      </c>
      <c r="H17" s="253" t="s">
        <v>1340</v>
      </c>
      <c r="I17" s="253" t="s">
        <v>344</v>
      </c>
      <c r="J17" s="253" t="s">
        <v>344</v>
      </c>
      <c r="K17" s="253" t="s">
        <v>344</v>
      </c>
      <c r="L17" s="253" t="s">
        <v>1325</v>
      </c>
      <c r="M17" s="366">
        <v>625</v>
      </c>
      <c r="N17" s="366">
        <v>6578.1</v>
      </c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 spans="1:26" ht="15.75" customHeight="1">
      <c r="A18" s="268"/>
      <c r="B18" s="268" t="str">
        <f t="shared" si="0"/>
        <v>Sales</v>
      </c>
      <c r="C18" s="252"/>
      <c r="D18" s="253" t="s">
        <v>1342</v>
      </c>
      <c r="E18" s="375">
        <f t="shared" si="1"/>
        <v>46053</v>
      </c>
      <c r="F18" s="253" t="s">
        <v>1327</v>
      </c>
      <c r="G18" s="253" t="s">
        <v>1343</v>
      </c>
      <c r="H18" s="253" t="s">
        <v>1344</v>
      </c>
      <c r="I18" s="253" t="s">
        <v>344</v>
      </c>
      <c r="J18" s="253" t="s">
        <v>344</v>
      </c>
      <c r="K18" s="253" t="s">
        <v>344</v>
      </c>
      <c r="L18" s="253" t="s">
        <v>1325</v>
      </c>
      <c r="M18" s="366">
        <v>300</v>
      </c>
      <c r="N18" s="366">
        <v>6878.1</v>
      </c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spans="1:26" ht="15.75" customHeight="1">
      <c r="A19" s="268"/>
      <c r="B19" s="268" t="str">
        <f t="shared" si="0"/>
        <v>Sales</v>
      </c>
      <c r="C19" s="252"/>
      <c r="D19" s="253" t="s">
        <v>1342</v>
      </c>
      <c r="E19" s="375">
        <f t="shared" si="1"/>
        <v>46053</v>
      </c>
      <c r="F19" s="253" t="s">
        <v>1327</v>
      </c>
      <c r="G19" s="253" t="s">
        <v>1345</v>
      </c>
      <c r="H19" s="253" t="s">
        <v>1346</v>
      </c>
      <c r="I19" s="253" t="s">
        <v>344</v>
      </c>
      <c r="J19" s="253" t="s">
        <v>344</v>
      </c>
      <c r="K19" s="253" t="s">
        <v>344</v>
      </c>
      <c r="L19" s="253" t="s">
        <v>1325</v>
      </c>
      <c r="M19" s="366">
        <v>300</v>
      </c>
      <c r="N19" s="366">
        <v>7178.1</v>
      </c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 spans="1:26" ht="15.75" customHeight="1">
      <c r="A20" s="268"/>
      <c r="B20" s="268" t="str">
        <f t="shared" si="0"/>
        <v>Sales</v>
      </c>
      <c r="C20" s="252"/>
      <c r="D20" s="253" t="s">
        <v>1347</v>
      </c>
      <c r="E20" s="375">
        <f t="shared" si="1"/>
        <v>46053</v>
      </c>
      <c r="F20" s="253" t="s">
        <v>1327</v>
      </c>
      <c r="G20" s="253" t="s">
        <v>1348</v>
      </c>
      <c r="H20" s="253" t="s">
        <v>1349</v>
      </c>
      <c r="I20" s="253" t="s">
        <v>344</v>
      </c>
      <c r="J20" s="253" t="s">
        <v>344</v>
      </c>
      <c r="K20" s="253" t="s">
        <v>344</v>
      </c>
      <c r="L20" s="253" t="s">
        <v>1325</v>
      </c>
      <c r="M20" s="366">
        <v>13065</v>
      </c>
      <c r="N20" s="366">
        <v>20243.099999999999</v>
      </c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 spans="1:26" ht="15.75" customHeight="1">
      <c r="A21" s="268"/>
      <c r="B21" s="268" t="str">
        <f t="shared" si="0"/>
        <v>Sales</v>
      </c>
      <c r="C21" s="252"/>
      <c r="D21" s="253" t="s">
        <v>1347</v>
      </c>
      <c r="E21" s="375">
        <f t="shared" si="1"/>
        <v>46053</v>
      </c>
      <c r="F21" s="253" t="s">
        <v>1327</v>
      </c>
      <c r="G21" s="253" t="s">
        <v>1350</v>
      </c>
      <c r="H21" s="253" t="s">
        <v>1349</v>
      </c>
      <c r="I21" s="253" t="s">
        <v>344</v>
      </c>
      <c r="J21" s="253" t="s">
        <v>344</v>
      </c>
      <c r="K21" s="253" t="s">
        <v>344</v>
      </c>
      <c r="L21" s="253" t="s">
        <v>1325</v>
      </c>
      <c r="M21" s="366">
        <v>9065</v>
      </c>
      <c r="N21" s="366">
        <v>29308.1</v>
      </c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 spans="1:26" ht="15.75" customHeight="1">
      <c r="A22" s="268"/>
      <c r="B22" s="268" t="str">
        <f t="shared" si="0"/>
        <v>Sales</v>
      </c>
      <c r="C22" s="252"/>
      <c r="D22" s="253" t="s">
        <v>1347</v>
      </c>
      <c r="E22" s="375">
        <f t="shared" si="1"/>
        <v>46053</v>
      </c>
      <c r="F22" s="253" t="s">
        <v>1327</v>
      </c>
      <c r="G22" s="253" t="s">
        <v>1351</v>
      </c>
      <c r="H22" s="253" t="s">
        <v>1349</v>
      </c>
      <c r="I22" s="253" t="s">
        <v>344</v>
      </c>
      <c r="J22" s="253" t="s">
        <v>344</v>
      </c>
      <c r="K22" s="253" t="s">
        <v>344</v>
      </c>
      <c r="L22" s="253" t="s">
        <v>1325</v>
      </c>
      <c r="M22" s="366">
        <v>9065</v>
      </c>
      <c r="N22" s="366">
        <v>38373.1</v>
      </c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spans="1:26" ht="15.75" customHeight="1">
      <c r="A23" s="268"/>
      <c r="B23" s="268" t="str">
        <f t="shared" si="0"/>
        <v>Sales</v>
      </c>
      <c r="C23" s="252"/>
      <c r="D23" s="253" t="s">
        <v>1347</v>
      </c>
      <c r="E23" s="375">
        <f t="shared" si="1"/>
        <v>46053</v>
      </c>
      <c r="F23" s="253" t="s">
        <v>1327</v>
      </c>
      <c r="G23" s="253" t="s">
        <v>1352</v>
      </c>
      <c r="H23" s="253" t="s">
        <v>1349</v>
      </c>
      <c r="I23" s="253" t="s">
        <v>344</v>
      </c>
      <c r="J23" s="253" t="s">
        <v>344</v>
      </c>
      <c r="K23" s="253" t="s">
        <v>344</v>
      </c>
      <c r="L23" s="253" t="s">
        <v>1325</v>
      </c>
      <c r="M23" s="366">
        <v>300</v>
      </c>
      <c r="N23" s="366">
        <v>38673.1</v>
      </c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 spans="1:26" ht="15.75" customHeight="1">
      <c r="A24" s="268"/>
      <c r="B24" s="268" t="str">
        <f t="shared" si="0"/>
        <v>Sales</v>
      </c>
      <c r="C24" s="252"/>
      <c r="D24" s="253" t="s">
        <v>1347</v>
      </c>
      <c r="E24" s="375">
        <f t="shared" si="1"/>
        <v>46053</v>
      </c>
      <c r="F24" s="253" t="s">
        <v>1327</v>
      </c>
      <c r="G24" s="253" t="s">
        <v>1353</v>
      </c>
      <c r="H24" s="253" t="s">
        <v>1354</v>
      </c>
      <c r="I24" s="253" t="s">
        <v>344</v>
      </c>
      <c r="J24" s="253" t="s">
        <v>344</v>
      </c>
      <c r="K24" s="253" t="s">
        <v>344</v>
      </c>
      <c r="L24" s="253" t="s">
        <v>1325</v>
      </c>
      <c r="M24" s="366">
        <v>1125</v>
      </c>
      <c r="N24" s="366">
        <v>39798.1</v>
      </c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 spans="1:26" ht="15.75" customHeight="1">
      <c r="A25" s="268"/>
      <c r="B25" s="268" t="str">
        <f t="shared" si="0"/>
        <v>Sales</v>
      </c>
      <c r="C25" s="252"/>
      <c r="D25" s="253" t="s">
        <v>1347</v>
      </c>
      <c r="E25" s="375">
        <f t="shared" si="1"/>
        <v>46053</v>
      </c>
      <c r="F25" s="253" t="s">
        <v>1327</v>
      </c>
      <c r="G25" s="253" t="s">
        <v>1355</v>
      </c>
      <c r="H25" s="253" t="s">
        <v>1354</v>
      </c>
      <c r="I25" s="253" t="s">
        <v>344</v>
      </c>
      <c r="J25" s="253" t="s">
        <v>344</v>
      </c>
      <c r="K25" s="253" t="s">
        <v>344</v>
      </c>
      <c r="L25" s="253" t="s">
        <v>1325</v>
      </c>
      <c r="M25" s="366">
        <v>625</v>
      </c>
      <c r="N25" s="366">
        <v>40423.1</v>
      </c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 spans="1:26" ht="15.75" customHeight="1">
      <c r="A26" s="268"/>
      <c r="B26" s="268" t="str">
        <f t="shared" si="0"/>
        <v>Sales</v>
      </c>
      <c r="C26" s="252"/>
      <c r="D26" s="253" t="s">
        <v>1347</v>
      </c>
      <c r="E26" s="375">
        <f t="shared" si="1"/>
        <v>46053</v>
      </c>
      <c r="F26" s="253" t="s">
        <v>1327</v>
      </c>
      <c r="G26" s="253" t="s">
        <v>1356</v>
      </c>
      <c r="H26" s="253" t="s">
        <v>1357</v>
      </c>
      <c r="I26" s="253" t="s">
        <v>344</v>
      </c>
      <c r="J26" s="253" t="s">
        <v>344</v>
      </c>
      <c r="K26" s="253" t="s">
        <v>344</v>
      </c>
      <c r="L26" s="253" t="s">
        <v>1325</v>
      </c>
      <c r="M26" s="366">
        <v>1400</v>
      </c>
      <c r="N26" s="366">
        <v>41823.1</v>
      </c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 spans="1:26" ht="15.75" customHeight="1">
      <c r="A27" s="268"/>
      <c r="B27" s="268" t="str">
        <f t="shared" si="0"/>
        <v>Sales</v>
      </c>
      <c r="C27" s="252"/>
      <c r="D27" s="253" t="s">
        <v>1347</v>
      </c>
      <c r="E27" s="375">
        <f t="shared" si="1"/>
        <v>46053</v>
      </c>
      <c r="F27" s="253" t="s">
        <v>1327</v>
      </c>
      <c r="G27" s="253" t="s">
        <v>1358</v>
      </c>
      <c r="H27" s="253" t="s">
        <v>1359</v>
      </c>
      <c r="I27" s="253" t="s">
        <v>344</v>
      </c>
      <c r="J27" s="253" t="s">
        <v>344</v>
      </c>
      <c r="K27" s="253" t="s">
        <v>344</v>
      </c>
      <c r="L27" s="253" t="s">
        <v>1325</v>
      </c>
      <c r="M27" s="366">
        <v>1750</v>
      </c>
      <c r="N27" s="366">
        <v>43573.1</v>
      </c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 spans="1:26" ht="15.75" customHeight="1">
      <c r="A28" s="268"/>
      <c r="B28" s="268" t="str">
        <f t="shared" si="0"/>
        <v>Sales</v>
      </c>
      <c r="C28" s="252"/>
      <c r="D28" s="253" t="s">
        <v>1360</v>
      </c>
      <c r="E28" s="375">
        <f t="shared" si="1"/>
        <v>46053</v>
      </c>
      <c r="F28" s="253" t="s">
        <v>1327</v>
      </c>
      <c r="G28" s="253" t="s">
        <v>1361</v>
      </c>
      <c r="H28" s="253" t="s">
        <v>1362</v>
      </c>
      <c r="I28" s="253" t="s">
        <v>344</v>
      </c>
      <c r="J28" s="253" t="s">
        <v>344</v>
      </c>
      <c r="K28" s="253" t="s">
        <v>344</v>
      </c>
      <c r="L28" s="253" t="s">
        <v>1325</v>
      </c>
      <c r="M28" s="366">
        <v>8000</v>
      </c>
      <c r="N28" s="366">
        <v>51573.1</v>
      </c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 spans="1:26" ht="15.75" customHeight="1">
      <c r="A29" s="268"/>
      <c r="B29" s="268" t="str">
        <f t="shared" si="0"/>
        <v>Sales</v>
      </c>
      <c r="C29" s="252"/>
      <c r="D29" s="253" t="s">
        <v>1360</v>
      </c>
      <c r="E29" s="375">
        <f t="shared" si="1"/>
        <v>46053</v>
      </c>
      <c r="F29" s="253" t="s">
        <v>1327</v>
      </c>
      <c r="G29" s="253" t="s">
        <v>1363</v>
      </c>
      <c r="H29" s="253" t="s">
        <v>1364</v>
      </c>
      <c r="I29" s="253" t="s">
        <v>344</v>
      </c>
      <c r="J29" s="253" t="s">
        <v>344</v>
      </c>
      <c r="K29" s="253" t="s">
        <v>344</v>
      </c>
      <c r="L29" s="253" t="s">
        <v>1325</v>
      </c>
      <c r="M29" s="366">
        <v>3833</v>
      </c>
      <c r="N29" s="366">
        <v>55406.1</v>
      </c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 spans="1:26" ht="15.75" customHeight="1">
      <c r="A30" s="268"/>
      <c r="B30" s="268" t="str">
        <f t="shared" si="0"/>
        <v>Sales</v>
      </c>
      <c r="C30" s="252"/>
      <c r="D30" s="253" t="s">
        <v>1360</v>
      </c>
      <c r="E30" s="375">
        <f t="shared" si="1"/>
        <v>46053</v>
      </c>
      <c r="F30" s="253" t="s">
        <v>1327</v>
      </c>
      <c r="G30" s="253" t="s">
        <v>1365</v>
      </c>
      <c r="H30" s="253" t="s">
        <v>1364</v>
      </c>
      <c r="I30" s="253" t="s">
        <v>344</v>
      </c>
      <c r="J30" s="253" t="s">
        <v>344</v>
      </c>
      <c r="K30" s="253" t="s">
        <v>344</v>
      </c>
      <c r="L30" s="253" t="s">
        <v>1325</v>
      </c>
      <c r="M30" s="366">
        <v>1833</v>
      </c>
      <c r="N30" s="366">
        <v>57239.1</v>
      </c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 spans="1:26" ht="15.75" customHeight="1">
      <c r="A31" s="268"/>
      <c r="B31" s="268" t="str">
        <f t="shared" si="0"/>
        <v>Sales</v>
      </c>
      <c r="C31" s="252"/>
      <c r="D31" s="253" t="s">
        <v>1360</v>
      </c>
      <c r="E31" s="375">
        <f t="shared" si="1"/>
        <v>46053</v>
      </c>
      <c r="F31" s="253" t="s">
        <v>1327</v>
      </c>
      <c r="G31" s="253" t="s">
        <v>1366</v>
      </c>
      <c r="H31" s="253" t="s">
        <v>1364</v>
      </c>
      <c r="I31" s="253" t="s">
        <v>344</v>
      </c>
      <c r="J31" s="253" t="s">
        <v>344</v>
      </c>
      <c r="K31" s="253" t="s">
        <v>344</v>
      </c>
      <c r="L31" s="253" t="s">
        <v>1325</v>
      </c>
      <c r="M31" s="366">
        <v>1834</v>
      </c>
      <c r="N31" s="366">
        <v>59073.1</v>
      </c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 spans="1:26" ht="15.75" customHeight="1">
      <c r="A32" s="268"/>
      <c r="B32" s="268" t="str">
        <f t="shared" si="0"/>
        <v>Sales</v>
      </c>
      <c r="C32" s="252"/>
      <c r="D32" s="253" t="s">
        <v>1360</v>
      </c>
      <c r="E32" s="375">
        <f t="shared" si="1"/>
        <v>46053</v>
      </c>
      <c r="F32" s="253" t="s">
        <v>1327</v>
      </c>
      <c r="G32" s="253" t="s">
        <v>1367</v>
      </c>
      <c r="H32" s="253" t="s">
        <v>1364</v>
      </c>
      <c r="I32" s="253" t="s">
        <v>344</v>
      </c>
      <c r="J32" s="253" t="s">
        <v>344</v>
      </c>
      <c r="K32" s="253" t="s">
        <v>344</v>
      </c>
      <c r="L32" s="253" t="s">
        <v>1325</v>
      </c>
      <c r="M32" s="366">
        <v>300</v>
      </c>
      <c r="N32" s="366">
        <v>59373.1</v>
      </c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 spans="1:26" ht="15.75" customHeight="1">
      <c r="A33" s="268"/>
      <c r="B33" s="268" t="str">
        <f t="shared" si="0"/>
        <v>Sales</v>
      </c>
      <c r="C33" s="252"/>
      <c r="D33" s="253" t="s">
        <v>1360</v>
      </c>
      <c r="E33" s="375">
        <f t="shared" si="1"/>
        <v>46053</v>
      </c>
      <c r="F33" s="253" t="s">
        <v>1327</v>
      </c>
      <c r="G33" s="253" t="s">
        <v>1368</v>
      </c>
      <c r="H33" s="253" t="s">
        <v>1369</v>
      </c>
      <c r="I33" s="253" t="s">
        <v>344</v>
      </c>
      <c r="J33" s="253" t="s">
        <v>344</v>
      </c>
      <c r="K33" s="253" t="s">
        <v>344</v>
      </c>
      <c r="L33" s="253" t="s">
        <v>1325</v>
      </c>
      <c r="M33" s="366">
        <v>3583</v>
      </c>
      <c r="N33" s="366">
        <v>62956.1</v>
      </c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 spans="1:26" ht="15.75" customHeight="1">
      <c r="A34" s="268"/>
      <c r="B34" s="268" t="str">
        <f t="shared" si="0"/>
        <v>Sales</v>
      </c>
      <c r="C34" s="252"/>
      <c r="D34" s="253" t="s">
        <v>1360</v>
      </c>
      <c r="E34" s="375">
        <f t="shared" si="1"/>
        <v>46053</v>
      </c>
      <c r="F34" s="253" t="s">
        <v>1327</v>
      </c>
      <c r="G34" s="253" t="s">
        <v>1370</v>
      </c>
      <c r="H34" s="253" t="s">
        <v>1369</v>
      </c>
      <c r="I34" s="253" t="s">
        <v>344</v>
      </c>
      <c r="J34" s="253" t="s">
        <v>344</v>
      </c>
      <c r="K34" s="253" t="s">
        <v>344</v>
      </c>
      <c r="L34" s="253" t="s">
        <v>1325</v>
      </c>
      <c r="M34" s="366">
        <v>1583</v>
      </c>
      <c r="N34" s="366">
        <v>64539.1</v>
      </c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 spans="1:26" ht="15.75" customHeight="1">
      <c r="A35" s="268"/>
      <c r="B35" s="268" t="str">
        <f t="shared" si="0"/>
        <v>Sales</v>
      </c>
      <c r="C35" s="252"/>
      <c r="D35" s="253" t="s">
        <v>1360</v>
      </c>
      <c r="E35" s="375">
        <f t="shared" si="1"/>
        <v>46053</v>
      </c>
      <c r="F35" s="253" t="s">
        <v>1327</v>
      </c>
      <c r="G35" s="253" t="s">
        <v>1371</v>
      </c>
      <c r="H35" s="253" t="s">
        <v>1369</v>
      </c>
      <c r="I35" s="253" t="s">
        <v>344</v>
      </c>
      <c r="J35" s="253" t="s">
        <v>344</v>
      </c>
      <c r="K35" s="253" t="s">
        <v>344</v>
      </c>
      <c r="L35" s="253" t="s">
        <v>1325</v>
      </c>
      <c r="M35" s="366">
        <v>1584</v>
      </c>
      <c r="N35" s="366">
        <v>66123.100000000006</v>
      </c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 spans="1:26" ht="15.75" customHeight="1">
      <c r="A36" s="268"/>
      <c r="B36" s="268" t="str">
        <f t="shared" si="0"/>
        <v>Sales</v>
      </c>
      <c r="C36" s="252"/>
      <c r="D36" s="253" t="s">
        <v>1360</v>
      </c>
      <c r="E36" s="375">
        <f t="shared" si="1"/>
        <v>46053</v>
      </c>
      <c r="F36" s="253" t="s">
        <v>1327</v>
      </c>
      <c r="G36" s="253" t="s">
        <v>1372</v>
      </c>
      <c r="H36" s="253" t="s">
        <v>1369</v>
      </c>
      <c r="I36" s="253" t="s">
        <v>344</v>
      </c>
      <c r="J36" s="253" t="s">
        <v>344</v>
      </c>
      <c r="K36" s="253" t="s">
        <v>344</v>
      </c>
      <c r="L36" s="253" t="s">
        <v>1325</v>
      </c>
      <c r="M36" s="366">
        <v>300</v>
      </c>
      <c r="N36" s="366">
        <v>66423.100000000006</v>
      </c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 spans="1:26" ht="15.75" customHeight="1">
      <c r="A37" s="268"/>
      <c r="B37" s="268" t="str">
        <f t="shared" si="0"/>
        <v>Sales</v>
      </c>
      <c r="C37" s="252"/>
      <c r="D37" s="253" t="s">
        <v>1360</v>
      </c>
      <c r="E37" s="375">
        <f t="shared" si="1"/>
        <v>46053</v>
      </c>
      <c r="F37" s="253" t="s">
        <v>1327</v>
      </c>
      <c r="G37" s="253" t="s">
        <v>1373</v>
      </c>
      <c r="H37" s="253" t="s">
        <v>1374</v>
      </c>
      <c r="I37" s="253" t="s">
        <v>344</v>
      </c>
      <c r="J37" s="253" t="s">
        <v>344</v>
      </c>
      <c r="K37" s="253" t="s">
        <v>344</v>
      </c>
      <c r="L37" s="253" t="s">
        <v>1325</v>
      </c>
      <c r="M37" s="366">
        <v>1400</v>
      </c>
      <c r="N37" s="366">
        <v>67823.100000000006</v>
      </c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 spans="1:26" ht="15.75" customHeight="1">
      <c r="A38" s="268"/>
      <c r="B38" s="268" t="str">
        <f t="shared" si="0"/>
        <v>Sales</v>
      </c>
      <c r="C38" s="252"/>
      <c r="D38" s="253" t="s">
        <v>1360</v>
      </c>
      <c r="E38" s="375">
        <f t="shared" si="1"/>
        <v>46053</v>
      </c>
      <c r="F38" s="253" t="s">
        <v>1327</v>
      </c>
      <c r="G38" s="253" t="s">
        <v>1375</v>
      </c>
      <c r="H38" s="253" t="s">
        <v>1376</v>
      </c>
      <c r="I38" s="253" t="s">
        <v>344</v>
      </c>
      <c r="J38" s="253" t="s">
        <v>344</v>
      </c>
      <c r="K38" s="253" t="s">
        <v>344</v>
      </c>
      <c r="L38" s="253" t="s">
        <v>1325</v>
      </c>
      <c r="M38" s="366">
        <v>1400</v>
      </c>
      <c r="N38" s="366">
        <v>69223.100000000006</v>
      </c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 spans="1:26" ht="15.75" customHeight="1">
      <c r="A39" s="268"/>
      <c r="B39" s="268" t="str">
        <f t="shared" si="0"/>
        <v>Sales</v>
      </c>
      <c r="C39" s="252"/>
      <c r="D39" s="253" t="s">
        <v>1360</v>
      </c>
      <c r="E39" s="375">
        <f t="shared" si="1"/>
        <v>46053</v>
      </c>
      <c r="F39" s="253" t="s">
        <v>1327</v>
      </c>
      <c r="G39" s="253" t="s">
        <v>1377</v>
      </c>
      <c r="H39" s="253" t="s">
        <v>1378</v>
      </c>
      <c r="I39" s="253" t="s">
        <v>344</v>
      </c>
      <c r="J39" s="253" t="s">
        <v>344</v>
      </c>
      <c r="K39" s="253" t="s">
        <v>344</v>
      </c>
      <c r="L39" s="253" t="s">
        <v>1325</v>
      </c>
      <c r="M39" s="366">
        <v>1400</v>
      </c>
      <c r="N39" s="366">
        <v>70623.100000000006</v>
      </c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 spans="1:26" ht="15.75" customHeight="1">
      <c r="A40" s="268"/>
      <c r="B40" s="268" t="str">
        <f t="shared" si="0"/>
        <v>Sales</v>
      </c>
      <c r="C40" s="252"/>
      <c r="D40" s="253" t="s">
        <v>1360</v>
      </c>
      <c r="E40" s="375">
        <f t="shared" si="1"/>
        <v>46053</v>
      </c>
      <c r="F40" s="253" t="s">
        <v>1327</v>
      </c>
      <c r="G40" s="253" t="s">
        <v>1379</v>
      </c>
      <c r="H40" s="253" t="s">
        <v>1380</v>
      </c>
      <c r="I40" s="253" t="s">
        <v>344</v>
      </c>
      <c r="J40" s="253" t="s">
        <v>344</v>
      </c>
      <c r="K40" s="253" t="s">
        <v>344</v>
      </c>
      <c r="L40" s="253" t="s">
        <v>1325</v>
      </c>
      <c r="M40" s="366">
        <v>550</v>
      </c>
      <c r="N40" s="366">
        <v>71173.100000000006</v>
      </c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 spans="1:26" ht="15.75" customHeight="1">
      <c r="A41" s="268"/>
      <c r="B41" s="268" t="str">
        <f t="shared" si="0"/>
        <v>Sales</v>
      </c>
      <c r="C41" s="252"/>
      <c r="D41" s="253" t="s">
        <v>1381</v>
      </c>
      <c r="E41" s="375">
        <f t="shared" si="1"/>
        <v>46053</v>
      </c>
      <c r="F41" s="253" t="s">
        <v>1327</v>
      </c>
      <c r="G41" s="253" t="s">
        <v>1382</v>
      </c>
      <c r="H41" s="253" t="s">
        <v>1383</v>
      </c>
      <c r="I41" s="253" t="s">
        <v>344</v>
      </c>
      <c r="J41" s="253" t="s">
        <v>344</v>
      </c>
      <c r="K41" s="253" t="s">
        <v>344</v>
      </c>
      <c r="L41" s="253" t="s">
        <v>1325</v>
      </c>
      <c r="M41" s="366">
        <v>4166</v>
      </c>
      <c r="N41" s="366">
        <v>75339.100000000006</v>
      </c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 spans="1:26" ht="15.75" customHeight="1">
      <c r="A42" s="268"/>
      <c r="B42" s="268" t="str">
        <f t="shared" si="0"/>
        <v>Sales</v>
      </c>
      <c r="C42" s="252"/>
      <c r="D42" s="253" t="s">
        <v>1381</v>
      </c>
      <c r="E42" s="375">
        <f t="shared" si="1"/>
        <v>46053</v>
      </c>
      <c r="F42" s="253" t="s">
        <v>1327</v>
      </c>
      <c r="G42" s="253" t="s">
        <v>1384</v>
      </c>
      <c r="H42" s="253" t="s">
        <v>1383</v>
      </c>
      <c r="I42" s="253" t="s">
        <v>344</v>
      </c>
      <c r="J42" s="253" t="s">
        <v>344</v>
      </c>
      <c r="K42" s="253" t="s">
        <v>344</v>
      </c>
      <c r="L42" s="253" t="s">
        <v>1325</v>
      </c>
      <c r="M42" s="366">
        <v>2167</v>
      </c>
      <c r="N42" s="366">
        <v>77506.100000000006</v>
      </c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 spans="1:26" ht="15.75" customHeight="1">
      <c r="A43" s="268"/>
      <c r="B43" s="268" t="str">
        <f t="shared" si="0"/>
        <v>Sales</v>
      </c>
      <c r="C43" s="252"/>
      <c r="D43" s="253" t="s">
        <v>1381</v>
      </c>
      <c r="E43" s="375">
        <f t="shared" si="1"/>
        <v>46053</v>
      </c>
      <c r="F43" s="253" t="s">
        <v>1327</v>
      </c>
      <c r="G43" s="253" t="s">
        <v>1385</v>
      </c>
      <c r="H43" s="253" t="s">
        <v>1383</v>
      </c>
      <c r="I43" s="253" t="s">
        <v>344</v>
      </c>
      <c r="J43" s="253" t="s">
        <v>344</v>
      </c>
      <c r="K43" s="253" t="s">
        <v>344</v>
      </c>
      <c r="L43" s="253" t="s">
        <v>1325</v>
      </c>
      <c r="M43" s="366">
        <v>2167</v>
      </c>
      <c r="N43" s="366">
        <v>79673.100000000006</v>
      </c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 spans="1:26" ht="15.75" customHeight="1">
      <c r="A44" s="268"/>
      <c r="B44" s="268" t="str">
        <f t="shared" si="0"/>
        <v>Sales</v>
      </c>
      <c r="C44" s="252"/>
      <c r="D44" s="253" t="s">
        <v>1381</v>
      </c>
      <c r="E44" s="375">
        <f t="shared" si="1"/>
        <v>46053</v>
      </c>
      <c r="F44" s="253" t="s">
        <v>1327</v>
      </c>
      <c r="G44" s="253" t="s">
        <v>1386</v>
      </c>
      <c r="H44" s="253" t="s">
        <v>1383</v>
      </c>
      <c r="I44" s="253" t="s">
        <v>344</v>
      </c>
      <c r="J44" s="253" t="s">
        <v>344</v>
      </c>
      <c r="K44" s="253" t="s">
        <v>344</v>
      </c>
      <c r="L44" s="253" t="s">
        <v>1325</v>
      </c>
      <c r="M44" s="366">
        <v>300</v>
      </c>
      <c r="N44" s="366">
        <v>79973.100000000006</v>
      </c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 spans="1:26" ht="15.75" customHeight="1">
      <c r="A45" s="268"/>
      <c r="B45" s="268" t="str">
        <f t="shared" si="0"/>
        <v>Sales</v>
      </c>
      <c r="C45" s="252"/>
      <c r="D45" s="253" t="s">
        <v>1387</v>
      </c>
      <c r="E45" s="375">
        <f t="shared" si="1"/>
        <v>46053</v>
      </c>
      <c r="F45" s="253" t="s">
        <v>1327</v>
      </c>
      <c r="G45" s="253" t="s">
        <v>1388</v>
      </c>
      <c r="H45" s="253" t="s">
        <v>1389</v>
      </c>
      <c r="I45" s="253" t="s">
        <v>344</v>
      </c>
      <c r="J45" s="253" t="s">
        <v>344</v>
      </c>
      <c r="K45" s="253" t="s">
        <v>344</v>
      </c>
      <c r="L45" s="253" t="s">
        <v>1325</v>
      </c>
      <c r="M45" s="366">
        <v>4085</v>
      </c>
      <c r="N45" s="366">
        <v>84058.1</v>
      </c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 spans="1:26" ht="15.75" customHeight="1">
      <c r="A46" s="268"/>
      <c r="B46" s="268" t="str">
        <f t="shared" si="0"/>
        <v>Sales</v>
      </c>
      <c r="C46" s="252"/>
      <c r="D46" s="253" t="s">
        <v>1387</v>
      </c>
      <c r="E46" s="375">
        <f t="shared" si="1"/>
        <v>46053</v>
      </c>
      <c r="F46" s="253" t="s">
        <v>1327</v>
      </c>
      <c r="G46" s="253" t="s">
        <v>1390</v>
      </c>
      <c r="H46" s="253" t="s">
        <v>1389</v>
      </c>
      <c r="I46" s="253" t="s">
        <v>344</v>
      </c>
      <c r="J46" s="253" t="s">
        <v>344</v>
      </c>
      <c r="K46" s="253" t="s">
        <v>344</v>
      </c>
      <c r="L46" s="253" t="s">
        <v>1325</v>
      </c>
      <c r="M46" s="366">
        <v>2085</v>
      </c>
      <c r="N46" s="366">
        <v>86143.1</v>
      </c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 spans="1:26" ht="15.75" customHeight="1">
      <c r="A47" s="268"/>
      <c r="B47" s="268" t="str">
        <f t="shared" si="0"/>
        <v>Sales</v>
      </c>
      <c r="C47" s="252"/>
      <c r="D47" s="253" t="s">
        <v>1387</v>
      </c>
      <c r="E47" s="375">
        <f t="shared" si="1"/>
        <v>46053</v>
      </c>
      <c r="F47" s="253" t="s">
        <v>1327</v>
      </c>
      <c r="G47" s="253" t="s">
        <v>1391</v>
      </c>
      <c r="H47" s="253" t="s">
        <v>1389</v>
      </c>
      <c r="I47" s="253" t="s">
        <v>344</v>
      </c>
      <c r="J47" s="253" t="s">
        <v>344</v>
      </c>
      <c r="K47" s="253" t="s">
        <v>344</v>
      </c>
      <c r="L47" s="253" t="s">
        <v>1325</v>
      </c>
      <c r="M47" s="366">
        <v>2080</v>
      </c>
      <c r="N47" s="366">
        <v>88223.1</v>
      </c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 spans="1:26" ht="15.75" customHeight="1">
      <c r="A48" s="268"/>
      <c r="B48" s="268" t="str">
        <f t="shared" si="0"/>
        <v>Sales</v>
      </c>
      <c r="C48" s="252"/>
      <c r="D48" s="253" t="s">
        <v>1387</v>
      </c>
      <c r="E48" s="375">
        <f t="shared" si="1"/>
        <v>46053</v>
      </c>
      <c r="F48" s="253" t="s">
        <v>1327</v>
      </c>
      <c r="G48" s="253" t="s">
        <v>1392</v>
      </c>
      <c r="H48" s="253" t="s">
        <v>1389</v>
      </c>
      <c r="I48" s="253" t="s">
        <v>344</v>
      </c>
      <c r="J48" s="253" t="s">
        <v>344</v>
      </c>
      <c r="K48" s="253" t="s">
        <v>344</v>
      </c>
      <c r="L48" s="253" t="s">
        <v>1325</v>
      </c>
      <c r="M48" s="366">
        <v>275</v>
      </c>
      <c r="N48" s="366">
        <v>88498.1</v>
      </c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 spans="1:26" ht="15.75" customHeight="1">
      <c r="A49" s="268"/>
      <c r="B49" s="268" t="str">
        <f t="shared" si="0"/>
        <v>Sales</v>
      </c>
      <c r="C49" s="252"/>
      <c r="D49" s="253" t="s">
        <v>1387</v>
      </c>
      <c r="E49" s="375">
        <f t="shared" si="1"/>
        <v>46053</v>
      </c>
      <c r="F49" s="253" t="s">
        <v>1327</v>
      </c>
      <c r="G49" s="253" t="s">
        <v>1393</v>
      </c>
      <c r="H49" s="253" t="s">
        <v>1389</v>
      </c>
      <c r="I49" s="253" t="s">
        <v>344</v>
      </c>
      <c r="J49" s="253" t="s">
        <v>344</v>
      </c>
      <c r="K49" s="253" t="s">
        <v>344</v>
      </c>
      <c r="L49" s="253" t="s">
        <v>1325</v>
      </c>
      <c r="M49" s="366">
        <v>2750</v>
      </c>
      <c r="N49" s="366">
        <v>91248.1</v>
      </c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 spans="1:26" ht="15.75" customHeight="1">
      <c r="A50" s="268"/>
      <c r="B50" s="268" t="str">
        <f t="shared" si="0"/>
        <v>Sales</v>
      </c>
      <c r="C50" s="252"/>
      <c r="D50" s="253" t="s">
        <v>1394</v>
      </c>
      <c r="E50" s="375">
        <f t="shared" si="1"/>
        <v>46053</v>
      </c>
      <c r="F50" s="253" t="s">
        <v>1327</v>
      </c>
      <c r="G50" s="253" t="s">
        <v>1395</v>
      </c>
      <c r="H50" s="253" t="s">
        <v>1396</v>
      </c>
      <c r="I50" s="253" t="s">
        <v>344</v>
      </c>
      <c r="J50" s="253" t="s">
        <v>344</v>
      </c>
      <c r="K50" s="253" t="s">
        <v>344</v>
      </c>
      <c r="L50" s="253" t="s">
        <v>1325</v>
      </c>
      <c r="M50" s="366">
        <v>3833</v>
      </c>
      <c r="N50" s="366">
        <v>95081.1</v>
      </c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 spans="1:26" ht="15.75" customHeight="1">
      <c r="A51" s="268"/>
      <c r="B51" s="268" t="str">
        <f t="shared" si="0"/>
        <v>Sales</v>
      </c>
      <c r="C51" s="252"/>
      <c r="D51" s="253" t="s">
        <v>1394</v>
      </c>
      <c r="E51" s="375">
        <f t="shared" si="1"/>
        <v>46053</v>
      </c>
      <c r="F51" s="253" t="s">
        <v>1327</v>
      </c>
      <c r="G51" s="253" t="s">
        <v>1397</v>
      </c>
      <c r="H51" s="253" t="s">
        <v>1396</v>
      </c>
      <c r="I51" s="253" t="s">
        <v>344</v>
      </c>
      <c r="J51" s="253" t="s">
        <v>344</v>
      </c>
      <c r="K51" s="253" t="s">
        <v>344</v>
      </c>
      <c r="L51" s="253" t="s">
        <v>1325</v>
      </c>
      <c r="M51" s="366">
        <v>1833</v>
      </c>
      <c r="N51" s="366">
        <v>96914.1</v>
      </c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 spans="1:26" ht="15.75" customHeight="1">
      <c r="A52" s="268"/>
      <c r="B52" s="268" t="str">
        <f t="shared" si="0"/>
        <v>Sales</v>
      </c>
      <c r="C52" s="252"/>
      <c r="D52" s="253" t="s">
        <v>1394</v>
      </c>
      <c r="E52" s="375">
        <f t="shared" si="1"/>
        <v>46053</v>
      </c>
      <c r="F52" s="253" t="s">
        <v>1327</v>
      </c>
      <c r="G52" s="253" t="s">
        <v>1398</v>
      </c>
      <c r="H52" s="253" t="s">
        <v>1396</v>
      </c>
      <c r="I52" s="253" t="s">
        <v>344</v>
      </c>
      <c r="J52" s="253" t="s">
        <v>344</v>
      </c>
      <c r="K52" s="253" t="s">
        <v>344</v>
      </c>
      <c r="L52" s="253" t="s">
        <v>1325</v>
      </c>
      <c r="M52" s="366">
        <v>1834</v>
      </c>
      <c r="N52" s="366">
        <v>98748.1</v>
      </c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 spans="1:26" ht="15.75" customHeight="1">
      <c r="A53" s="268"/>
      <c r="B53" s="268" t="str">
        <f t="shared" si="0"/>
        <v>Sales</v>
      </c>
      <c r="C53" s="252"/>
      <c r="D53" s="253" t="s">
        <v>1394</v>
      </c>
      <c r="E53" s="375">
        <f t="shared" si="1"/>
        <v>46053</v>
      </c>
      <c r="F53" s="253" t="s">
        <v>1327</v>
      </c>
      <c r="G53" s="253" t="s">
        <v>1399</v>
      </c>
      <c r="H53" s="253" t="s">
        <v>1396</v>
      </c>
      <c r="I53" s="253" t="s">
        <v>344</v>
      </c>
      <c r="J53" s="253" t="s">
        <v>344</v>
      </c>
      <c r="K53" s="253" t="s">
        <v>344</v>
      </c>
      <c r="L53" s="253" t="s">
        <v>1325</v>
      </c>
      <c r="M53" s="366">
        <v>300</v>
      </c>
      <c r="N53" s="366">
        <v>99048.1</v>
      </c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 spans="1:26" ht="15.75" customHeight="1">
      <c r="A54" s="268"/>
      <c r="B54" s="268" t="str">
        <f t="shared" si="0"/>
        <v>Sales</v>
      </c>
      <c r="C54" s="252"/>
      <c r="D54" s="253" t="s">
        <v>1400</v>
      </c>
      <c r="E54" s="375">
        <f t="shared" si="1"/>
        <v>46081</v>
      </c>
      <c r="F54" s="253" t="s">
        <v>382</v>
      </c>
      <c r="G54" s="253" t="s">
        <v>1401</v>
      </c>
      <c r="H54" s="253" t="s">
        <v>344</v>
      </c>
      <c r="I54" s="253" t="s">
        <v>344</v>
      </c>
      <c r="J54" s="253" t="s">
        <v>344</v>
      </c>
      <c r="K54" s="253" t="s">
        <v>1402</v>
      </c>
      <c r="L54" s="253" t="s">
        <v>344</v>
      </c>
      <c r="M54" s="366">
        <v>-3</v>
      </c>
      <c r="N54" s="366">
        <v>99045.1</v>
      </c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 spans="1:26" ht="15.75" customHeight="1">
      <c r="A55" s="268"/>
      <c r="B55" s="268" t="str">
        <f t="shared" si="0"/>
        <v>Sales</v>
      </c>
      <c r="C55" s="252"/>
      <c r="D55" s="253" t="s">
        <v>1403</v>
      </c>
      <c r="E55" s="375">
        <f t="shared" si="1"/>
        <v>46081</v>
      </c>
      <c r="F55" s="253" t="s">
        <v>1327</v>
      </c>
      <c r="G55" s="253" t="s">
        <v>1404</v>
      </c>
      <c r="H55" s="253" t="s">
        <v>1405</v>
      </c>
      <c r="I55" s="253" t="s">
        <v>344</v>
      </c>
      <c r="J55" s="253" t="s">
        <v>344</v>
      </c>
      <c r="K55" s="253" t="s">
        <v>344</v>
      </c>
      <c r="L55" s="253" t="s">
        <v>1325</v>
      </c>
      <c r="M55" s="366">
        <v>3750</v>
      </c>
      <c r="N55" s="366">
        <v>102795.1</v>
      </c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 spans="1:26" ht="15.75" customHeight="1">
      <c r="A56" s="268"/>
      <c r="B56" s="268" t="str">
        <f t="shared" si="0"/>
        <v>Sales</v>
      </c>
      <c r="C56" s="252"/>
      <c r="D56" s="253" t="s">
        <v>1403</v>
      </c>
      <c r="E56" s="375">
        <f t="shared" si="1"/>
        <v>46081</v>
      </c>
      <c r="F56" s="253" t="s">
        <v>1327</v>
      </c>
      <c r="G56" s="253" t="s">
        <v>1406</v>
      </c>
      <c r="H56" s="253" t="s">
        <v>1405</v>
      </c>
      <c r="I56" s="253" t="s">
        <v>344</v>
      </c>
      <c r="J56" s="253" t="s">
        <v>344</v>
      </c>
      <c r="K56" s="253" t="s">
        <v>344</v>
      </c>
      <c r="L56" s="253" t="s">
        <v>1325</v>
      </c>
      <c r="M56" s="366">
        <v>1750</v>
      </c>
      <c r="N56" s="366">
        <v>104545.1</v>
      </c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 spans="1:26" ht="15.75" customHeight="1">
      <c r="A57" s="268"/>
      <c r="B57" s="268" t="str">
        <f t="shared" si="0"/>
        <v>Sales</v>
      </c>
      <c r="C57" s="252"/>
      <c r="D57" s="253" t="s">
        <v>1403</v>
      </c>
      <c r="E57" s="375">
        <f t="shared" si="1"/>
        <v>46081</v>
      </c>
      <c r="F57" s="253" t="s">
        <v>1327</v>
      </c>
      <c r="G57" s="253" t="s">
        <v>1407</v>
      </c>
      <c r="H57" s="253" t="s">
        <v>1405</v>
      </c>
      <c r="I57" s="253" t="s">
        <v>344</v>
      </c>
      <c r="J57" s="253" t="s">
        <v>344</v>
      </c>
      <c r="K57" s="253" t="s">
        <v>344</v>
      </c>
      <c r="L57" s="253" t="s">
        <v>1325</v>
      </c>
      <c r="M57" s="366">
        <v>1750</v>
      </c>
      <c r="N57" s="366">
        <v>106295.1</v>
      </c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 spans="1:26" ht="15.75" customHeight="1">
      <c r="A58" s="268"/>
      <c r="B58" s="268" t="str">
        <f t="shared" si="0"/>
        <v>Sales</v>
      </c>
      <c r="C58" s="252"/>
      <c r="D58" s="253" t="s">
        <v>1403</v>
      </c>
      <c r="E58" s="375">
        <f t="shared" si="1"/>
        <v>46081</v>
      </c>
      <c r="F58" s="253" t="s">
        <v>1327</v>
      </c>
      <c r="G58" s="253" t="s">
        <v>1408</v>
      </c>
      <c r="H58" s="253" t="s">
        <v>1405</v>
      </c>
      <c r="I58" s="253" t="s">
        <v>344</v>
      </c>
      <c r="J58" s="253" t="s">
        <v>344</v>
      </c>
      <c r="K58" s="253" t="s">
        <v>344</v>
      </c>
      <c r="L58" s="253" t="s">
        <v>1325</v>
      </c>
      <c r="M58" s="366">
        <v>275</v>
      </c>
      <c r="N58" s="366">
        <v>106570.1</v>
      </c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 spans="1:26" ht="15.75" customHeight="1">
      <c r="A59" s="268"/>
      <c r="B59" s="268" t="str">
        <f t="shared" si="0"/>
        <v>Sales</v>
      </c>
      <c r="C59" s="252"/>
      <c r="D59" s="253" t="s">
        <v>1403</v>
      </c>
      <c r="E59" s="375">
        <f t="shared" si="1"/>
        <v>46081</v>
      </c>
      <c r="F59" s="253" t="s">
        <v>1327</v>
      </c>
      <c r="G59" s="253" t="s">
        <v>1409</v>
      </c>
      <c r="H59" s="253" t="s">
        <v>1410</v>
      </c>
      <c r="I59" s="253" t="s">
        <v>344</v>
      </c>
      <c r="J59" s="253" t="s">
        <v>344</v>
      </c>
      <c r="K59" s="253" t="s">
        <v>344</v>
      </c>
      <c r="L59" s="253" t="s">
        <v>1325</v>
      </c>
      <c r="M59" s="366">
        <v>4085</v>
      </c>
      <c r="N59" s="366">
        <v>110655.1</v>
      </c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 spans="1:26" ht="15.75" customHeight="1">
      <c r="A60" s="268"/>
      <c r="B60" s="268" t="str">
        <f t="shared" si="0"/>
        <v>Sales</v>
      </c>
      <c r="C60" s="252"/>
      <c r="D60" s="253" t="s">
        <v>1403</v>
      </c>
      <c r="E60" s="375">
        <f t="shared" si="1"/>
        <v>46081</v>
      </c>
      <c r="F60" s="253" t="s">
        <v>1327</v>
      </c>
      <c r="G60" s="253" t="s">
        <v>1411</v>
      </c>
      <c r="H60" s="253" t="s">
        <v>1410</v>
      </c>
      <c r="I60" s="253" t="s">
        <v>344</v>
      </c>
      <c r="J60" s="253" t="s">
        <v>344</v>
      </c>
      <c r="K60" s="253" t="s">
        <v>344</v>
      </c>
      <c r="L60" s="253" t="s">
        <v>1325</v>
      </c>
      <c r="M60" s="366">
        <v>2085</v>
      </c>
      <c r="N60" s="366">
        <v>112740.1</v>
      </c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 spans="1:26" ht="15.75" customHeight="1">
      <c r="A61" s="268"/>
      <c r="B61" s="268" t="str">
        <f t="shared" si="0"/>
        <v>Sales</v>
      </c>
      <c r="C61" s="252"/>
      <c r="D61" s="253" t="s">
        <v>1403</v>
      </c>
      <c r="E61" s="375">
        <f t="shared" si="1"/>
        <v>46081</v>
      </c>
      <c r="F61" s="253" t="s">
        <v>1327</v>
      </c>
      <c r="G61" s="253" t="s">
        <v>1412</v>
      </c>
      <c r="H61" s="253" t="s">
        <v>1410</v>
      </c>
      <c r="I61" s="253" t="s">
        <v>344</v>
      </c>
      <c r="J61" s="253" t="s">
        <v>344</v>
      </c>
      <c r="K61" s="253" t="s">
        <v>344</v>
      </c>
      <c r="L61" s="253" t="s">
        <v>1325</v>
      </c>
      <c r="M61" s="366">
        <v>2080</v>
      </c>
      <c r="N61" s="366">
        <v>114820.1</v>
      </c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 spans="1:26" ht="15.75" customHeight="1">
      <c r="A62" s="268"/>
      <c r="B62" s="268" t="str">
        <f t="shared" si="0"/>
        <v>Sales</v>
      </c>
      <c r="C62" s="252"/>
      <c r="D62" s="253" t="s">
        <v>1403</v>
      </c>
      <c r="E62" s="375">
        <f t="shared" si="1"/>
        <v>46081</v>
      </c>
      <c r="F62" s="253" t="s">
        <v>1327</v>
      </c>
      <c r="G62" s="253" t="s">
        <v>1413</v>
      </c>
      <c r="H62" s="253" t="s">
        <v>1410</v>
      </c>
      <c r="I62" s="253" t="s">
        <v>344</v>
      </c>
      <c r="J62" s="253" t="s">
        <v>344</v>
      </c>
      <c r="K62" s="253" t="s">
        <v>344</v>
      </c>
      <c r="L62" s="253" t="s">
        <v>1325</v>
      </c>
      <c r="M62" s="366">
        <v>275</v>
      </c>
      <c r="N62" s="366">
        <v>115095.1</v>
      </c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 spans="1:26" ht="15.75" customHeight="1">
      <c r="A63" s="268"/>
      <c r="B63" s="268" t="str">
        <f t="shared" si="0"/>
        <v>Sales</v>
      </c>
      <c r="C63" s="252"/>
      <c r="D63" s="253" t="s">
        <v>1403</v>
      </c>
      <c r="E63" s="375">
        <f t="shared" si="1"/>
        <v>46081</v>
      </c>
      <c r="F63" s="253" t="s">
        <v>1327</v>
      </c>
      <c r="G63" s="253" t="s">
        <v>1414</v>
      </c>
      <c r="H63" s="253" t="s">
        <v>1415</v>
      </c>
      <c r="I63" s="253" t="s">
        <v>344</v>
      </c>
      <c r="J63" s="253" t="s">
        <v>344</v>
      </c>
      <c r="K63" s="253" t="s">
        <v>344</v>
      </c>
      <c r="L63" s="253" t="s">
        <v>1325</v>
      </c>
      <c r="M63" s="366">
        <v>550</v>
      </c>
      <c r="N63" s="366">
        <v>115645.1</v>
      </c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 spans="1:26" ht="15.75" customHeight="1">
      <c r="A64" s="268"/>
      <c r="B64" s="268" t="str">
        <f t="shared" si="0"/>
        <v>Sales</v>
      </c>
      <c r="C64" s="252"/>
      <c r="D64" s="253" t="s">
        <v>1403</v>
      </c>
      <c r="E64" s="375">
        <f t="shared" si="1"/>
        <v>46081</v>
      </c>
      <c r="F64" s="253" t="s">
        <v>1327</v>
      </c>
      <c r="G64" s="253" t="s">
        <v>1416</v>
      </c>
      <c r="H64" s="253" t="s">
        <v>1417</v>
      </c>
      <c r="I64" s="253" t="s">
        <v>344</v>
      </c>
      <c r="J64" s="253" t="s">
        <v>344</v>
      </c>
      <c r="K64" s="253" t="s">
        <v>344</v>
      </c>
      <c r="L64" s="253" t="s">
        <v>1325</v>
      </c>
      <c r="M64" s="366">
        <v>1100</v>
      </c>
      <c r="N64" s="366">
        <v>116745.1</v>
      </c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 spans="1:26" ht="15.75" customHeight="1">
      <c r="A65" s="268"/>
      <c r="B65" s="268" t="str">
        <f t="shared" si="0"/>
        <v>Sales</v>
      </c>
      <c r="C65" s="252"/>
      <c r="D65" s="253" t="s">
        <v>1403</v>
      </c>
      <c r="E65" s="375">
        <f t="shared" si="1"/>
        <v>46081</v>
      </c>
      <c r="F65" s="253" t="s">
        <v>1327</v>
      </c>
      <c r="G65" s="253" t="s">
        <v>1418</v>
      </c>
      <c r="H65" s="253" t="s">
        <v>1419</v>
      </c>
      <c r="I65" s="253" t="s">
        <v>344</v>
      </c>
      <c r="J65" s="253" t="s">
        <v>344</v>
      </c>
      <c r="K65" s="253" t="s">
        <v>344</v>
      </c>
      <c r="L65" s="253" t="s">
        <v>1325</v>
      </c>
      <c r="M65" s="366">
        <v>3625</v>
      </c>
      <c r="N65" s="366">
        <v>120370.1</v>
      </c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 spans="1:26" ht="15.75" customHeight="1">
      <c r="A66" s="268"/>
      <c r="B66" s="268" t="str">
        <f t="shared" si="0"/>
        <v>Sales</v>
      </c>
      <c r="C66" s="252"/>
      <c r="D66" s="253" t="s">
        <v>1403</v>
      </c>
      <c r="E66" s="375">
        <f t="shared" si="1"/>
        <v>46081</v>
      </c>
      <c r="F66" s="253" t="s">
        <v>1327</v>
      </c>
      <c r="G66" s="253" t="s">
        <v>1420</v>
      </c>
      <c r="H66" s="253" t="s">
        <v>1419</v>
      </c>
      <c r="I66" s="253" t="s">
        <v>344</v>
      </c>
      <c r="J66" s="253" t="s">
        <v>344</v>
      </c>
      <c r="K66" s="253" t="s">
        <v>344</v>
      </c>
      <c r="L66" s="253" t="s">
        <v>1325</v>
      </c>
      <c r="M66" s="366">
        <v>1625</v>
      </c>
      <c r="N66" s="366">
        <v>121995.1</v>
      </c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 spans="1:26" ht="15.75" customHeight="1">
      <c r="A67" s="268"/>
      <c r="B67" s="268" t="str">
        <f t="shared" si="0"/>
        <v>Sales</v>
      </c>
      <c r="C67" s="252"/>
      <c r="D67" s="253" t="s">
        <v>1403</v>
      </c>
      <c r="E67" s="375">
        <f t="shared" si="1"/>
        <v>46081</v>
      </c>
      <c r="F67" s="253" t="s">
        <v>1322</v>
      </c>
      <c r="G67" s="253" t="s">
        <v>1421</v>
      </c>
      <c r="H67" s="253" t="s">
        <v>1374</v>
      </c>
      <c r="I67" s="253" t="s">
        <v>344</v>
      </c>
      <c r="J67" s="253" t="s">
        <v>344</v>
      </c>
      <c r="K67" s="253" t="s">
        <v>344</v>
      </c>
      <c r="L67" s="253" t="s">
        <v>1325</v>
      </c>
      <c r="M67" s="366">
        <v>-0.92</v>
      </c>
      <c r="N67" s="366">
        <v>121994.18000000001</v>
      </c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 spans="1:26" ht="15.75" customHeight="1">
      <c r="A68" s="268"/>
      <c r="B68" s="268" t="str">
        <f t="shared" si="0"/>
        <v>Sales</v>
      </c>
      <c r="C68" s="252"/>
      <c r="D68" s="253" t="s">
        <v>1422</v>
      </c>
      <c r="E68" s="375">
        <f t="shared" si="1"/>
        <v>46081</v>
      </c>
      <c r="F68" s="253" t="s">
        <v>1327</v>
      </c>
      <c r="G68" s="253" t="s">
        <v>1423</v>
      </c>
      <c r="H68" s="253" t="s">
        <v>1424</v>
      </c>
      <c r="I68" s="253" t="s">
        <v>344</v>
      </c>
      <c r="J68" s="253" t="s">
        <v>344</v>
      </c>
      <c r="K68" s="253" t="s">
        <v>344</v>
      </c>
      <c r="L68" s="253" t="s">
        <v>1325</v>
      </c>
      <c r="M68" s="366">
        <v>1400</v>
      </c>
      <c r="N68" s="366">
        <v>123394.18000000001</v>
      </c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 spans="1:26" ht="15.75" customHeight="1">
      <c r="A69" s="268"/>
      <c r="B69" s="268" t="str">
        <f t="shared" si="0"/>
        <v>Sales</v>
      </c>
      <c r="C69" s="252"/>
      <c r="D69" s="253" t="s">
        <v>1422</v>
      </c>
      <c r="E69" s="375">
        <f t="shared" si="1"/>
        <v>46081</v>
      </c>
      <c r="F69" s="253" t="s">
        <v>1327</v>
      </c>
      <c r="G69" s="253" t="s">
        <v>1425</v>
      </c>
      <c r="H69" s="253" t="s">
        <v>1426</v>
      </c>
      <c r="I69" s="253" t="s">
        <v>344</v>
      </c>
      <c r="J69" s="253" t="s">
        <v>344</v>
      </c>
      <c r="K69" s="253" t="s">
        <v>344</v>
      </c>
      <c r="L69" s="253" t="s">
        <v>1325</v>
      </c>
      <c r="M69" s="366">
        <v>4665</v>
      </c>
      <c r="N69" s="366">
        <v>128059.18000000001</v>
      </c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 spans="1:26" ht="15.75" customHeight="1">
      <c r="A70" s="268"/>
      <c r="B70" s="268" t="str">
        <f t="shared" si="0"/>
        <v>Sales</v>
      </c>
      <c r="C70" s="252"/>
      <c r="D70" s="253" t="s">
        <v>1422</v>
      </c>
      <c r="E70" s="375">
        <f t="shared" si="1"/>
        <v>46081</v>
      </c>
      <c r="F70" s="253" t="s">
        <v>1327</v>
      </c>
      <c r="G70" s="253" t="s">
        <v>1427</v>
      </c>
      <c r="H70" s="253" t="s">
        <v>1426</v>
      </c>
      <c r="I70" s="253" t="s">
        <v>344</v>
      </c>
      <c r="J70" s="253" t="s">
        <v>344</v>
      </c>
      <c r="K70" s="253" t="s">
        <v>344</v>
      </c>
      <c r="L70" s="253" t="s">
        <v>1325</v>
      </c>
      <c r="M70" s="366">
        <v>2165</v>
      </c>
      <c r="N70" s="366">
        <v>130224.18000000001</v>
      </c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 spans="1:26" ht="15.75" customHeight="1">
      <c r="A71" s="268"/>
      <c r="B71" s="268" t="str">
        <f t="shared" si="0"/>
        <v>Sales</v>
      </c>
      <c r="C71" s="252"/>
      <c r="D71" s="253" t="s">
        <v>1422</v>
      </c>
      <c r="E71" s="375">
        <f t="shared" si="1"/>
        <v>46081</v>
      </c>
      <c r="F71" s="253" t="s">
        <v>1327</v>
      </c>
      <c r="G71" s="253" t="s">
        <v>1428</v>
      </c>
      <c r="H71" s="253" t="s">
        <v>1426</v>
      </c>
      <c r="I71" s="253" t="s">
        <v>344</v>
      </c>
      <c r="J71" s="253" t="s">
        <v>344</v>
      </c>
      <c r="K71" s="253" t="s">
        <v>344</v>
      </c>
      <c r="L71" s="253" t="s">
        <v>1325</v>
      </c>
      <c r="M71" s="366">
        <v>2170</v>
      </c>
      <c r="N71" s="366">
        <v>132394.18</v>
      </c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 spans="1:26" ht="15.75" customHeight="1">
      <c r="A72" s="268"/>
      <c r="B72" s="268" t="str">
        <f t="shared" si="0"/>
        <v>Sales</v>
      </c>
      <c r="C72" s="252"/>
      <c r="D72" s="253" t="s">
        <v>1422</v>
      </c>
      <c r="E72" s="375">
        <f t="shared" si="1"/>
        <v>46081</v>
      </c>
      <c r="F72" s="253" t="s">
        <v>1327</v>
      </c>
      <c r="G72" s="253" t="s">
        <v>1429</v>
      </c>
      <c r="H72" s="253" t="s">
        <v>1426</v>
      </c>
      <c r="I72" s="253" t="s">
        <v>344</v>
      </c>
      <c r="J72" s="253" t="s">
        <v>344</v>
      </c>
      <c r="K72" s="253" t="s">
        <v>344</v>
      </c>
      <c r="L72" s="253" t="s">
        <v>1325</v>
      </c>
      <c r="M72" s="366">
        <v>300</v>
      </c>
      <c r="N72" s="366">
        <v>132694.18</v>
      </c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 spans="1:26" ht="15.75" customHeight="1">
      <c r="A73" s="268"/>
      <c r="B73" s="268" t="str">
        <f t="shared" si="0"/>
        <v>Sales</v>
      </c>
      <c r="C73" s="252"/>
      <c r="D73" s="253" t="s">
        <v>1430</v>
      </c>
      <c r="E73" s="375">
        <f t="shared" si="1"/>
        <v>46081</v>
      </c>
      <c r="F73" s="253" t="s">
        <v>1327</v>
      </c>
      <c r="G73" s="253" t="s">
        <v>1431</v>
      </c>
      <c r="H73" s="253" t="s">
        <v>1432</v>
      </c>
      <c r="I73" s="253" t="s">
        <v>344</v>
      </c>
      <c r="J73" s="253" t="s">
        <v>344</v>
      </c>
      <c r="K73" s="253" t="s">
        <v>344</v>
      </c>
      <c r="L73" s="253" t="s">
        <v>1325</v>
      </c>
      <c r="M73" s="366">
        <v>550</v>
      </c>
      <c r="N73" s="366">
        <v>133244.18</v>
      </c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 spans="1:26" ht="15.75" customHeight="1">
      <c r="A74" s="268"/>
      <c r="B74" s="268" t="str">
        <f t="shared" si="0"/>
        <v>Sales</v>
      </c>
      <c r="C74" s="252"/>
      <c r="D74" s="253" t="s">
        <v>1430</v>
      </c>
      <c r="E74" s="375">
        <f t="shared" si="1"/>
        <v>46081</v>
      </c>
      <c r="F74" s="253" t="s">
        <v>1327</v>
      </c>
      <c r="G74" s="253" t="s">
        <v>1433</v>
      </c>
      <c r="H74" s="253" t="s">
        <v>1434</v>
      </c>
      <c r="I74" s="253" t="s">
        <v>344</v>
      </c>
      <c r="J74" s="253" t="s">
        <v>344</v>
      </c>
      <c r="K74" s="253" t="s">
        <v>344</v>
      </c>
      <c r="L74" s="253" t="s">
        <v>1325</v>
      </c>
      <c r="M74" s="366">
        <v>550</v>
      </c>
      <c r="N74" s="366">
        <v>133794.18</v>
      </c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 spans="1:26" ht="15.75" customHeight="1">
      <c r="A75" s="268"/>
      <c r="B75" s="268" t="str">
        <f t="shared" si="0"/>
        <v>Sales</v>
      </c>
      <c r="C75" s="252"/>
      <c r="D75" s="253" t="s">
        <v>1435</v>
      </c>
      <c r="E75" s="375">
        <f t="shared" si="1"/>
        <v>46081</v>
      </c>
      <c r="F75" s="253" t="s">
        <v>1327</v>
      </c>
      <c r="G75" s="253" t="s">
        <v>1436</v>
      </c>
      <c r="H75" s="253" t="s">
        <v>1437</v>
      </c>
      <c r="I75" s="253" t="s">
        <v>344</v>
      </c>
      <c r="J75" s="253" t="s">
        <v>344</v>
      </c>
      <c r="K75" s="253" t="s">
        <v>344</v>
      </c>
      <c r="L75" s="253" t="s">
        <v>1325</v>
      </c>
      <c r="M75" s="366">
        <v>3750</v>
      </c>
      <c r="N75" s="366">
        <v>137544.18</v>
      </c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 spans="1:26" ht="15.75" customHeight="1">
      <c r="A76" s="268"/>
      <c r="B76" s="268" t="str">
        <f t="shared" si="0"/>
        <v>Sales</v>
      </c>
      <c r="C76" s="252"/>
      <c r="D76" s="253" t="s">
        <v>1435</v>
      </c>
      <c r="E76" s="375">
        <f t="shared" si="1"/>
        <v>46081</v>
      </c>
      <c r="F76" s="253" t="s">
        <v>1327</v>
      </c>
      <c r="G76" s="253" t="s">
        <v>1438</v>
      </c>
      <c r="H76" s="253" t="s">
        <v>1437</v>
      </c>
      <c r="I76" s="253" t="s">
        <v>344</v>
      </c>
      <c r="J76" s="253" t="s">
        <v>344</v>
      </c>
      <c r="K76" s="253" t="s">
        <v>344</v>
      </c>
      <c r="L76" s="253" t="s">
        <v>1325</v>
      </c>
      <c r="M76" s="366">
        <v>1750</v>
      </c>
      <c r="N76" s="366">
        <v>139294.18</v>
      </c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 spans="1:26" ht="15.75" customHeight="1">
      <c r="A77" s="268"/>
      <c r="B77" s="268" t="str">
        <f t="shared" si="0"/>
        <v>Sales</v>
      </c>
      <c r="C77" s="252"/>
      <c r="D77" s="253" t="s">
        <v>1435</v>
      </c>
      <c r="E77" s="375">
        <f t="shared" si="1"/>
        <v>46081</v>
      </c>
      <c r="F77" s="253" t="s">
        <v>1327</v>
      </c>
      <c r="G77" s="253" t="s">
        <v>1439</v>
      </c>
      <c r="H77" s="253" t="s">
        <v>1437</v>
      </c>
      <c r="I77" s="253" t="s">
        <v>344</v>
      </c>
      <c r="J77" s="253" t="s">
        <v>344</v>
      </c>
      <c r="K77" s="253" t="s">
        <v>344</v>
      </c>
      <c r="L77" s="253" t="s">
        <v>1325</v>
      </c>
      <c r="M77" s="366">
        <v>1750</v>
      </c>
      <c r="N77" s="366">
        <v>141044.18</v>
      </c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 spans="1:26" ht="15.75" customHeight="1">
      <c r="A78" s="268"/>
      <c r="B78" s="268" t="str">
        <f t="shared" si="0"/>
        <v>Sales</v>
      </c>
      <c r="C78" s="252"/>
      <c r="D78" s="253" t="s">
        <v>1435</v>
      </c>
      <c r="E78" s="375">
        <f t="shared" si="1"/>
        <v>46081</v>
      </c>
      <c r="F78" s="253" t="s">
        <v>1327</v>
      </c>
      <c r="G78" s="253" t="s">
        <v>1440</v>
      </c>
      <c r="H78" s="253" t="s">
        <v>1437</v>
      </c>
      <c r="I78" s="253" t="s">
        <v>344</v>
      </c>
      <c r="J78" s="253" t="s">
        <v>344</v>
      </c>
      <c r="K78" s="253" t="s">
        <v>344</v>
      </c>
      <c r="L78" s="253" t="s">
        <v>1325</v>
      </c>
      <c r="M78" s="366">
        <v>1400</v>
      </c>
      <c r="N78" s="366">
        <v>142444.18</v>
      </c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 spans="1:26" ht="15.75" customHeight="1">
      <c r="A79" s="268"/>
      <c r="B79" s="268" t="str">
        <f t="shared" si="0"/>
        <v>Sales</v>
      </c>
      <c r="C79" s="252"/>
      <c r="D79" s="253" t="s">
        <v>1435</v>
      </c>
      <c r="E79" s="375">
        <f t="shared" si="1"/>
        <v>46081</v>
      </c>
      <c r="F79" s="253" t="s">
        <v>1327</v>
      </c>
      <c r="G79" s="253" t="s">
        <v>1441</v>
      </c>
      <c r="H79" s="253" t="s">
        <v>1442</v>
      </c>
      <c r="I79" s="253" t="s">
        <v>344</v>
      </c>
      <c r="J79" s="253" t="s">
        <v>344</v>
      </c>
      <c r="K79" s="253" t="s">
        <v>344</v>
      </c>
      <c r="L79" s="253" t="s">
        <v>1325</v>
      </c>
      <c r="M79" s="366">
        <v>4665</v>
      </c>
      <c r="N79" s="366">
        <v>147109.18</v>
      </c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 spans="1:26" ht="15.75" customHeight="1">
      <c r="A80" s="268"/>
      <c r="B80" s="268" t="str">
        <f t="shared" si="0"/>
        <v>Sales</v>
      </c>
      <c r="C80" s="252"/>
      <c r="D80" s="253" t="s">
        <v>1435</v>
      </c>
      <c r="E80" s="375">
        <f t="shared" si="1"/>
        <v>46081</v>
      </c>
      <c r="F80" s="253" t="s">
        <v>1327</v>
      </c>
      <c r="G80" s="253" t="s">
        <v>1443</v>
      </c>
      <c r="H80" s="253" t="s">
        <v>1442</v>
      </c>
      <c r="I80" s="253" t="s">
        <v>344</v>
      </c>
      <c r="J80" s="253" t="s">
        <v>344</v>
      </c>
      <c r="K80" s="253" t="s">
        <v>344</v>
      </c>
      <c r="L80" s="253" t="s">
        <v>1325</v>
      </c>
      <c r="M80" s="366">
        <v>2165</v>
      </c>
      <c r="N80" s="366">
        <v>149274.18</v>
      </c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 spans="1:26" ht="15.75" customHeight="1">
      <c r="A81" s="268"/>
      <c r="B81" s="268" t="str">
        <f t="shared" si="0"/>
        <v>Sales</v>
      </c>
      <c r="C81" s="252"/>
      <c r="D81" s="253" t="s">
        <v>1435</v>
      </c>
      <c r="E81" s="375">
        <f t="shared" si="1"/>
        <v>46081</v>
      </c>
      <c r="F81" s="253" t="s">
        <v>1327</v>
      </c>
      <c r="G81" s="253" t="s">
        <v>1444</v>
      </c>
      <c r="H81" s="253" t="s">
        <v>1442</v>
      </c>
      <c r="I81" s="253" t="s">
        <v>344</v>
      </c>
      <c r="J81" s="253" t="s">
        <v>344</v>
      </c>
      <c r="K81" s="253" t="s">
        <v>344</v>
      </c>
      <c r="L81" s="253" t="s">
        <v>1325</v>
      </c>
      <c r="M81" s="366">
        <v>2170</v>
      </c>
      <c r="N81" s="366">
        <v>151444.18</v>
      </c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 spans="1:26" ht="15.75" customHeight="1">
      <c r="A82" s="268"/>
      <c r="B82" s="268" t="str">
        <f t="shared" si="0"/>
        <v>Sales</v>
      </c>
      <c r="C82" s="252"/>
      <c r="D82" s="253" t="s">
        <v>1435</v>
      </c>
      <c r="E82" s="375">
        <f t="shared" si="1"/>
        <v>46081</v>
      </c>
      <c r="F82" s="253" t="s">
        <v>1327</v>
      </c>
      <c r="G82" s="253" t="s">
        <v>1445</v>
      </c>
      <c r="H82" s="253" t="s">
        <v>1442</v>
      </c>
      <c r="I82" s="253" t="s">
        <v>344</v>
      </c>
      <c r="J82" s="253" t="s">
        <v>344</v>
      </c>
      <c r="K82" s="253" t="s">
        <v>344</v>
      </c>
      <c r="L82" s="253" t="s">
        <v>1325</v>
      </c>
      <c r="M82" s="366">
        <v>300</v>
      </c>
      <c r="N82" s="366">
        <v>151744.18</v>
      </c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 spans="1:26" ht="15.75" customHeight="1">
      <c r="A83" s="268"/>
      <c r="B83" s="268" t="str">
        <f t="shared" si="0"/>
        <v>Sales</v>
      </c>
      <c r="C83" s="252"/>
      <c r="D83" s="253" t="s">
        <v>1435</v>
      </c>
      <c r="E83" s="375">
        <f t="shared" si="1"/>
        <v>46081</v>
      </c>
      <c r="F83" s="253" t="s">
        <v>1327</v>
      </c>
      <c r="G83" s="253" t="s">
        <v>1446</v>
      </c>
      <c r="H83" s="253" t="s">
        <v>1442</v>
      </c>
      <c r="I83" s="253" t="s">
        <v>344</v>
      </c>
      <c r="J83" s="253" t="s">
        <v>344</v>
      </c>
      <c r="K83" s="253" t="s">
        <v>344</v>
      </c>
      <c r="L83" s="253" t="s">
        <v>1325</v>
      </c>
      <c r="M83" s="366">
        <v>1400</v>
      </c>
      <c r="N83" s="366">
        <v>153144.18</v>
      </c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 spans="1:26" ht="15.75" customHeight="1">
      <c r="A84" s="268"/>
      <c r="B84" s="268" t="str">
        <f t="shared" si="0"/>
        <v>Sales</v>
      </c>
      <c r="C84" s="252"/>
      <c r="D84" s="253" t="s">
        <v>1435</v>
      </c>
      <c r="E84" s="375">
        <f t="shared" si="1"/>
        <v>46081</v>
      </c>
      <c r="F84" s="253" t="s">
        <v>1327</v>
      </c>
      <c r="G84" s="253" t="s">
        <v>1447</v>
      </c>
      <c r="H84" s="253" t="s">
        <v>1448</v>
      </c>
      <c r="I84" s="253" t="s">
        <v>344</v>
      </c>
      <c r="J84" s="253" t="s">
        <v>344</v>
      </c>
      <c r="K84" s="253" t="s">
        <v>344</v>
      </c>
      <c r="L84" s="253" t="s">
        <v>1325</v>
      </c>
      <c r="M84" s="366">
        <v>4165</v>
      </c>
      <c r="N84" s="366">
        <v>157309.18</v>
      </c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 spans="1:26" ht="15.75" customHeight="1">
      <c r="A85" s="268"/>
      <c r="B85" s="268" t="str">
        <f t="shared" si="0"/>
        <v>Sales</v>
      </c>
      <c r="C85" s="252"/>
      <c r="D85" s="253" t="s">
        <v>1435</v>
      </c>
      <c r="E85" s="375">
        <f t="shared" si="1"/>
        <v>46081</v>
      </c>
      <c r="F85" s="253" t="s">
        <v>1327</v>
      </c>
      <c r="G85" s="253" t="s">
        <v>1449</v>
      </c>
      <c r="H85" s="253" t="s">
        <v>1448</v>
      </c>
      <c r="I85" s="253" t="s">
        <v>344</v>
      </c>
      <c r="J85" s="253" t="s">
        <v>344</v>
      </c>
      <c r="K85" s="253" t="s">
        <v>344</v>
      </c>
      <c r="L85" s="253" t="s">
        <v>1325</v>
      </c>
      <c r="M85" s="366">
        <v>1665</v>
      </c>
      <c r="N85" s="366">
        <v>158974.18</v>
      </c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 spans="1:26" ht="15.75" customHeight="1">
      <c r="A86" s="268"/>
      <c r="B86" s="268" t="str">
        <f t="shared" si="0"/>
        <v>Sales</v>
      </c>
      <c r="C86" s="252"/>
      <c r="D86" s="253" t="s">
        <v>1435</v>
      </c>
      <c r="E86" s="375">
        <f t="shared" si="1"/>
        <v>46081</v>
      </c>
      <c r="F86" s="253" t="s">
        <v>1327</v>
      </c>
      <c r="G86" s="253" t="s">
        <v>1450</v>
      </c>
      <c r="H86" s="253" t="s">
        <v>1448</v>
      </c>
      <c r="I86" s="253" t="s">
        <v>344</v>
      </c>
      <c r="J86" s="253" t="s">
        <v>344</v>
      </c>
      <c r="K86" s="253" t="s">
        <v>344</v>
      </c>
      <c r="L86" s="253" t="s">
        <v>1325</v>
      </c>
      <c r="M86" s="366">
        <v>1670</v>
      </c>
      <c r="N86" s="366">
        <v>160644.18</v>
      </c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 spans="1:26" ht="15.75" customHeight="1">
      <c r="A87" s="268"/>
      <c r="B87" s="268" t="str">
        <f t="shared" si="0"/>
        <v>Sales</v>
      </c>
      <c r="C87" s="252"/>
      <c r="D87" s="253" t="s">
        <v>1435</v>
      </c>
      <c r="E87" s="375">
        <f t="shared" si="1"/>
        <v>46081</v>
      </c>
      <c r="F87" s="253" t="s">
        <v>1327</v>
      </c>
      <c r="G87" s="253" t="s">
        <v>1451</v>
      </c>
      <c r="H87" s="253" t="s">
        <v>1448</v>
      </c>
      <c r="I87" s="253" t="s">
        <v>344</v>
      </c>
      <c r="J87" s="253" t="s">
        <v>344</v>
      </c>
      <c r="K87" s="253" t="s">
        <v>344</v>
      </c>
      <c r="L87" s="253" t="s">
        <v>1325</v>
      </c>
      <c r="M87" s="366">
        <v>300</v>
      </c>
      <c r="N87" s="366">
        <v>160944.18</v>
      </c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 spans="1:26" ht="15.75" customHeight="1">
      <c r="A88" s="268"/>
      <c r="B88" s="268" t="str">
        <f t="shared" si="0"/>
        <v>Sales</v>
      </c>
      <c r="C88" s="252"/>
      <c r="D88" s="253" t="s">
        <v>1452</v>
      </c>
      <c r="E88" s="375">
        <f t="shared" si="1"/>
        <v>46081</v>
      </c>
      <c r="F88" s="253" t="s">
        <v>1322</v>
      </c>
      <c r="G88" s="253" t="s">
        <v>1453</v>
      </c>
      <c r="H88" s="253" t="s">
        <v>1434</v>
      </c>
      <c r="I88" s="253" t="s">
        <v>344</v>
      </c>
      <c r="J88" s="253" t="s">
        <v>344</v>
      </c>
      <c r="K88" s="253" t="s">
        <v>344</v>
      </c>
      <c r="L88" s="253" t="s">
        <v>1325</v>
      </c>
      <c r="M88" s="366">
        <v>-11.29</v>
      </c>
      <c r="N88" s="366">
        <v>160932.88999999998</v>
      </c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 spans="1:26" ht="15.75" customHeight="1">
      <c r="A89" s="268"/>
      <c r="B89" s="268" t="str">
        <f t="shared" si="0"/>
        <v>Sales</v>
      </c>
      <c r="C89" s="252"/>
      <c r="D89" s="253" t="s">
        <v>1454</v>
      </c>
      <c r="E89" s="375">
        <f t="shared" si="1"/>
        <v>46081</v>
      </c>
      <c r="F89" s="253" t="s">
        <v>1327</v>
      </c>
      <c r="G89" s="253" t="s">
        <v>1455</v>
      </c>
      <c r="H89" s="253" t="s">
        <v>1456</v>
      </c>
      <c r="I89" s="253" t="s">
        <v>344</v>
      </c>
      <c r="J89" s="253" t="s">
        <v>344</v>
      </c>
      <c r="K89" s="253" t="s">
        <v>344</v>
      </c>
      <c r="L89" s="253" t="s">
        <v>1325</v>
      </c>
      <c r="M89" s="366">
        <v>1750</v>
      </c>
      <c r="N89" s="366">
        <v>162682.88999999998</v>
      </c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 spans="1:26" ht="15.75" customHeight="1">
      <c r="A90" s="268"/>
      <c r="B90" s="268" t="str">
        <f t="shared" si="0"/>
        <v>Sales</v>
      </c>
      <c r="C90" s="252"/>
      <c r="D90" s="253" t="s">
        <v>1454</v>
      </c>
      <c r="E90" s="375">
        <f t="shared" si="1"/>
        <v>46081</v>
      </c>
      <c r="F90" s="253" t="s">
        <v>1327</v>
      </c>
      <c r="G90" s="253" t="s">
        <v>1457</v>
      </c>
      <c r="H90" s="253" t="s">
        <v>1362</v>
      </c>
      <c r="I90" s="253" t="s">
        <v>344</v>
      </c>
      <c r="J90" s="253" t="s">
        <v>344</v>
      </c>
      <c r="K90" s="253" t="s">
        <v>344</v>
      </c>
      <c r="L90" s="253" t="s">
        <v>1325</v>
      </c>
      <c r="M90" s="366">
        <v>1400</v>
      </c>
      <c r="N90" s="366">
        <v>164082.88999999998</v>
      </c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 spans="1:26" ht="15.75" customHeight="1">
      <c r="A91" s="268"/>
      <c r="B91" s="268" t="str">
        <f t="shared" si="0"/>
        <v>Sales</v>
      </c>
      <c r="C91" s="252"/>
      <c r="D91" s="253" t="s">
        <v>1454</v>
      </c>
      <c r="E91" s="375">
        <f t="shared" si="1"/>
        <v>46081</v>
      </c>
      <c r="F91" s="253" t="s">
        <v>1327</v>
      </c>
      <c r="G91" s="253" t="s">
        <v>1458</v>
      </c>
      <c r="H91" s="253" t="s">
        <v>1410</v>
      </c>
      <c r="I91" s="253" t="s">
        <v>344</v>
      </c>
      <c r="J91" s="253" t="s">
        <v>344</v>
      </c>
      <c r="K91" s="253" t="s">
        <v>344</v>
      </c>
      <c r="L91" s="253" t="s">
        <v>1325</v>
      </c>
      <c r="M91" s="366">
        <v>1400</v>
      </c>
      <c r="N91" s="366">
        <v>165482.88999999998</v>
      </c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 spans="1:26" ht="15.75" customHeight="1">
      <c r="A92" s="268"/>
      <c r="B92" s="268" t="str">
        <f t="shared" si="0"/>
        <v>Sales</v>
      </c>
      <c r="C92" s="252"/>
      <c r="D92" s="253" t="s">
        <v>1454</v>
      </c>
      <c r="E92" s="375">
        <f t="shared" si="1"/>
        <v>46081</v>
      </c>
      <c r="F92" s="253" t="s">
        <v>1327</v>
      </c>
      <c r="G92" s="253" t="s">
        <v>1459</v>
      </c>
      <c r="H92" s="253" t="s">
        <v>1460</v>
      </c>
      <c r="I92" s="253" t="s">
        <v>344</v>
      </c>
      <c r="J92" s="253" t="s">
        <v>344</v>
      </c>
      <c r="K92" s="253" t="s">
        <v>344</v>
      </c>
      <c r="L92" s="253" t="s">
        <v>1325</v>
      </c>
      <c r="M92" s="366">
        <v>4083</v>
      </c>
      <c r="N92" s="366">
        <v>169565.88999999998</v>
      </c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 spans="1:26" ht="15.75" customHeight="1">
      <c r="A93" s="268"/>
      <c r="B93" s="268" t="str">
        <f t="shared" si="0"/>
        <v>Sales</v>
      </c>
      <c r="C93" s="252"/>
      <c r="D93" s="253" t="s">
        <v>1454</v>
      </c>
      <c r="E93" s="375">
        <f t="shared" si="1"/>
        <v>46081</v>
      </c>
      <c r="F93" s="253" t="s">
        <v>1327</v>
      </c>
      <c r="G93" s="253" t="s">
        <v>1461</v>
      </c>
      <c r="H93" s="253" t="s">
        <v>1460</v>
      </c>
      <c r="I93" s="253" t="s">
        <v>344</v>
      </c>
      <c r="J93" s="253" t="s">
        <v>344</v>
      </c>
      <c r="K93" s="253" t="s">
        <v>344</v>
      </c>
      <c r="L93" s="253" t="s">
        <v>1325</v>
      </c>
      <c r="M93" s="366">
        <v>2083</v>
      </c>
      <c r="N93" s="366">
        <v>171648.88999999998</v>
      </c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 spans="1:26" ht="15.75" customHeight="1">
      <c r="A94" s="268"/>
      <c r="B94" s="268" t="str">
        <f t="shared" si="0"/>
        <v>Sales</v>
      </c>
      <c r="C94" s="252"/>
      <c r="D94" s="253" t="s">
        <v>1454</v>
      </c>
      <c r="E94" s="375">
        <f t="shared" si="1"/>
        <v>46081</v>
      </c>
      <c r="F94" s="253" t="s">
        <v>1327</v>
      </c>
      <c r="G94" s="253" t="s">
        <v>1462</v>
      </c>
      <c r="H94" s="253" t="s">
        <v>1460</v>
      </c>
      <c r="I94" s="253" t="s">
        <v>344</v>
      </c>
      <c r="J94" s="253" t="s">
        <v>344</v>
      </c>
      <c r="K94" s="253" t="s">
        <v>344</v>
      </c>
      <c r="L94" s="253" t="s">
        <v>1325</v>
      </c>
      <c r="M94" s="366">
        <v>2084</v>
      </c>
      <c r="N94" s="366">
        <v>173732.88999999998</v>
      </c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 spans="1:26" ht="15.75" customHeight="1">
      <c r="A95" s="268"/>
      <c r="B95" s="268" t="str">
        <f t="shared" si="0"/>
        <v>Sales</v>
      </c>
      <c r="C95" s="252"/>
      <c r="D95" s="253" t="s">
        <v>1463</v>
      </c>
      <c r="E95" s="375">
        <f t="shared" si="1"/>
        <v>46081</v>
      </c>
      <c r="F95" s="253" t="s">
        <v>1322</v>
      </c>
      <c r="G95" s="253" t="s">
        <v>1464</v>
      </c>
      <c r="H95" s="253" t="s">
        <v>1465</v>
      </c>
      <c r="I95" s="253" t="s">
        <v>344</v>
      </c>
      <c r="J95" s="253" t="s">
        <v>344</v>
      </c>
      <c r="K95" s="253" t="s">
        <v>344</v>
      </c>
      <c r="L95" s="253" t="s">
        <v>1325</v>
      </c>
      <c r="M95" s="366">
        <v>-34.99</v>
      </c>
      <c r="N95" s="366">
        <v>173697.9</v>
      </c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 spans="1:26" ht="15.75" customHeight="1">
      <c r="A96" s="268"/>
      <c r="B96" s="268" t="str">
        <f t="shared" si="0"/>
        <v>Sales</v>
      </c>
      <c r="C96" s="252"/>
      <c r="D96" s="253" t="s">
        <v>1466</v>
      </c>
      <c r="E96" s="375">
        <f t="shared" si="1"/>
        <v>46081</v>
      </c>
      <c r="F96" s="253" t="s">
        <v>1327</v>
      </c>
      <c r="G96" s="253" t="s">
        <v>1467</v>
      </c>
      <c r="H96" s="253" t="s">
        <v>1468</v>
      </c>
      <c r="I96" s="253" t="s">
        <v>344</v>
      </c>
      <c r="J96" s="253" t="s">
        <v>344</v>
      </c>
      <c r="K96" s="253" t="s">
        <v>344</v>
      </c>
      <c r="L96" s="253" t="s">
        <v>1325</v>
      </c>
      <c r="M96" s="366">
        <v>4165</v>
      </c>
      <c r="N96" s="366">
        <v>177862.9</v>
      </c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 spans="1:26" ht="15.75" customHeight="1">
      <c r="A97" s="268"/>
      <c r="B97" s="268" t="str">
        <f t="shared" si="0"/>
        <v>Sales</v>
      </c>
      <c r="C97" s="252"/>
      <c r="D97" s="253" t="s">
        <v>1466</v>
      </c>
      <c r="E97" s="375">
        <f t="shared" si="1"/>
        <v>46081</v>
      </c>
      <c r="F97" s="253" t="s">
        <v>1327</v>
      </c>
      <c r="G97" s="253" t="s">
        <v>1469</v>
      </c>
      <c r="H97" s="253" t="s">
        <v>1468</v>
      </c>
      <c r="I97" s="253" t="s">
        <v>344</v>
      </c>
      <c r="J97" s="253" t="s">
        <v>344</v>
      </c>
      <c r="K97" s="253" t="s">
        <v>344</v>
      </c>
      <c r="L97" s="253" t="s">
        <v>1325</v>
      </c>
      <c r="M97" s="366">
        <v>1665</v>
      </c>
      <c r="N97" s="366">
        <v>179527.9</v>
      </c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 spans="1:26" ht="15.75" customHeight="1">
      <c r="A98" s="268"/>
      <c r="B98" s="268" t="str">
        <f t="shared" si="0"/>
        <v>Sales</v>
      </c>
      <c r="C98" s="252"/>
      <c r="D98" s="253" t="s">
        <v>1466</v>
      </c>
      <c r="E98" s="375">
        <f t="shared" si="1"/>
        <v>46081</v>
      </c>
      <c r="F98" s="253" t="s">
        <v>1327</v>
      </c>
      <c r="G98" s="253" t="s">
        <v>1470</v>
      </c>
      <c r="H98" s="253" t="s">
        <v>1468</v>
      </c>
      <c r="I98" s="253" t="s">
        <v>344</v>
      </c>
      <c r="J98" s="253" t="s">
        <v>344</v>
      </c>
      <c r="K98" s="253" t="s">
        <v>344</v>
      </c>
      <c r="L98" s="253" t="s">
        <v>1325</v>
      </c>
      <c r="M98" s="366">
        <v>1670</v>
      </c>
      <c r="N98" s="366">
        <v>181197.9</v>
      </c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 spans="1:26" ht="15.75" customHeight="1">
      <c r="A99" s="268"/>
      <c r="B99" s="268" t="str">
        <f t="shared" si="0"/>
        <v>Sales</v>
      </c>
      <c r="C99" s="252"/>
      <c r="D99" s="253" t="s">
        <v>1466</v>
      </c>
      <c r="E99" s="375">
        <f t="shared" si="1"/>
        <v>46081</v>
      </c>
      <c r="F99" s="253" t="s">
        <v>1327</v>
      </c>
      <c r="G99" s="253" t="s">
        <v>1471</v>
      </c>
      <c r="H99" s="253" t="s">
        <v>1468</v>
      </c>
      <c r="I99" s="253" t="s">
        <v>344</v>
      </c>
      <c r="J99" s="253" t="s">
        <v>344</v>
      </c>
      <c r="K99" s="253" t="s">
        <v>344</v>
      </c>
      <c r="L99" s="253" t="s">
        <v>1325</v>
      </c>
      <c r="M99" s="366">
        <v>300</v>
      </c>
      <c r="N99" s="366">
        <v>181497.9</v>
      </c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 spans="1:26" ht="15.75" customHeight="1">
      <c r="A100" s="268"/>
      <c r="B100" s="268" t="str">
        <f t="shared" si="0"/>
        <v>Sales</v>
      </c>
      <c r="C100" s="252"/>
      <c r="D100" s="253" t="s">
        <v>1466</v>
      </c>
      <c r="E100" s="375">
        <f t="shared" si="1"/>
        <v>46081</v>
      </c>
      <c r="F100" s="253" t="s">
        <v>1327</v>
      </c>
      <c r="G100" s="253" t="s">
        <v>1472</v>
      </c>
      <c r="H100" s="253" t="s">
        <v>1473</v>
      </c>
      <c r="I100" s="253" t="s">
        <v>344</v>
      </c>
      <c r="J100" s="253" t="s">
        <v>344</v>
      </c>
      <c r="K100" s="253" t="s">
        <v>344</v>
      </c>
      <c r="L100" s="253" t="s">
        <v>1325</v>
      </c>
      <c r="M100" s="366">
        <v>13075</v>
      </c>
      <c r="N100" s="366">
        <v>194572.9</v>
      </c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 spans="1:26" ht="15.75" customHeight="1">
      <c r="A101" s="268"/>
      <c r="B101" s="268" t="str">
        <f t="shared" si="0"/>
        <v>Sales</v>
      </c>
      <c r="C101" s="252"/>
      <c r="D101" s="253" t="s">
        <v>1466</v>
      </c>
      <c r="E101" s="375">
        <f t="shared" si="1"/>
        <v>46081</v>
      </c>
      <c r="F101" s="253" t="s">
        <v>1327</v>
      </c>
      <c r="G101" s="253" t="s">
        <v>1474</v>
      </c>
      <c r="H101" s="253" t="s">
        <v>1473</v>
      </c>
      <c r="I101" s="253" t="s">
        <v>344</v>
      </c>
      <c r="J101" s="253" t="s">
        <v>344</v>
      </c>
      <c r="K101" s="253" t="s">
        <v>344</v>
      </c>
      <c r="L101" s="253" t="s">
        <v>1325</v>
      </c>
      <c r="M101" s="366">
        <v>9075</v>
      </c>
      <c r="N101" s="366">
        <v>203647.9</v>
      </c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 spans="1:26" ht="15.75" customHeight="1">
      <c r="A102" s="268"/>
      <c r="B102" s="268" t="str">
        <f t="shared" si="0"/>
        <v>Sales</v>
      </c>
      <c r="C102" s="252"/>
      <c r="D102" s="253" t="s">
        <v>1466</v>
      </c>
      <c r="E102" s="375">
        <f t="shared" si="1"/>
        <v>46081</v>
      </c>
      <c r="F102" s="253" t="s">
        <v>1327</v>
      </c>
      <c r="G102" s="253" t="s">
        <v>1475</v>
      </c>
      <c r="H102" s="253" t="s">
        <v>1473</v>
      </c>
      <c r="I102" s="253" t="s">
        <v>344</v>
      </c>
      <c r="J102" s="253" t="s">
        <v>344</v>
      </c>
      <c r="K102" s="253" t="s">
        <v>344</v>
      </c>
      <c r="L102" s="253" t="s">
        <v>1325</v>
      </c>
      <c r="M102" s="366">
        <v>9075</v>
      </c>
      <c r="N102" s="366">
        <v>212722.9</v>
      </c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 spans="1:26" ht="15.75" customHeight="1">
      <c r="A103" s="268"/>
      <c r="B103" s="268" t="str">
        <f t="shared" si="0"/>
        <v>Sales</v>
      </c>
      <c r="C103" s="252"/>
      <c r="D103" s="253" t="s">
        <v>1466</v>
      </c>
      <c r="E103" s="375">
        <f t="shared" si="1"/>
        <v>46081</v>
      </c>
      <c r="F103" s="253" t="s">
        <v>1327</v>
      </c>
      <c r="G103" s="253" t="s">
        <v>1476</v>
      </c>
      <c r="H103" s="253" t="s">
        <v>1473</v>
      </c>
      <c r="I103" s="253" t="s">
        <v>344</v>
      </c>
      <c r="J103" s="253" t="s">
        <v>344</v>
      </c>
      <c r="K103" s="253" t="s">
        <v>344</v>
      </c>
      <c r="L103" s="253" t="s">
        <v>1325</v>
      </c>
      <c r="M103" s="366">
        <v>275</v>
      </c>
      <c r="N103" s="366">
        <v>212997.9</v>
      </c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 spans="1:26" ht="15.75" customHeight="1">
      <c r="A104" s="268"/>
      <c r="B104" s="268" t="str">
        <f t="shared" si="0"/>
        <v>Sales</v>
      </c>
      <c r="C104" s="252"/>
      <c r="D104" s="253" t="s">
        <v>1477</v>
      </c>
      <c r="E104" s="375">
        <f t="shared" si="1"/>
        <v>46112</v>
      </c>
      <c r="F104" s="253" t="s">
        <v>1327</v>
      </c>
      <c r="G104" s="253" t="s">
        <v>1478</v>
      </c>
      <c r="H104" s="253" t="s">
        <v>1479</v>
      </c>
      <c r="I104" s="253" t="s">
        <v>344</v>
      </c>
      <c r="J104" s="253" t="s">
        <v>344</v>
      </c>
      <c r="K104" s="253" t="s">
        <v>344</v>
      </c>
      <c r="L104" s="253" t="s">
        <v>1325</v>
      </c>
      <c r="M104" s="366">
        <v>4500</v>
      </c>
      <c r="N104" s="366">
        <v>217497.9</v>
      </c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 spans="1:26" ht="15.75" customHeight="1">
      <c r="A105" s="268"/>
      <c r="B105" s="268" t="str">
        <f t="shared" si="0"/>
        <v>Sales</v>
      </c>
      <c r="C105" s="252"/>
      <c r="D105" s="253" t="s">
        <v>1477</v>
      </c>
      <c r="E105" s="375">
        <f t="shared" si="1"/>
        <v>46112</v>
      </c>
      <c r="F105" s="253" t="s">
        <v>1327</v>
      </c>
      <c r="G105" s="253" t="s">
        <v>1480</v>
      </c>
      <c r="H105" s="253" t="s">
        <v>1479</v>
      </c>
      <c r="I105" s="253" t="s">
        <v>344</v>
      </c>
      <c r="J105" s="253" t="s">
        <v>344</v>
      </c>
      <c r="K105" s="253" t="s">
        <v>344</v>
      </c>
      <c r="L105" s="253" t="s">
        <v>1325</v>
      </c>
      <c r="M105" s="366">
        <v>2000</v>
      </c>
      <c r="N105" s="366">
        <v>219497.9</v>
      </c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 spans="1:26" ht="15.75" customHeight="1">
      <c r="A106" s="268"/>
      <c r="B106" s="268" t="str">
        <f t="shared" si="0"/>
        <v>Sales</v>
      </c>
      <c r="C106" s="252"/>
      <c r="D106" s="253" t="s">
        <v>1477</v>
      </c>
      <c r="E106" s="375">
        <f t="shared" si="1"/>
        <v>46112</v>
      </c>
      <c r="F106" s="253" t="s">
        <v>1327</v>
      </c>
      <c r="G106" s="253" t="s">
        <v>1481</v>
      </c>
      <c r="H106" s="253" t="s">
        <v>1479</v>
      </c>
      <c r="I106" s="253" t="s">
        <v>344</v>
      </c>
      <c r="J106" s="253" t="s">
        <v>344</v>
      </c>
      <c r="K106" s="253" t="s">
        <v>344</v>
      </c>
      <c r="L106" s="253" t="s">
        <v>1325</v>
      </c>
      <c r="M106" s="366">
        <v>2000</v>
      </c>
      <c r="N106" s="366">
        <v>221497.9</v>
      </c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 spans="1:26" ht="15.75" customHeight="1">
      <c r="A107" s="268"/>
      <c r="B107" s="268" t="str">
        <f t="shared" si="0"/>
        <v>Sales</v>
      </c>
      <c r="C107" s="252"/>
      <c r="D107" s="253" t="s">
        <v>1477</v>
      </c>
      <c r="E107" s="375">
        <f t="shared" si="1"/>
        <v>46112</v>
      </c>
      <c r="F107" s="253" t="s">
        <v>1327</v>
      </c>
      <c r="G107" s="253" t="s">
        <v>1482</v>
      </c>
      <c r="H107" s="253" t="s">
        <v>1479</v>
      </c>
      <c r="I107" s="253" t="s">
        <v>344</v>
      </c>
      <c r="J107" s="253" t="s">
        <v>344</v>
      </c>
      <c r="K107" s="253" t="s">
        <v>344</v>
      </c>
      <c r="L107" s="253" t="s">
        <v>1325</v>
      </c>
      <c r="M107" s="366">
        <v>300</v>
      </c>
      <c r="N107" s="366">
        <v>221797.9</v>
      </c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 spans="1:26" ht="15.75" customHeight="1">
      <c r="A108" s="268"/>
      <c r="B108" s="268" t="str">
        <f t="shared" si="0"/>
        <v>Sales</v>
      </c>
      <c r="C108" s="252"/>
      <c r="D108" s="253" t="s">
        <v>1483</v>
      </c>
      <c r="E108" s="375">
        <f t="shared" si="1"/>
        <v>46112</v>
      </c>
      <c r="F108" s="253" t="s">
        <v>1327</v>
      </c>
      <c r="G108" s="253" t="s">
        <v>1484</v>
      </c>
      <c r="H108" s="253" t="s">
        <v>1485</v>
      </c>
      <c r="I108" s="253" t="s">
        <v>344</v>
      </c>
      <c r="J108" s="253" t="s">
        <v>344</v>
      </c>
      <c r="K108" s="253" t="s">
        <v>344</v>
      </c>
      <c r="L108" s="253" t="s">
        <v>1325</v>
      </c>
      <c r="M108" s="366">
        <v>5000</v>
      </c>
      <c r="N108" s="366">
        <v>226797.9</v>
      </c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 spans="1:26" ht="15.75" customHeight="1">
      <c r="A109" s="268"/>
      <c r="B109" s="268" t="str">
        <f t="shared" si="0"/>
        <v>Sales</v>
      </c>
      <c r="C109" s="252"/>
      <c r="D109" s="253" t="s">
        <v>1483</v>
      </c>
      <c r="E109" s="375">
        <f t="shared" si="1"/>
        <v>46112</v>
      </c>
      <c r="F109" s="253" t="s">
        <v>1327</v>
      </c>
      <c r="G109" s="253" t="s">
        <v>1486</v>
      </c>
      <c r="H109" s="253" t="s">
        <v>1485</v>
      </c>
      <c r="I109" s="253" t="s">
        <v>344</v>
      </c>
      <c r="J109" s="253" t="s">
        <v>344</v>
      </c>
      <c r="K109" s="253" t="s">
        <v>344</v>
      </c>
      <c r="L109" s="253" t="s">
        <v>1325</v>
      </c>
      <c r="M109" s="366">
        <v>2500</v>
      </c>
      <c r="N109" s="366">
        <v>229297.9</v>
      </c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 spans="1:26" ht="15.75" customHeight="1">
      <c r="A110" s="268"/>
      <c r="B110" s="268" t="str">
        <f t="shared" si="0"/>
        <v>Sales</v>
      </c>
      <c r="C110" s="252"/>
      <c r="D110" s="253" t="s">
        <v>1483</v>
      </c>
      <c r="E110" s="375">
        <f t="shared" si="1"/>
        <v>46112</v>
      </c>
      <c r="F110" s="253" t="s">
        <v>1327</v>
      </c>
      <c r="G110" s="253" t="s">
        <v>1487</v>
      </c>
      <c r="H110" s="253" t="s">
        <v>1485</v>
      </c>
      <c r="I110" s="253" t="s">
        <v>344</v>
      </c>
      <c r="J110" s="253" t="s">
        <v>344</v>
      </c>
      <c r="K110" s="253" t="s">
        <v>344</v>
      </c>
      <c r="L110" s="253" t="s">
        <v>1325</v>
      </c>
      <c r="M110" s="366">
        <v>2500</v>
      </c>
      <c r="N110" s="366">
        <v>231797.9</v>
      </c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 spans="1:26" ht="15.75" customHeight="1">
      <c r="A111" s="268"/>
      <c r="B111" s="268" t="str">
        <f t="shared" si="0"/>
        <v>Sales</v>
      </c>
      <c r="C111" s="252"/>
      <c r="D111" s="253" t="s">
        <v>1483</v>
      </c>
      <c r="E111" s="375">
        <f t="shared" si="1"/>
        <v>46112</v>
      </c>
      <c r="F111" s="253" t="s">
        <v>1327</v>
      </c>
      <c r="G111" s="253" t="s">
        <v>1488</v>
      </c>
      <c r="H111" s="253" t="s">
        <v>1485</v>
      </c>
      <c r="I111" s="253" t="s">
        <v>344</v>
      </c>
      <c r="J111" s="253" t="s">
        <v>344</v>
      </c>
      <c r="K111" s="253" t="s">
        <v>344</v>
      </c>
      <c r="L111" s="253" t="s">
        <v>1325</v>
      </c>
      <c r="M111" s="366">
        <v>300</v>
      </c>
      <c r="N111" s="366">
        <v>232097.9</v>
      </c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 spans="1:26" ht="15.75" customHeight="1">
      <c r="A112" s="268"/>
      <c r="B112" s="268" t="str">
        <f t="shared" si="0"/>
        <v>Sales</v>
      </c>
      <c r="C112" s="252"/>
      <c r="D112" s="253" t="s">
        <v>1489</v>
      </c>
      <c r="E112" s="375">
        <f t="shared" si="1"/>
        <v>46112</v>
      </c>
      <c r="F112" s="253" t="s">
        <v>1327</v>
      </c>
      <c r="G112" s="253" t="s">
        <v>1490</v>
      </c>
      <c r="H112" s="253" t="s">
        <v>1491</v>
      </c>
      <c r="I112" s="253" t="s">
        <v>344</v>
      </c>
      <c r="J112" s="253" t="s">
        <v>344</v>
      </c>
      <c r="K112" s="253" t="s">
        <v>344</v>
      </c>
      <c r="L112" s="253" t="s">
        <v>1325</v>
      </c>
      <c r="M112" s="366">
        <v>1125</v>
      </c>
      <c r="N112" s="366">
        <v>233222.9</v>
      </c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 spans="1:26" ht="15.75" customHeight="1">
      <c r="A113" s="268"/>
      <c r="B113" s="268" t="str">
        <f t="shared" si="0"/>
        <v>Sales</v>
      </c>
      <c r="C113" s="252"/>
      <c r="D113" s="253" t="s">
        <v>1489</v>
      </c>
      <c r="E113" s="375">
        <f t="shared" si="1"/>
        <v>46112</v>
      </c>
      <c r="F113" s="253" t="s">
        <v>1327</v>
      </c>
      <c r="G113" s="253" t="s">
        <v>1492</v>
      </c>
      <c r="H113" s="253" t="s">
        <v>1491</v>
      </c>
      <c r="I113" s="253" t="s">
        <v>344</v>
      </c>
      <c r="J113" s="253" t="s">
        <v>344</v>
      </c>
      <c r="K113" s="253" t="s">
        <v>344</v>
      </c>
      <c r="L113" s="253" t="s">
        <v>1325</v>
      </c>
      <c r="M113" s="366">
        <v>625</v>
      </c>
      <c r="N113" s="366">
        <v>233847.9</v>
      </c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 spans="1:26" ht="15.75" customHeight="1">
      <c r="A114" s="268"/>
      <c r="B114" s="268" t="str">
        <f t="shared" si="0"/>
        <v>Sales</v>
      </c>
      <c r="C114" s="252"/>
      <c r="D114" s="253" t="s">
        <v>1489</v>
      </c>
      <c r="E114" s="375">
        <f t="shared" si="1"/>
        <v>46112</v>
      </c>
      <c r="F114" s="253" t="s">
        <v>1322</v>
      </c>
      <c r="G114" s="253" t="s">
        <v>1493</v>
      </c>
      <c r="H114" s="253" t="s">
        <v>1432</v>
      </c>
      <c r="I114" s="253" t="s">
        <v>344</v>
      </c>
      <c r="J114" s="253" t="s">
        <v>344</v>
      </c>
      <c r="K114" s="253" t="s">
        <v>344</v>
      </c>
      <c r="L114" s="253" t="s">
        <v>1325</v>
      </c>
      <c r="M114" s="366">
        <v>-17.670000000000002</v>
      </c>
      <c r="N114" s="366">
        <v>233830.22999999998</v>
      </c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 spans="1:26" ht="15.75" customHeight="1">
      <c r="A115" s="268"/>
      <c r="B115" s="268" t="str">
        <f t="shared" si="0"/>
        <v>Sales</v>
      </c>
      <c r="C115" s="252"/>
      <c r="D115" s="253" t="s">
        <v>1489</v>
      </c>
      <c r="E115" s="375">
        <f t="shared" si="1"/>
        <v>46112</v>
      </c>
      <c r="F115" s="253" t="s">
        <v>1322</v>
      </c>
      <c r="G115" s="253" t="s">
        <v>1494</v>
      </c>
      <c r="H115" s="253" t="s">
        <v>1495</v>
      </c>
      <c r="I115" s="253" t="s">
        <v>344</v>
      </c>
      <c r="J115" s="253" t="s">
        <v>344</v>
      </c>
      <c r="K115" s="253" t="s">
        <v>344</v>
      </c>
      <c r="L115" s="253" t="s">
        <v>1325</v>
      </c>
      <c r="M115" s="366">
        <v>-32.4</v>
      </c>
      <c r="N115" s="366">
        <v>233797.83</v>
      </c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 spans="1:26" ht="15.75" customHeight="1">
      <c r="A116" s="268"/>
      <c r="B116" s="268" t="str">
        <f t="shared" si="0"/>
        <v>Sales</v>
      </c>
      <c r="C116" s="252"/>
      <c r="D116" s="253" t="s">
        <v>1496</v>
      </c>
      <c r="E116" s="375">
        <f t="shared" si="1"/>
        <v>46112</v>
      </c>
      <c r="F116" s="253" t="s">
        <v>1327</v>
      </c>
      <c r="G116" s="253" t="s">
        <v>1497</v>
      </c>
      <c r="H116" s="253" t="s">
        <v>1498</v>
      </c>
      <c r="I116" s="253" t="s">
        <v>344</v>
      </c>
      <c r="J116" s="253" t="s">
        <v>344</v>
      </c>
      <c r="K116" s="253" t="s">
        <v>344</v>
      </c>
      <c r="L116" s="253" t="s">
        <v>1325</v>
      </c>
      <c r="M116" s="366">
        <v>11103</v>
      </c>
      <c r="N116" s="366">
        <v>244900.83</v>
      </c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 spans="1:26" ht="15.75" customHeight="1">
      <c r="A117" s="268"/>
      <c r="B117" s="268" t="str">
        <f t="shared" si="0"/>
        <v>Sales</v>
      </c>
      <c r="C117" s="252"/>
      <c r="D117" s="253" t="s">
        <v>1496</v>
      </c>
      <c r="E117" s="375">
        <f t="shared" si="1"/>
        <v>46112</v>
      </c>
      <c r="F117" s="253" t="s">
        <v>1327</v>
      </c>
      <c r="G117" s="253" t="s">
        <v>1499</v>
      </c>
      <c r="H117" s="253" t="s">
        <v>1498</v>
      </c>
      <c r="I117" s="253" t="s">
        <v>344</v>
      </c>
      <c r="J117" s="253" t="s">
        <v>344</v>
      </c>
      <c r="K117" s="253" t="s">
        <v>344</v>
      </c>
      <c r="L117" s="253" t="s">
        <v>1325</v>
      </c>
      <c r="M117" s="366">
        <v>7103</v>
      </c>
      <c r="N117" s="366">
        <v>252003.83</v>
      </c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 spans="1:26" ht="15.75" customHeight="1">
      <c r="A118" s="268"/>
      <c r="B118" s="268" t="str">
        <f t="shared" si="0"/>
        <v>Sales</v>
      </c>
      <c r="C118" s="252"/>
      <c r="D118" s="253" t="s">
        <v>1496</v>
      </c>
      <c r="E118" s="375">
        <f t="shared" si="1"/>
        <v>46112</v>
      </c>
      <c r="F118" s="253" t="s">
        <v>1327</v>
      </c>
      <c r="G118" s="253" t="s">
        <v>1500</v>
      </c>
      <c r="H118" s="253" t="s">
        <v>1498</v>
      </c>
      <c r="I118" s="253" t="s">
        <v>344</v>
      </c>
      <c r="J118" s="253" t="s">
        <v>344</v>
      </c>
      <c r="K118" s="253" t="s">
        <v>344</v>
      </c>
      <c r="L118" s="253" t="s">
        <v>1325</v>
      </c>
      <c r="M118" s="366">
        <v>7104</v>
      </c>
      <c r="N118" s="366">
        <v>259107.83</v>
      </c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 spans="1:26" ht="15.75" customHeight="1">
      <c r="A119" s="268"/>
      <c r="B119" s="268" t="str">
        <f t="shared" si="0"/>
        <v>Sales</v>
      </c>
      <c r="C119" s="252"/>
      <c r="D119" s="253" t="s">
        <v>1496</v>
      </c>
      <c r="E119" s="375">
        <f t="shared" si="1"/>
        <v>46112</v>
      </c>
      <c r="F119" s="253" t="s">
        <v>1327</v>
      </c>
      <c r="G119" s="253" t="s">
        <v>1501</v>
      </c>
      <c r="H119" s="253" t="s">
        <v>1498</v>
      </c>
      <c r="I119" s="253" t="s">
        <v>344</v>
      </c>
      <c r="J119" s="253" t="s">
        <v>344</v>
      </c>
      <c r="K119" s="253" t="s">
        <v>344</v>
      </c>
      <c r="L119" s="253" t="s">
        <v>1325</v>
      </c>
      <c r="M119" s="366">
        <v>300</v>
      </c>
      <c r="N119" s="366">
        <v>259407.83</v>
      </c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 spans="1:26" ht="15.75" customHeight="1">
      <c r="A120" s="268"/>
      <c r="B120" s="268" t="str">
        <f t="shared" si="0"/>
        <v>Sales</v>
      </c>
      <c r="C120" s="252"/>
      <c r="D120" s="253" t="s">
        <v>1502</v>
      </c>
      <c r="E120" s="375">
        <f t="shared" si="1"/>
        <v>46112</v>
      </c>
      <c r="F120" s="253" t="s">
        <v>1327</v>
      </c>
      <c r="G120" s="253" t="s">
        <v>1503</v>
      </c>
      <c r="H120" s="253" t="s">
        <v>1504</v>
      </c>
      <c r="I120" s="253" t="s">
        <v>344</v>
      </c>
      <c r="J120" s="253" t="s">
        <v>344</v>
      </c>
      <c r="K120" s="253" t="s">
        <v>344</v>
      </c>
      <c r="L120" s="253" t="s">
        <v>1325</v>
      </c>
      <c r="M120" s="366">
        <v>1100</v>
      </c>
      <c r="N120" s="366">
        <v>260507.83</v>
      </c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 spans="1:26" ht="15.75" customHeight="1">
      <c r="A121" s="268"/>
      <c r="B121" s="268" t="str">
        <f t="shared" si="0"/>
        <v>Sales</v>
      </c>
      <c r="C121" s="252"/>
      <c r="D121" s="253" t="s">
        <v>1502</v>
      </c>
      <c r="E121" s="375">
        <f t="shared" si="1"/>
        <v>46112</v>
      </c>
      <c r="F121" s="253" t="s">
        <v>1322</v>
      </c>
      <c r="G121" s="253" t="s">
        <v>1505</v>
      </c>
      <c r="H121" s="253" t="s">
        <v>1506</v>
      </c>
      <c r="I121" s="253" t="s">
        <v>344</v>
      </c>
      <c r="J121" s="253" t="s">
        <v>344</v>
      </c>
      <c r="K121" s="253" t="s">
        <v>344</v>
      </c>
      <c r="L121" s="253" t="s">
        <v>1325</v>
      </c>
      <c r="M121" s="366">
        <v>-9.4600000000000009</v>
      </c>
      <c r="N121" s="366">
        <v>260498.37</v>
      </c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 spans="1:26" ht="15.75" customHeight="1">
      <c r="A122" s="268"/>
      <c r="B122" s="268" t="str">
        <f t="shared" si="0"/>
        <v>Sales</v>
      </c>
      <c r="C122" s="252"/>
      <c r="D122" s="253" t="s">
        <v>1507</v>
      </c>
      <c r="E122" s="375">
        <f t="shared" si="1"/>
        <v>46112</v>
      </c>
      <c r="F122" s="253" t="s">
        <v>1327</v>
      </c>
      <c r="G122" s="253" t="s">
        <v>1508</v>
      </c>
      <c r="H122" s="253" t="s">
        <v>1509</v>
      </c>
      <c r="I122" s="253" t="s">
        <v>344</v>
      </c>
      <c r="J122" s="253" t="s">
        <v>344</v>
      </c>
      <c r="K122" s="253" t="s">
        <v>344</v>
      </c>
      <c r="L122" s="253" t="s">
        <v>1325</v>
      </c>
      <c r="M122" s="366">
        <v>1400</v>
      </c>
      <c r="N122" s="366">
        <v>261898.37</v>
      </c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 spans="1:26" ht="15.75" customHeight="1">
      <c r="A123" s="268"/>
      <c r="B123" s="268" t="str">
        <f t="shared" si="0"/>
        <v>Sales</v>
      </c>
      <c r="C123" s="252"/>
      <c r="D123" s="253" t="s">
        <v>1510</v>
      </c>
      <c r="E123" s="375">
        <f t="shared" si="1"/>
        <v>46112</v>
      </c>
      <c r="F123" s="253" t="s">
        <v>1327</v>
      </c>
      <c r="G123" s="253" t="s">
        <v>1511</v>
      </c>
      <c r="H123" s="253" t="s">
        <v>1410</v>
      </c>
      <c r="I123" s="253" t="s">
        <v>344</v>
      </c>
      <c r="J123" s="253" t="s">
        <v>344</v>
      </c>
      <c r="K123" s="253" t="s">
        <v>344</v>
      </c>
      <c r="L123" s="253" t="s">
        <v>1325</v>
      </c>
      <c r="M123" s="366">
        <v>1100</v>
      </c>
      <c r="N123" s="366">
        <v>262998.37</v>
      </c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 spans="1:26" ht="15.75" customHeight="1">
      <c r="A124" s="268"/>
      <c r="B124" s="268" t="str">
        <f t="shared" si="0"/>
        <v>Sales</v>
      </c>
      <c r="C124" s="252"/>
      <c r="D124" s="253" t="s">
        <v>1510</v>
      </c>
      <c r="E124" s="375">
        <f t="shared" si="1"/>
        <v>46112</v>
      </c>
      <c r="F124" s="253" t="s">
        <v>1322</v>
      </c>
      <c r="G124" s="253" t="s">
        <v>1512</v>
      </c>
      <c r="H124" s="253" t="s">
        <v>1513</v>
      </c>
      <c r="I124" s="253" t="s">
        <v>344</v>
      </c>
      <c r="J124" s="253" t="s">
        <v>344</v>
      </c>
      <c r="K124" s="253" t="s">
        <v>344</v>
      </c>
      <c r="L124" s="253" t="s">
        <v>1325</v>
      </c>
      <c r="M124" s="366">
        <v>-52.32</v>
      </c>
      <c r="N124" s="366">
        <v>262946.05</v>
      </c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 spans="1:26" ht="15.75" customHeight="1">
      <c r="A125" s="268"/>
      <c r="B125" s="268" t="str">
        <f t="shared" si="0"/>
        <v>Sales</v>
      </c>
      <c r="C125" s="252"/>
      <c r="D125" s="253" t="s">
        <v>1510</v>
      </c>
      <c r="E125" s="375">
        <f t="shared" si="1"/>
        <v>46112</v>
      </c>
      <c r="F125" s="253" t="s">
        <v>1327</v>
      </c>
      <c r="G125" s="253" t="s">
        <v>1514</v>
      </c>
      <c r="H125" s="253" t="s">
        <v>1515</v>
      </c>
      <c r="I125" s="253" t="s">
        <v>344</v>
      </c>
      <c r="J125" s="253" t="s">
        <v>344</v>
      </c>
      <c r="K125" s="253" t="s">
        <v>344</v>
      </c>
      <c r="L125" s="253" t="s">
        <v>1325</v>
      </c>
      <c r="M125" s="366">
        <v>1400</v>
      </c>
      <c r="N125" s="366">
        <v>264346.05</v>
      </c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 spans="1:26" ht="15.75" customHeight="1">
      <c r="A126" s="268"/>
      <c r="B126" s="268" t="str">
        <f t="shared" si="0"/>
        <v>Sales</v>
      </c>
      <c r="C126" s="252"/>
      <c r="D126" s="253" t="s">
        <v>1516</v>
      </c>
      <c r="E126" s="375">
        <f t="shared" si="1"/>
        <v>46112</v>
      </c>
      <c r="F126" s="253" t="s">
        <v>1327</v>
      </c>
      <c r="G126" s="253" t="s">
        <v>1517</v>
      </c>
      <c r="H126" s="253" t="s">
        <v>1518</v>
      </c>
      <c r="I126" s="253" t="s">
        <v>344</v>
      </c>
      <c r="J126" s="253" t="s">
        <v>344</v>
      </c>
      <c r="K126" s="253" t="s">
        <v>344</v>
      </c>
      <c r="L126" s="253" t="s">
        <v>1325</v>
      </c>
      <c r="M126" s="366">
        <v>550</v>
      </c>
      <c r="N126" s="366">
        <v>264896.05</v>
      </c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 spans="1:26" ht="15.75" customHeight="1">
      <c r="A127" s="268"/>
      <c r="B127" s="268" t="str">
        <f t="shared" si="0"/>
        <v>Sales</v>
      </c>
      <c r="C127" s="252"/>
      <c r="D127" s="253" t="s">
        <v>1516</v>
      </c>
      <c r="E127" s="375">
        <f t="shared" si="1"/>
        <v>46112</v>
      </c>
      <c r="F127" s="253" t="s">
        <v>1322</v>
      </c>
      <c r="G127" s="253" t="s">
        <v>1519</v>
      </c>
      <c r="H127" s="253" t="s">
        <v>1518</v>
      </c>
      <c r="I127" s="253" t="s">
        <v>344</v>
      </c>
      <c r="J127" s="253" t="s">
        <v>344</v>
      </c>
      <c r="K127" s="253" t="s">
        <v>344</v>
      </c>
      <c r="L127" s="253" t="s">
        <v>1325</v>
      </c>
      <c r="M127" s="366">
        <v>-16.2</v>
      </c>
      <c r="N127" s="366">
        <v>264879.84999999998</v>
      </c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 spans="1:26" ht="15.75" customHeight="1">
      <c r="A128" s="268"/>
      <c r="B128" s="268" t="str">
        <f t="shared" si="0"/>
        <v>Sales</v>
      </c>
      <c r="C128" s="252"/>
      <c r="D128" s="253" t="s">
        <v>1516</v>
      </c>
      <c r="E128" s="375">
        <f t="shared" si="1"/>
        <v>46112</v>
      </c>
      <c r="F128" s="253" t="s">
        <v>1322</v>
      </c>
      <c r="G128" s="253" t="s">
        <v>1520</v>
      </c>
      <c r="H128" s="253" t="s">
        <v>1521</v>
      </c>
      <c r="I128" s="253" t="s">
        <v>344</v>
      </c>
      <c r="J128" s="253" t="s">
        <v>344</v>
      </c>
      <c r="K128" s="253" t="s">
        <v>344</v>
      </c>
      <c r="L128" s="253" t="s">
        <v>1325</v>
      </c>
      <c r="M128" s="366">
        <v>-9.36</v>
      </c>
      <c r="N128" s="366">
        <v>264870.49</v>
      </c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 spans="1:26" ht="15.75" customHeight="1">
      <c r="A129" s="268"/>
      <c r="B129" s="268" t="str">
        <f t="shared" si="0"/>
        <v>Sales</v>
      </c>
      <c r="C129" s="252"/>
      <c r="D129" s="253" t="s">
        <v>1522</v>
      </c>
      <c r="E129" s="375">
        <f t="shared" si="1"/>
        <v>46112</v>
      </c>
      <c r="F129" s="253" t="s">
        <v>1327</v>
      </c>
      <c r="G129" s="253" t="s">
        <v>1523</v>
      </c>
      <c r="H129" s="253" t="s">
        <v>1524</v>
      </c>
      <c r="I129" s="253" t="s">
        <v>344</v>
      </c>
      <c r="J129" s="253" t="s">
        <v>344</v>
      </c>
      <c r="K129" s="253" t="s">
        <v>344</v>
      </c>
      <c r="L129" s="253" t="s">
        <v>1325</v>
      </c>
      <c r="M129" s="366">
        <v>1125</v>
      </c>
      <c r="N129" s="366">
        <v>265995.49</v>
      </c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 spans="1:26" ht="15.75" customHeight="1">
      <c r="A130" s="268"/>
      <c r="B130" s="268" t="str">
        <f t="shared" si="0"/>
        <v>Sales</v>
      </c>
      <c r="C130" s="252"/>
      <c r="D130" s="253" t="s">
        <v>1522</v>
      </c>
      <c r="E130" s="375">
        <f t="shared" si="1"/>
        <v>46112</v>
      </c>
      <c r="F130" s="253" t="s">
        <v>1327</v>
      </c>
      <c r="G130" s="253" t="s">
        <v>1525</v>
      </c>
      <c r="H130" s="253" t="s">
        <v>1524</v>
      </c>
      <c r="I130" s="253" t="s">
        <v>344</v>
      </c>
      <c r="J130" s="253" t="s">
        <v>344</v>
      </c>
      <c r="K130" s="253" t="s">
        <v>344</v>
      </c>
      <c r="L130" s="253" t="s">
        <v>1325</v>
      </c>
      <c r="M130" s="366">
        <v>625</v>
      </c>
      <c r="N130" s="366">
        <v>266620.49</v>
      </c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 spans="1:26" ht="15.75" customHeight="1">
      <c r="A131" s="268"/>
      <c r="B131" s="268" t="str">
        <f t="shared" si="0"/>
        <v>Sales</v>
      </c>
      <c r="C131" s="252"/>
      <c r="D131" s="253" t="s">
        <v>1522</v>
      </c>
      <c r="E131" s="375">
        <f t="shared" si="1"/>
        <v>46112</v>
      </c>
      <c r="F131" s="253" t="s">
        <v>1327</v>
      </c>
      <c r="G131" s="253" t="s">
        <v>1526</v>
      </c>
      <c r="H131" s="253" t="s">
        <v>1364</v>
      </c>
      <c r="I131" s="253" t="s">
        <v>344</v>
      </c>
      <c r="J131" s="253" t="s">
        <v>344</v>
      </c>
      <c r="K131" s="253" t="s">
        <v>344</v>
      </c>
      <c r="L131" s="253" t="s">
        <v>1325</v>
      </c>
      <c r="M131" s="366">
        <v>1400</v>
      </c>
      <c r="N131" s="366">
        <v>268020.49</v>
      </c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 spans="1:26" ht="15.75" customHeight="1">
      <c r="A132" s="268"/>
      <c r="B132" s="268" t="str">
        <f t="shared" si="0"/>
        <v>Sales</v>
      </c>
      <c r="C132" s="252"/>
      <c r="D132" s="253" t="s">
        <v>1522</v>
      </c>
      <c r="E132" s="375">
        <f t="shared" si="1"/>
        <v>46112</v>
      </c>
      <c r="F132" s="253" t="s">
        <v>1327</v>
      </c>
      <c r="G132" s="253" t="s">
        <v>1527</v>
      </c>
      <c r="H132" s="253" t="s">
        <v>1528</v>
      </c>
      <c r="I132" s="253" t="s">
        <v>344</v>
      </c>
      <c r="J132" s="253" t="s">
        <v>344</v>
      </c>
      <c r="K132" s="253" t="s">
        <v>344</v>
      </c>
      <c r="L132" s="253" t="s">
        <v>1325</v>
      </c>
      <c r="M132" s="366">
        <v>4250</v>
      </c>
      <c r="N132" s="366">
        <v>272270.49</v>
      </c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 spans="1:26" ht="15.75" customHeight="1">
      <c r="A133" s="268"/>
      <c r="B133" s="268" t="str">
        <f t="shared" si="0"/>
        <v>Sales</v>
      </c>
      <c r="C133" s="252"/>
      <c r="D133" s="253" t="s">
        <v>1522</v>
      </c>
      <c r="E133" s="375">
        <f t="shared" si="1"/>
        <v>46112</v>
      </c>
      <c r="F133" s="253" t="s">
        <v>1327</v>
      </c>
      <c r="G133" s="253" t="s">
        <v>1529</v>
      </c>
      <c r="H133" s="253" t="s">
        <v>1528</v>
      </c>
      <c r="I133" s="253" t="s">
        <v>344</v>
      </c>
      <c r="J133" s="253" t="s">
        <v>344</v>
      </c>
      <c r="K133" s="253" t="s">
        <v>344</v>
      </c>
      <c r="L133" s="253" t="s">
        <v>1325</v>
      </c>
      <c r="M133" s="366">
        <v>1750</v>
      </c>
      <c r="N133" s="366">
        <v>274020.49</v>
      </c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 spans="1:26" ht="15.75" customHeight="1">
      <c r="A134" s="268"/>
      <c r="B134" s="268" t="str">
        <f t="shared" si="0"/>
        <v>Sales</v>
      </c>
      <c r="C134" s="252"/>
      <c r="D134" s="253" t="s">
        <v>1522</v>
      </c>
      <c r="E134" s="375">
        <f t="shared" si="1"/>
        <v>46112</v>
      </c>
      <c r="F134" s="253" t="s">
        <v>1327</v>
      </c>
      <c r="G134" s="253" t="s">
        <v>1530</v>
      </c>
      <c r="H134" s="253" t="s">
        <v>1528</v>
      </c>
      <c r="I134" s="253" t="s">
        <v>344</v>
      </c>
      <c r="J134" s="253" t="s">
        <v>344</v>
      </c>
      <c r="K134" s="253" t="s">
        <v>344</v>
      </c>
      <c r="L134" s="253" t="s">
        <v>1325</v>
      </c>
      <c r="M134" s="366">
        <v>1750</v>
      </c>
      <c r="N134" s="366">
        <v>275770.49</v>
      </c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 spans="1:26" ht="15.75" customHeight="1">
      <c r="A135" s="268"/>
      <c r="B135" s="268" t="str">
        <f t="shared" si="0"/>
        <v>Sales</v>
      </c>
      <c r="C135" s="252"/>
      <c r="D135" s="253" t="s">
        <v>1522</v>
      </c>
      <c r="E135" s="375">
        <f t="shared" si="1"/>
        <v>46112</v>
      </c>
      <c r="F135" s="253" t="s">
        <v>1327</v>
      </c>
      <c r="G135" s="253" t="s">
        <v>1531</v>
      </c>
      <c r="H135" s="253" t="s">
        <v>1528</v>
      </c>
      <c r="I135" s="253" t="s">
        <v>344</v>
      </c>
      <c r="J135" s="253" t="s">
        <v>344</v>
      </c>
      <c r="K135" s="253" t="s">
        <v>344</v>
      </c>
      <c r="L135" s="253" t="s">
        <v>1325</v>
      </c>
      <c r="M135" s="366">
        <v>275</v>
      </c>
      <c r="N135" s="366">
        <v>276045.49</v>
      </c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 spans="1:26" ht="15.75" customHeight="1">
      <c r="A136" s="268"/>
      <c r="B136" s="268" t="str">
        <f t="shared" si="0"/>
        <v>Sales</v>
      </c>
      <c r="C136" s="252"/>
      <c r="D136" s="253" t="s">
        <v>1522</v>
      </c>
      <c r="E136" s="375">
        <f t="shared" si="1"/>
        <v>46112</v>
      </c>
      <c r="F136" s="253" t="s">
        <v>1327</v>
      </c>
      <c r="G136" s="253" t="s">
        <v>1532</v>
      </c>
      <c r="H136" s="253" t="s">
        <v>1533</v>
      </c>
      <c r="I136" s="253" t="s">
        <v>344</v>
      </c>
      <c r="J136" s="253" t="s">
        <v>344</v>
      </c>
      <c r="K136" s="253" t="s">
        <v>344</v>
      </c>
      <c r="L136" s="253" t="s">
        <v>1325</v>
      </c>
      <c r="M136" s="366">
        <v>4500</v>
      </c>
      <c r="N136" s="366">
        <v>280545.49</v>
      </c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 spans="1:26" ht="15.75" customHeight="1">
      <c r="A137" s="268"/>
      <c r="B137" s="268" t="str">
        <f t="shared" si="0"/>
        <v>Sales</v>
      </c>
      <c r="C137" s="252"/>
      <c r="D137" s="253" t="s">
        <v>1522</v>
      </c>
      <c r="E137" s="375">
        <f t="shared" si="1"/>
        <v>46112</v>
      </c>
      <c r="F137" s="253" t="s">
        <v>1327</v>
      </c>
      <c r="G137" s="253" t="s">
        <v>1534</v>
      </c>
      <c r="H137" s="253" t="s">
        <v>1533</v>
      </c>
      <c r="I137" s="253" t="s">
        <v>344</v>
      </c>
      <c r="J137" s="253" t="s">
        <v>344</v>
      </c>
      <c r="K137" s="253" t="s">
        <v>344</v>
      </c>
      <c r="L137" s="253" t="s">
        <v>1325</v>
      </c>
      <c r="M137" s="366">
        <v>2000</v>
      </c>
      <c r="N137" s="366">
        <v>282545.49</v>
      </c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 spans="1:26" ht="15.75" customHeight="1">
      <c r="A138" s="268"/>
      <c r="B138" s="268" t="str">
        <f t="shared" si="0"/>
        <v>Sales</v>
      </c>
      <c r="C138" s="252"/>
      <c r="D138" s="253" t="s">
        <v>1522</v>
      </c>
      <c r="E138" s="375">
        <f t="shared" si="1"/>
        <v>46112</v>
      </c>
      <c r="F138" s="253" t="s">
        <v>1327</v>
      </c>
      <c r="G138" s="253" t="s">
        <v>1535</v>
      </c>
      <c r="H138" s="253" t="s">
        <v>1533</v>
      </c>
      <c r="I138" s="253" t="s">
        <v>344</v>
      </c>
      <c r="J138" s="253" t="s">
        <v>344</v>
      </c>
      <c r="K138" s="253" t="s">
        <v>344</v>
      </c>
      <c r="L138" s="253" t="s">
        <v>1325</v>
      </c>
      <c r="M138" s="366">
        <v>2000</v>
      </c>
      <c r="N138" s="366">
        <v>284545.49</v>
      </c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 spans="1:26" ht="15.75" customHeight="1">
      <c r="A139" s="268"/>
      <c r="B139" s="268" t="str">
        <f t="shared" si="0"/>
        <v>Sales</v>
      </c>
      <c r="C139" s="252"/>
      <c r="D139" s="253" t="s">
        <v>1522</v>
      </c>
      <c r="E139" s="375">
        <f t="shared" si="1"/>
        <v>46112</v>
      </c>
      <c r="F139" s="253" t="s">
        <v>1327</v>
      </c>
      <c r="G139" s="253" t="s">
        <v>1536</v>
      </c>
      <c r="H139" s="253" t="s">
        <v>1533</v>
      </c>
      <c r="I139" s="253" t="s">
        <v>344</v>
      </c>
      <c r="J139" s="253" t="s">
        <v>344</v>
      </c>
      <c r="K139" s="253" t="s">
        <v>344</v>
      </c>
      <c r="L139" s="253" t="s">
        <v>1325</v>
      </c>
      <c r="M139" s="366">
        <v>300</v>
      </c>
      <c r="N139" s="366">
        <v>284845.49</v>
      </c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 spans="1:26" ht="15.75" customHeight="1">
      <c r="A140" s="268"/>
      <c r="B140" s="268" t="str">
        <f t="shared" si="0"/>
        <v>Sales</v>
      </c>
      <c r="C140" s="252"/>
      <c r="D140" s="253" t="s">
        <v>1522</v>
      </c>
      <c r="E140" s="375">
        <f t="shared" si="1"/>
        <v>46112</v>
      </c>
      <c r="F140" s="253" t="s">
        <v>1327</v>
      </c>
      <c r="G140" s="253" t="s">
        <v>1537</v>
      </c>
      <c r="H140" s="253" t="s">
        <v>1538</v>
      </c>
      <c r="I140" s="253" t="s">
        <v>344</v>
      </c>
      <c r="J140" s="253" t="s">
        <v>344</v>
      </c>
      <c r="K140" s="253" t="s">
        <v>344</v>
      </c>
      <c r="L140" s="253" t="s">
        <v>1325</v>
      </c>
      <c r="M140" s="366">
        <v>1100</v>
      </c>
      <c r="N140" s="366">
        <v>285945.49</v>
      </c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 spans="1:26" ht="15.75" customHeight="1">
      <c r="A141" s="268"/>
      <c r="B141" s="268" t="str">
        <f t="shared" si="0"/>
        <v>Sales</v>
      </c>
      <c r="C141" s="252"/>
      <c r="D141" s="253" t="s">
        <v>1539</v>
      </c>
      <c r="E141" s="375">
        <f t="shared" si="1"/>
        <v>46112</v>
      </c>
      <c r="F141" s="253" t="s">
        <v>1322</v>
      </c>
      <c r="G141" s="253" t="s">
        <v>1540</v>
      </c>
      <c r="H141" s="253" t="s">
        <v>1541</v>
      </c>
      <c r="I141" s="253" t="s">
        <v>344</v>
      </c>
      <c r="J141" s="253" t="s">
        <v>344</v>
      </c>
      <c r="K141" s="253" t="s">
        <v>344</v>
      </c>
      <c r="L141" s="253" t="s">
        <v>1325</v>
      </c>
      <c r="M141" s="366">
        <v>-16.2</v>
      </c>
      <c r="N141" s="366">
        <v>285929.28999999998</v>
      </c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 spans="1:26" ht="15.75" customHeight="1">
      <c r="A142" s="268"/>
      <c r="B142" s="268" t="str">
        <f t="shared" si="0"/>
        <v>Sales</v>
      </c>
      <c r="C142" s="252"/>
      <c r="D142" s="253" t="s">
        <v>1542</v>
      </c>
      <c r="E142" s="375">
        <f t="shared" si="1"/>
        <v>46112</v>
      </c>
      <c r="F142" s="253" t="s">
        <v>1327</v>
      </c>
      <c r="G142" s="253" t="s">
        <v>1543</v>
      </c>
      <c r="H142" s="253" t="s">
        <v>1544</v>
      </c>
      <c r="I142" s="253" t="s">
        <v>344</v>
      </c>
      <c r="J142" s="253" t="s">
        <v>344</v>
      </c>
      <c r="K142" s="253" t="s">
        <v>344</v>
      </c>
      <c r="L142" s="253" t="s">
        <v>1325</v>
      </c>
      <c r="M142" s="366">
        <v>1750</v>
      </c>
      <c r="N142" s="366">
        <v>287679.28999999998</v>
      </c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 spans="1:26" ht="15.75" customHeight="1">
      <c r="A143" s="268"/>
      <c r="B143" s="268" t="str">
        <f t="shared" si="0"/>
        <v>Sales</v>
      </c>
      <c r="C143" s="252"/>
      <c r="D143" s="253" t="s">
        <v>1542</v>
      </c>
      <c r="E143" s="375">
        <f t="shared" si="1"/>
        <v>46112</v>
      </c>
      <c r="F143" s="253" t="s">
        <v>1327</v>
      </c>
      <c r="G143" s="253" t="s">
        <v>1545</v>
      </c>
      <c r="H143" s="253" t="s">
        <v>1546</v>
      </c>
      <c r="I143" s="253" t="s">
        <v>344</v>
      </c>
      <c r="J143" s="253" t="s">
        <v>344</v>
      </c>
      <c r="K143" s="253" t="s">
        <v>344</v>
      </c>
      <c r="L143" s="253" t="s">
        <v>1325</v>
      </c>
      <c r="M143" s="366">
        <v>7975</v>
      </c>
      <c r="N143" s="366">
        <v>295654.28999999998</v>
      </c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 spans="1:26" ht="15.75" customHeight="1">
      <c r="A144" s="268"/>
      <c r="B144" s="268" t="str">
        <f t="shared" si="0"/>
        <v>Sales</v>
      </c>
      <c r="C144" s="252"/>
      <c r="D144" s="253" t="s">
        <v>1542</v>
      </c>
      <c r="E144" s="375">
        <f t="shared" si="1"/>
        <v>46112</v>
      </c>
      <c r="F144" s="253" t="s">
        <v>1327</v>
      </c>
      <c r="G144" s="253" t="s">
        <v>1547</v>
      </c>
      <c r="H144" s="253" t="s">
        <v>1546</v>
      </c>
      <c r="I144" s="253" t="s">
        <v>344</v>
      </c>
      <c r="J144" s="253" t="s">
        <v>344</v>
      </c>
      <c r="K144" s="253" t="s">
        <v>344</v>
      </c>
      <c r="L144" s="253" t="s">
        <v>1325</v>
      </c>
      <c r="M144" s="366">
        <v>4475</v>
      </c>
      <c r="N144" s="366">
        <v>300129.28999999998</v>
      </c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 spans="1:26" ht="15.75" customHeight="1">
      <c r="A145" s="268"/>
      <c r="B145" s="268" t="str">
        <f t="shared" si="0"/>
        <v>Sales</v>
      </c>
      <c r="C145" s="252"/>
      <c r="D145" s="253" t="s">
        <v>1542</v>
      </c>
      <c r="E145" s="375">
        <f t="shared" si="1"/>
        <v>46112</v>
      </c>
      <c r="F145" s="253" t="s">
        <v>1327</v>
      </c>
      <c r="G145" s="253" t="s">
        <v>1548</v>
      </c>
      <c r="H145" s="253" t="s">
        <v>1546</v>
      </c>
      <c r="I145" s="253" t="s">
        <v>344</v>
      </c>
      <c r="J145" s="253" t="s">
        <v>344</v>
      </c>
      <c r="K145" s="253" t="s">
        <v>344</v>
      </c>
      <c r="L145" s="253" t="s">
        <v>1325</v>
      </c>
      <c r="M145" s="366">
        <v>4450</v>
      </c>
      <c r="N145" s="366">
        <v>304579.28999999998</v>
      </c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 spans="1:26" ht="15.75" customHeight="1">
      <c r="A146" s="268"/>
      <c r="B146" s="268" t="str">
        <f t="shared" si="0"/>
        <v>Sales</v>
      </c>
      <c r="C146" s="252"/>
      <c r="D146" s="253" t="s">
        <v>1542</v>
      </c>
      <c r="E146" s="375">
        <f t="shared" si="1"/>
        <v>46112</v>
      </c>
      <c r="F146" s="253" t="s">
        <v>1327</v>
      </c>
      <c r="G146" s="253" t="s">
        <v>1549</v>
      </c>
      <c r="H146" s="253" t="s">
        <v>1546</v>
      </c>
      <c r="I146" s="253" t="s">
        <v>344</v>
      </c>
      <c r="J146" s="253" t="s">
        <v>344</v>
      </c>
      <c r="K146" s="253" t="s">
        <v>344</v>
      </c>
      <c r="L146" s="253" t="s">
        <v>1325</v>
      </c>
      <c r="M146" s="366">
        <v>300</v>
      </c>
      <c r="N146" s="366">
        <v>304879.28999999998</v>
      </c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 spans="1:26" ht="15.75" customHeight="1">
      <c r="A147" s="268"/>
      <c r="B147" s="268" t="str">
        <f t="shared" si="0"/>
        <v>Sales</v>
      </c>
      <c r="C147" s="252"/>
      <c r="D147" s="253" t="s">
        <v>1550</v>
      </c>
      <c r="E147" s="375">
        <f t="shared" si="1"/>
        <v>46112</v>
      </c>
      <c r="F147" s="253" t="s">
        <v>1327</v>
      </c>
      <c r="G147" s="253" t="s">
        <v>1551</v>
      </c>
      <c r="H147" s="253" t="s">
        <v>1552</v>
      </c>
      <c r="I147" s="253" t="s">
        <v>344</v>
      </c>
      <c r="J147" s="253" t="s">
        <v>344</v>
      </c>
      <c r="K147" s="253" t="s">
        <v>344</v>
      </c>
      <c r="L147" s="253" t="s">
        <v>1325</v>
      </c>
      <c r="M147" s="366">
        <v>1125</v>
      </c>
      <c r="N147" s="366">
        <v>306004.28999999998</v>
      </c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 spans="1:26" ht="15.75" customHeight="1">
      <c r="A148" s="268"/>
      <c r="B148" s="268" t="str">
        <f t="shared" si="0"/>
        <v>Sales</v>
      </c>
      <c r="C148" s="252"/>
      <c r="D148" s="253" t="s">
        <v>1550</v>
      </c>
      <c r="E148" s="375">
        <f t="shared" si="1"/>
        <v>46112</v>
      </c>
      <c r="F148" s="253" t="s">
        <v>1327</v>
      </c>
      <c r="G148" s="253" t="s">
        <v>1553</v>
      </c>
      <c r="H148" s="253" t="s">
        <v>1552</v>
      </c>
      <c r="I148" s="253" t="s">
        <v>344</v>
      </c>
      <c r="J148" s="253" t="s">
        <v>344</v>
      </c>
      <c r="K148" s="253" t="s">
        <v>344</v>
      </c>
      <c r="L148" s="253" t="s">
        <v>1325</v>
      </c>
      <c r="M148" s="366">
        <v>625</v>
      </c>
      <c r="N148" s="366">
        <v>306629.28999999998</v>
      </c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 spans="1:26" ht="15.75" customHeight="1">
      <c r="A149" s="268"/>
      <c r="B149" s="268" t="str">
        <f t="shared" si="0"/>
        <v>Sales</v>
      </c>
      <c r="C149" s="252"/>
      <c r="D149" s="253" t="s">
        <v>1554</v>
      </c>
      <c r="E149" s="375">
        <f t="shared" si="1"/>
        <v>46112</v>
      </c>
      <c r="F149" s="253" t="s">
        <v>1327</v>
      </c>
      <c r="G149" s="253" t="s">
        <v>1555</v>
      </c>
      <c r="H149" s="253" t="s">
        <v>1556</v>
      </c>
      <c r="I149" s="253" t="s">
        <v>344</v>
      </c>
      <c r="J149" s="253" t="s">
        <v>344</v>
      </c>
      <c r="K149" s="253" t="s">
        <v>344</v>
      </c>
      <c r="L149" s="253" t="s">
        <v>1325</v>
      </c>
      <c r="M149" s="366">
        <v>4165</v>
      </c>
      <c r="N149" s="366">
        <v>310794.28999999998</v>
      </c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 spans="1:26" ht="15.75" customHeight="1">
      <c r="A150" s="268"/>
      <c r="B150" s="268" t="str">
        <f t="shared" si="0"/>
        <v>Sales</v>
      </c>
      <c r="C150" s="252"/>
      <c r="D150" s="253" t="s">
        <v>1554</v>
      </c>
      <c r="E150" s="375">
        <f t="shared" si="1"/>
        <v>46112</v>
      </c>
      <c r="F150" s="253" t="s">
        <v>1327</v>
      </c>
      <c r="G150" s="253" t="s">
        <v>1557</v>
      </c>
      <c r="H150" s="253" t="s">
        <v>1556</v>
      </c>
      <c r="I150" s="253" t="s">
        <v>344</v>
      </c>
      <c r="J150" s="253" t="s">
        <v>344</v>
      </c>
      <c r="K150" s="253" t="s">
        <v>344</v>
      </c>
      <c r="L150" s="253" t="s">
        <v>1325</v>
      </c>
      <c r="M150" s="366">
        <v>1665</v>
      </c>
      <c r="N150" s="366">
        <v>312459.28999999998</v>
      </c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 spans="1:26" ht="15.75" customHeight="1">
      <c r="A151" s="268"/>
      <c r="B151" s="268" t="str">
        <f t="shared" si="0"/>
        <v>Sales</v>
      </c>
      <c r="C151" s="252"/>
      <c r="D151" s="253" t="s">
        <v>1554</v>
      </c>
      <c r="E151" s="375">
        <f t="shared" si="1"/>
        <v>46112</v>
      </c>
      <c r="F151" s="253" t="s">
        <v>1327</v>
      </c>
      <c r="G151" s="253" t="s">
        <v>1558</v>
      </c>
      <c r="H151" s="253" t="s">
        <v>1556</v>
      </c>
      <c r="I151" s="253" t="s">
        <v>344</v>
      </c>
      <c r="J151" s="253" t="s">
        <v>344</v>
      </c>
      <c r="K151" s="253" t="s">
        <v>344</v>
      </c>
      <c r="L151" s="253" t="s">
        <v>1325</v>
      </c>
      <c r="M151" s="366">
        <v>1670</v>
      </c>
      <c r="N151" s="366">
        <v>314129.28999999998</v>
      </c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 spans="1:26" ht="15.75" customHeight="1">
      <c r="A152" s="268"/>
      <c r="B152" s="268" t="str">
        <f t="shared" si="0"/>
        <v>Sales</v>
      </c>
      <c r="C152" s="252"/>
      <c r="D152" s="253" t="s">
        <v>1554</v>
      </c>
      <c r="E152" s="375">
        <f t="shared" si="1"/>
        <v>46112</v>
      </c>
      <c r="F152" s="253" t="s">
        <v>1327</v>
      </c>
      <c r="G152" s="253" t="s">
        <v>1559</v>
      </c>
      <c r="H152" s="253" t="s">
        <v>1556</v>
      </c>
      <c r="I152" s="253" t="s">
        <v>344</v>
      </c>
      <c r="J152" s="253" t="s">
        <v>344</v>
      </c>
      <c r="K152" s="253" t="s">
        <v>344</v>
      </c>
      <c r="L152" s="253" t="s">
        <v>1325</v>
      </c>
      <c r="M152" s="366">
        <v>300</v>
      </c>
      <c r="N152" s="366">
        <v>314429.28999999998</v>
      </c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 spans="1:26" ht="15.75" customHeight="1">
      <c r="A153" s="268"/>
      <c r="B153" s="268" t="str">
        <f t="shared" si="0"/>
        <v>Sales</v>
      </c>
      <c r="C153" s="252"/>
      <c r="D153" s="253" t="s">
        <v>1560</v>
      </c>
      <c r="E153" s="375">
        <f t="shared" si="1"/>
        <v>46112</v>
      </c>
      <c r="F153" s="253" t="s">
        <v>1327</v>
      </c>
      <c r="G153" s="253" t="s">
        <v>1561</v>
      </c>
      <c r="H153" s="253" t="s">
        <v>1562</v>
      </c>
      <c r="I153" s="253" t="s">
        <v>344</v>
      </c>
      <c r="J153" s="253" t="s">
        <v>344</v>
      </c>
      <c r="K153" s="253" t="s">
        <v>344</v>
      </c>
      <c r="L153" s="253" t="s">
        <v>1325</v>
      </c>
      <c r="M153" s="366">
        <v>4500</v>
      </c>
      <c r="N153" s="366">
        <v>318929.28999999998</v>
      </c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 spans="1:26" ht="15.75" customHeight="1">
      <c r="A154" s="268"/>
      <c r="B154" s="268" t="str">
        <f t="shared" si="0"/>
        <v>Sales</v>
      </c>
      <c r="C154" s="252"/>
      <c r="D154" s="253" t="s">
        <v>1560</v>
      </c>
      <c r="E154" s="375">
        <f t="shared" si="1"/>
        <v>46112</v>
      </c>
      <c r="F154" s="253" t="s">
        <v>1327</v>
      </c>
      <c r="G154" s="253" t="s">
        <v>1563</v>
      </c>
      <c r="H154" s="253" t="s">
        <v>1562</v>
      </c>
      <c r="I154" s="253" t="s">
        <v>344</v>
      </c>
      <c r="J154" s="253" t="s">
        <v>344</v>
      </c>
      <c r="K154" s="253" t="s">
        <v>344</v>
      </c>
      <c r="L154" s="253" t="s">
        <v>1325</v>
      </c>
      <c r="M154" s="366">
        <v>2000</v>
      </c>
      <c r="N154" s="366">
        <v>320929.28999999998</v>
      </c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 spans="1:26" ht="15.75" customHeight="1">
      <c r="A155" s="268"/>
      <c r="B155" s="268" t="str">
        <f t="shared" si="0"/>
        <v>Sales</v>
      </c>
      <c r="C155" s="252"/>
      <c r="D155" s="253" t="s">
        <v>1560</v>
      </c>
      <c r="E155" s="375">
        <f t="shared" si="1"/>
        <v>46112</v>
      </c>
      <c r="F155" s="253" t="s">
        <v>1327</v>
      </c>
      <c r="G155" s="253" t="s">
        <v>1564</v>
      </c>
      <c r="H155" s="253" t="s">
        <v>1562</v>
      </c>
      <c r="I155" s="253" t="s">
        <v>344</v>
      </c>
      <c r="J155" s="253" t="s">
        <v>344</v>
      </c>
      <c r="K155" s="253" t="s">
        <v>344</v>
      </c>
      <c r="L155" s="253" t="s">
        <v>1325</v>
      </c>
      <c r="M155" s="366">
        <v>2000</v>
      </c>
      <c r="N155" s="366">
        <v>322929.28999999998</v>
      </c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 spans="1:26" ht="15.75" customHeight="1">
      <c r="A156" s="268"/>
      <c r="B156" s="268" t="str">
        <f t="shared" si="0"/>
        <v>Sales</v>
      </c>
      <c r="C156" s="252"/>
      <c r="D156" s="253" t="s">
        <v>1560</v>
      </c>
      <c r="E156" s="375">
        <f t="shared" si="1"/>
        <v>46112</v>
      </c>
      <c r="F156" s="253" t="s">
        <v>1327</v>
      </c>
      <c r="G156" s="253" t="s">
        <v>1565</v>
      </c>
      <c r="H156" s="253" t="s">
        <v>1562</v>
      </c>
      <c r="I156" s="253" t="s">
        <v>344</v>
      </c>
      <c r="J156" s="253" t="s">
        <v>344</v>
      </c>
      <c r="K156" s="253" t="s">
        <v>344</v>
      </c>
      <c r="L156" s="253" t="s">
        <v>1325</v>
      </c>
      <c r="M156" s="366">
        <v>300</v>
      </c>
      <c r="N156" s="366">
        <v>323229.28999999998</v>
      </c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 spans="1:26" ht="15.75" customHeight="1">
      <c r="A157" s="268"/>
      <c r="B157" s="268" t="str">
        <f t="shared" si="0"/>
        <v>Sales</v>
      </c>
      <c r="C157" s="252"/>
      <c r="D157" s="253" t="s">
        <v>1560</v>
      </c>
      <c r="E157" s="375">
        <f t="shared" si="1"/>
        <v>46112</v>
      </c>
      <c r="F157" s="253" t="s">
        <v>1327</v>
      </c>
      <c r="G157" s="253" t="s">
        <v>1566</v>
      </c>
      <c r="H157" s="253" t="s">
        <v>1567</v>
      </c>
      <c r="I157" s="253" t="s">
        <v>344</v>
      </c>
      <c r="J157" s="253" t="s">
        <v>344</v>
      </c>
      <c r="K157" s="253" t="s">
        <v>344</v>
      </c>
      <c r="L157" s="253" t="s">
        <v>1325</v>
      </c>
      <c r="M157" s="366">
        <v>4500</v>
      </c>
      <c r="N157" s="366">
        <v>327729.28999999998</v>
      </c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 spans="1:26" ht="15.75" customHeight="1">
      <c r="A158" s="268"/>
      <c r="B158" s="268" t="str">
        <f t="shared" si="0"/>
        <v>Sales</v>
      </c>
      <c r="C158" s="252"/>
      <c r="D158" s="253" t="s">
        <v>1560</v>
      </c>
      <c r="E158" s="375">
        <f t="shared" si="1"/>
        <v>46112</v>
      </c>
      <c r="F158" s="253" t="s">
        <v>1327</v>
      </c>
      <c r="G158" s="253" t="s">
        <v>1568</v>
      </c>
      <c r="H158" s="253" t="s">
        <v>1567</v>
      </c>
      <c r="I158" s="253" t="s">
        <v>344</v>
      </c>
      <c r="J158" s="253" t="s">
        <v>344</v>
      </c>
      <c r="K158" s="253" t="s">
        <v>344</v>
      </c>
      <c r="L158" s="253" t="s">
        <v>1325</v>
      </c>
      <c r="M158" s="366">
        <v>2000</v>
      </c>
      <c r="N158" s="366">
        <v>329729.28999999998</v>
      </c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 spans="1:26" ht="15.75" customHeight="1">
      <c r="A159" s="268"/>
      <c r="B159" s="268" t="str">
        <f t="shared" si="0"/>
        <v>Sales</v>
      </c>
      <c r="C159" s="252"/>
      <c r="D159" s="253" t="s">
        <v>1560</v>
      </c>
      <c r="E159" s="375">
        <f t="shared" si="1"/>
        <v>46112</v>
      </c>
      <c r="F159" s="253" t="s">
        <v>1327</v>
      </c>
      <c r="G159" s="253" t="s">
        <v>1569</v>
      </c>
      <c r="H159" s="253" t="s">
        <v>1567</v>
      </c>
      <c r="I159" s="253" t="s">
        <v>344</v>
      </c>
      <c r="J159" s="253" t="s">
        <v>344</v>
      </c>
      <c r="K159" s="253" t="s">
        <v>344</v>
      </c>
      <c r="L159" s="253" t="s">
        <v>1325</v>
      </c>
      <c r="M159" s="366">
        <v>2000</v>
      </c>
      <c r="N159" s="366">
        <v>331729.28999999998</v>
      </c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 spans="1:26" ht="15.75" customHeight="1">
      <c r="A160" s="268"/>
      <c r="B160" s="268" t="str">
        <f t="shared" si="0"/>
        <v>Sales</v>
      </c>
      <c r="C160" s="252"/>
      <c r="D160" s="253" t="s">
        <v>1560</v>
      </c>
      <c r="E160" s="375">
        <f t="shared" si="1"/>
        <v>46112</v>
      </c>
      <c r="F160" s="253" t="s">
        <v>1327</v>
      </c>
      <c r="G160" s="253" t="s">
        <v>1570</v>
      </c>
      <c r="H160" s="253" t="s">
        <v>1567</v>
      </c>
      <c r="I160" s="253" t="s">
        <v>344</v>
      </c>
      <c r="J160" s="253" t="s">
        <v>344</v>
      </c>
      <c r="K160" s="253" t="s">
        <v>344</v>
      </c>
      <c r="L160" s="253" t="s">
        <v>1325</v>
      </c>
      <c r="M160" s="366">
        <v>300</v>
      </c>
      <c r="N160" s="366">
        <v>332029.28999999998</v>
      </c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 spans="1:26" ht="15.75" customHeight="1">
      <c r="A161" s="268"/>
      <c r="B161" s="268" t="str">
        <f t="shared" si="0"/>
        <v>Sales</v>
      </c>
      <c r="C161" s="252"/>
      <c r="D161" s="253" t="s">
        <v>1571</v>
      </c>
      <c r="E161" s="375">
        <f t="shared" si="1"/>
        <v>46112</v>
      </c>
      <c r="F161" s="253" t="s">
        <v>1327</v>
      </c>
      <c r="G161" s="253" t="s">
        <v>1572</v>
      </c>
      <c r="H161" s="253" t="s">
        <v>1573</v>
      </c>
      <c r="I161" s="253" t="s">
        <v>344</v>
      </c>
      <c r="J161" s="253" t="s">
        <v>344</v>
      </c>
      <c r="K161" s="253" t="s">
        <v>344</v>
      </c>
      <c r="L161" s="253" t="s">
        <v>1325</v>
      </c>
      <c r="M161" s="366">
        <v>4166</v>
      </c>
      <c r="N161" s="366">
        <v>336195.29</v>
      </c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 spans="1:26" ht="15.75" customHeight="1">
      <c r="A162" s="268"/>
      <c r="B162" s="268" t="str">
        <f t="shared" si="0"/>
        <v>Sales</v>
      </c>
      <c r="C162" s="252"/>
      <c r="D162" s="253" t="s">
        <v>1571</v>
      </c>
      <c r="E162" s="375">
        <f t="shared" si="1"/>
        <v>46112</v>
      </c>
      <c r="F162" s="253" t="s">
        <v>1327</v>
      </c>
      <c r="G162" s="253" t="s">
        <v>1574</v>
      </c>
      <c r="H162" s="253" t="s">
        <v>1573</v>
      </c>
      <c r="I162" s="253" t="s">
        <v>344</v>
      </c>
      <c r="J162" s="253" t="s">
        <v>344</v>
      </c>
      <c r="K162" s="253" t="s">
        <v>344</v>
      </c>
      <c r="L162" s="253" t="s">
        <v>1325</v>
      </c>
      <c r="M162" s="366">
        <v>1667</v>
      </c>
      <c r="N162" s="366">
        <v>337862.29</v>
      </c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 spans="1:26" ht="15.75" customHeight="1">
      <c r="A163" s="268"/>
      <c r="B163" s="268" t="str">
        <f t="shared" si="0"/>
        <v>Sales</v>
      </c>
      <c r="C163" s="252"/>
      <c r="D163" s="253" t="s">
        <v>1571</v>
      </c>
      <c r="E163" s="375">
        <f t="shared" si="1"/>
        <v>46112</v>
      </c>
      <c r="F163" s="253" t="s">
        <v>1327</v>
      </c>
      <c r="G163" s="253" t="s">
        <v>1575</v>
      </c>
      <c r="H163" s="253" t="s">
        <v>1573</v>
      </c>
      <c r="I163" s="253" t="s">
        <v>344</v>
      </c>
      <c r="J163" s="253" t="s">
        <v>344</v>
      </c>
      <c r="K163" s="253" t="s">
        <v>344</v>
      </c>
      <c r="L163" s="253" t="s">
        <v>1325</v>
      </c>
      <c r="M163" s="366">
        <v>1667</v>
      </c>
      <c r="N163" s="366">
        <v>339529.29</v>
      </c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 spans="1:26" ht="15.75" customHeight="1">
      <c r="A164" s="268"/>
      <c r="B164" s="268" t="str">
        <f t="shared" si="0"/>
        <v>Sales</v>
      </c>
      <c r="C164" s="252"/>
      <c r="D164" s="253" t="s">
        <v>1571</v>
      </c>
      <c r="E164" s="375">
        <f t="shared" si="1"/>
        <v>46112</v>
      </c>
      <c r="F164" s="253" t="s">
        <v>1327</v>
      </c>
      <c r="G164" s="253" t="s">
        <v>1576</v>
      </c>
      <c r="H164" s="253" t="s">
        <v>1573</v>
      </c>
      <c r="I164" s="253" t="s">
        <v>344</v>
      </c>
      <c r="J164" s="253" t="s">
        <v>344</v>
      </c>
      <c r="K164" s="253" t="s">
        <v>344</v>
      </c>
      <c r="L164" s="253" t="s">
        <v>1325</v>
      </c>
      <c r="M164" s="366">
        <v>275</v>
      </c>
      <c r="N164" s="366">
        <v>339804.29</v>
      </c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 spans="1:26" ht="15.75" customHeight="1">
      <c r="A165" s="268"/>
      <c r="B165" s="268" t="str">
        <f t="shared" si="0"/>
        <v>Sales</v>
      </c>
      <c r="C165" s="252"/>
      <c r="D165" s="253" t="s">
        <v>1571</v>
      </c>
      <c r="E165" s="375">
        <f t="shared" si="1"/>
        <v>46112</v>
      </c>
      <c r="F165" s="253" t="s">
        <v>1327</v>
      </c>
      <c r="G165" s="253" t="s">
        <v>1577</v>
      </c>
      <c r="H165" s="253" t="s">
        <v>1578</v>
      </c>
      <c r="I165" s="253" t="s">
        <v>344</v>
      </c>
      <c r="J165" s="253" t="s">
        <v>344</v>
      </c>
      <c r="K165" s="253" t="s">
        <v>344</v>
      </c>
      <c r="L165" s="253" t="s">
        <v>1325</v>
      </c>
      <c r="M165" s="366">
        <v>4833</v>
      </c>
      <c r="N165" s="366">
        <v>344637.29</v>
      </c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 spans="1:26" ht="15.75" customHeight="1">
      <c r="A166" s="268"/>
      <c r="B166" s="268" t="str">
        <f t="shared" si="0"/>
        <v>Sales</v>
      </c>
      <c r="C166" s="252"/>
      <c r="D166" s="253" t="s">
        <v>1571</v>
      </c>
      <c r="E166" s="375">
        <f t="shared" si="1"/>
        <v>46112</v>
      </c>
      <c r="F166" s="253" t="s">
        <v>1327</v>
      </c>
      <c r="G166" s="253" t="s">
        <v>1579</v>
      </c>
      <c r="H166" s="253" t="s">
        <v>1578</v>
      </c>
      <c r="I166" s="253" t="s">
        <v>344</v>
      </c>
      <c r="J166" s="253" t="s">
        <v>344</v>
      </c>
      <c r="K166" s="253" t="s">
        <v>344</v>
      </c>
      <c r="L166" s="253" t="s">
        <v>1325</v>
      </c>
      <c r="M166" s="366">
        <v>2333</v>
      </c>
      <c r="N166" s="366">
        <v>346970.29</v>
      </c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 spans="1:26" ht="15.75" customHeight="1">
      <c r="A167" s="268"/>
      <c r="B167" s="268" t="str">
        <f t="shared" si="0"/>
        <v>Sales</v>
      </c>
      <c r="C167" s="252"/>
      <c r="D167" s="253" t="s">
        <v>1571</v>
      </c>
      <c r="E167" s="375">
        <f t="shared" si="1"/>
        <v>46112</v>
      </c>
      <c r="F167" s="253" t="s">
        <v>1327</v>
      </c>
      <c r="G167" s="253" t="s">
        <v>1580</v>
      </c>
      <c r="H167" s="253" t="s">
        <v>1578</v>
      </c>
      <c r="I167" s="253" t="s">
        <v>344</v>
      </c>
      <c r="J167" s="253" t="s">
        <v>344</v>
      </c>
      <c r="K167" s="253" t="s">
        <v>344</v>
      </c>
      <c r="L167" s="253" t="s">
        <v>1325</v>
      </c>
      <c r="M167" s="366">
        <v>2334</v>
      </c>
      <c r="N167" s="366">
        <v>349304.29</v>
      </c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 spans="1:26" ht="15.75" customHeight="1">
      <c r="A168" s="268"/>
      <c r="B168" s="268" t="str">
        <f t="shared" si="0"/>
        <v>Sales</v>
      </c>
      <c r="C168" s="252"/>
      <c r="D168" s="253" t="s">
        <v>1571</v>
      </c>
      <c r="E168" s="375">
        <f t="shared" si="1"/>
        <v>46112</v>
      </c>
      <c r="F168" s="253" t="s">
        <v>1327</v>
      </c>
      <c r="G168" s="253" t="s">
        <v>1581</v>
      </c>
      <c r="H168" s="253" t="s">
        <v>1582</v>
      </c>
      <c r="I168" s="253" t="s">
        <v>344</v>
      </c>
      <c r="J168" s="253" t="s">
        <v>344</v>
      </c>
      <c r="K168" s="253" t="s">
        <v>344</v>
      </c>
      <c r="L168" s="253" t="s">
        <v>1325</v>
      </c>
      <c r="M168" s="366">
        <v>4500</v>
      </c>
      <c r="N168" s="366">
        <v>353804.29</v>
      </c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 spans="1:26" ht="15.75" customHeight="1">
      <c r="A169" s="268"/>
      <c r="B169" s="268" t="str">
        <f t="shared" si="0"/>
        <v>Sales</v>
      </c>
      <c r="C169" s="252"/>
      <c r="D169" s="253" t="s">
        <v>1571</v>
      </c>
      <c r="E169" s="375">
        <f t="shared" si="1"/>
        <v>46112</v>
      </c>
      <c r="F169" s="253" t="s">
        <v>1327</v>
      </c>
      <c r="G169" s="253" t="s">
        <v>1583</v>
      </c>
      <c r="H169" s="253" t="s">
        <v>1582</v>
      </c>
      <c r="I169" s="253" t="s">
        <v>344</v>
      </c>
      <c r="J169" s="253" t="s">
        <v>344</v>
      </c>
      <c r="K169" s="253" t="s">
        <v>344</v>
      </c>
      <c r="L169" s="253" t="s">
        <v>1325</v>
      </c>
      <c r="M169" s="366">
        <v>2000</v>
      </c>
      <c r="N169" s="366">
        <v>355804.29</v>
      </c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 spans="1:26" ht="15.75" customHeight="1">
      <c r="A170" s="268"/>
      <c r="B170" s="268" t="str">
        <f t="shared" si="0"/>
        <v>Sales</v>
      </c>
      <c r="C170" s="252"/>
      <c r="D170" s="253" t="s">
        <v>1571</v>
      </c>
      <c r="E170" s="375">
        <f t="shared" si="1"/>
        <v>46112</v>
      </c>
      <c r="F170" s="253" t="s">
        <v>1327</v>
      </c>
      <c r="G170" s="253" t="s">
        <v>1584</v>
      </c>
      <c r="H170" s="253" t="s">
        <v>1582</v>
      </c>
      <c r="I170" s="253" t="s">
        <v>344</v>
      </c>
      <c r="J170" s="253" t="s">
        <v>344</v>
      </c>
      <c r="K170" s="253" t="s">
        <v>344</v>
      </c>
      <c r="L170" s="253" t="s">
        <v>1325</v>
      </c>
      <c r="M170" s="366">
        <v>2000</v>
      </c>
      <c r="N170" s="366">
        <v>357804.29</v>
      </c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 spans="1:26" ht="15.75" customHeight="1">
      <c r="A171" s="268"/>
      <c r="B171" s="268" t="str">
        <f t="shared" si="0"/>
        <v>Sales</v>
      </c>
      <c r="C171" s="252"/>
      <c r="D171" s="253" t="s">
        <v>1571</v>
      </c>
      <c r="E171" s="375">
        <f t="shared" si="1"/>
        <v>46112</v>
      </c>
      <c r="F171" s="253" t="s">
        <v>1327</v>
      </c>
      <c r="G171" s="253" t="s">
        <v>1585</v>
      </c>
      <c r="H171" s="253" t="s">
        <v>1582</v>
      </c>
      <c r="I171" s="253" t="s">
        <v>344</v>
      </c>
      <c r="J171" s="253" t="s">
        <v>344</v>
      </c>
      <c r="K171" s="253" t="s">
        <v>344</v>
      </c>
      <c r="L171" s="253" t="s">
        <v>1325</v>
      </c>
      <c r="M171" s="366">
        <v>300</v>
      </c>
      <c r="N171" s="366">
        <v>358104.29</v>
      </c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 spans="1:26" ht="15.75" customHeight="1">
      <c r="A172" s="268"/>
      <c r="B172" s="268" t="str">
        <f t="shared" si="0"/>
        <v>Sales</v>
      </c>
      <c r="C172" s="252"/>
      <c r="D172" s="253" t="s">
        <v>1586</v>
      </c>
      <c r="E172" s="375">
        <f t="shared" si="1"/>
        <v>46112</v>
      </c>
      <c r="F172" s="253" t="s">
        <v>1327</v>
      </c>
      <c r="G172" s="253" t="s">
        <v>1587</v>
      </c>
      <c r="H172" s="253" t="s">
        <v>1588</v>
      </c>
      <c r="I172" s="253" t="s">
        <v>344</v>
      </c>
      <c r="J172" s="253" t="s">
        <v>344</v>
      </c>
      <c r="K172" s="253" t="s">
        <v>344</v>
      </c>
      <c r="L172" s="253" t="s">
        <v>1325</v>
      </c>
      <c r="M172" s="366">
        <v>275</v>
      </c>
      <c r="N172" s="366">
        <v>358379.29</v>
      </c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 spans="1:26" ht="15.75" customHeight="1">
      <c r="A173" s="268"/>
      <c r="B173" s="268" t="str">
        <f t="shared" si="0"/>
        <v>Sales</v>
      </c>
      <c r="C173" s="252"/>
      <c r="D173" s="253" t="s">
        <v>1586</v>
      </c>
      <c r="E173" s="375">
        <f t="shared" si="1"/>
        <v>46112</v>
      </c>
      <c r="F173" s="253" t="s">
        <v>1327</v>
      </c>
      <c r="G173" s="253" t="s">
        <v>1589</v>
      </c>
      <c r="H173" s="253" t="s">
        <v>1573</v>
      </c>
      <c r="I173" s="253" t="s">
        <v>344</v>
      </c>
      <c r="J173" s="253" t="s">
        <v>344</v>
      </c>
      <c r="K173" s="253" t="s">
        <v>344</v>
      </c>
      <c r="L173" s="253" t="s">
        <v>1325</v>
      </c>
      <c r="M173" s="366">
        <v>550</v>
      </c>
      <c r="N173" s="366">
        <v>358929.29</v>
      </c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 spans="1:26" ht="15.75" customHeight="1">
      <c r="A174" s="268"/>
      <c r="B174" s="268" t="str">
        <f t="shared" si="0"/>
        <v>Sales</v>
      </c>
      <c r="C174" s="252"/>
      <c r="D174" s="253" t="s">
        <v>1586</v>
      </c>
      <c r="E174" s="375">
        <f t="shared" si="1"/>
        <v>46112</v>
      </c>
      <c r="F174" s="253" t="s">
        <v>1322</v>
      </c>
      <c r="G174" s="253" t="s">
        <v>1590</v>
      </c>
      <c r="H174" s="253" t="s">
        <v>1504</v>
      </c>
      <c r="I174" s="253" t="s">
        <v>344</v>
      </c>
      <c r="J174" s="253" t="s">
        <v>344</v>
      </c>
      <c r="K174" s="253" t="s">
        <v>344</v>
      </c>
      <c r="L174" s="253" t="s">
        <v>1325</v>
      </c>
      <c r="M174" s="366">
        <v>-34.99</v>
      </c>
      <c r="N174" s="366">
        <v>358894.3</v>
      </c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 spans="1:26" ht="15.75" customHeight="1">
      <c r="A175" s="268"/>
      <c r="B175" s="268" t="str">
        <f t="shared" si="0"/>
        <v>Sales</v>
      </c>
      <c r="C175" s="252"/>
      <c r="D175" s="253" t="s">
        <v>1591</v>
      </c>
      <c r="E175" s="375">
        <f t="shared" si="1"/>
        <v>46142</v>
      </c>
      <c r="F175" s="253" t="s">
        <v>1322</v>
      </c>
      <c r="G175" s="253" t="s">
        <v>1592</v>
      </c>
      <c r="H175" s="253" t="s">
        <v>1357</v>
      </c>
      <c r="I175" s="253" t="s">
        <v>344</v>
      </c>
      <c r="J175" s="253" t="s">
        <v>344</v>
      </c>
      <c r="K175" s="253" t="s">
        <v>344</v>
      </c>
      <c r="L175" s="253" t="s">
        <v>1325</v>
      </c>
      <c r="M175" s="366">
        <v>-32.4</v>
      </c>
      <c r="N175" s="366">
        <v>358861.89999999997</v>
      </c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 spans="1:26" ht="15.75" customHeight="1">
      <c r="A176" s="268"/>
      <c r="B176" s="268" t="str">
        <f t="shared" si="0"/>
        <v>Sales</v>
      </c>
      <c r="C176" s="252"/>
      <c r="D176" s="253" t="s">
        <v>1593</v>
      </c>
      <c r="E176" s="375">
        <f t="shared" si="1"/>
        <v>46142</v>
      </c>
      <c r="F176" s="253" t="s">
        <v>1322</v>
      </c>
      <c r="G176" s="253" t="s">
        <v>1594</v>
      </c>
      <c r="H176" s="253" t="s">
        <v>1595</v>
      </c>
      <c r="I176" s="253" t="s">
        <v>344</v>
      </c>
      <c r="J176" s="253" t="s">
        <v>344</v>
      </c>
      <c r="K176" s="253" t="s">
        <v>344</v>
      </c>
      <c r="L176" s="253" t="s">
        <v>1325</v>
      </c>
      <c r="M176" s="366">
        <v>-1.34</v>
      </c>
      <c r="N176" s="366">
        <v>358860.55999999994</v>
      </c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 spans="1:26" ht="15.75" customHeight="1">
      <c r="A177" s="268"/>
      <c r="B177" s="268" t="str">
        <f t="shared" si="0"/>
        <v>Sales</v>
      </c>
      <c r="C177" s="252"/>
      <c r="D177" s="253" t="s">
        <v>1593</v>
      </c>
      <c r="E177" s="375">
        <f t="shared" si="1"/>
        <v>46142</v>
      </c>
      <c r="F177" s="253" t="s">
        <v>1322</v>
      </c>
      <c r="G177" s="253" t="s">
        <v>1596</v>
      </c>
      <c r="H177" s="253" t="s">
        <v>1597</v>
      </c>
      <c r="I177" s="253" t="s">
        <v>344</v>
      </c>
      <c r="J177" s="253" t="s">
        <v>344</v>
      </c>
      <c r="K177" s="253" t="s">
        <v>344</v>
      </c>
      <c r="L177" s="253" t="s">
        <v>1325</v>
      </c>
      <c r="M177" s="366">
        <v>-35.340000000000003</v>
      </c>
      <c r="N177" s="366">
        <v>358825.21999999991</v>
      </c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 spans="1:26" ht="15.75" customHeight="1">
      <c r="A178" s="268"/>
      <c r="B178" s="268" t="str">
        <f t="shared" si="0"/>
        <v>Sales</v>
      </c>
      <c r="C178" s="252"/>
      <c r="D178" s="253" t="s">
        <v>1598</v>
      </c>
      <c r="E178" s="375">
        <f t="shared" si="1"/>
        <v>46142</v>
      </c>
      <c r="F178" s="253" t="s">
        <v>1327</v>
      </c>
      <c r="G178" s="253" t="s">
        <v>1599</v>
      </c>
      <c r="H178" s="253" t="s">
        <v>1600</v>
      </c>
      <c r="I178" s="253" t="s">
        <v>344</v>
      </c>
      <c r="J178" s="253" t="s">
        <v>344</v>
      </c>
      <c r="K178" s="253" t="s">
        <v>344</v>
      </c>
      <c r="L178" s="253" t="s">
        <v>1325</v>
      </c>
      <c r="M178" s="366">
        <v>4165</v>
      </c>
      <c r="N178" s="366">
        <v>362990.21999999991</v>
      </c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 spans="1:26" ht="15.75" customHeight="1">
      <c r="A179" s="268"/>
      <c r="B179" s="268" t="str">
        <f t="shared" si="0"/>
        <v>Sales</v>
      </c>
      <c r="C179" s="252"/>
      <c r="D179" s="253" t="s">
        <v>1598</v>
      </c>
      <c r="E179" s="375">
        <f t="shared" si="1"/>
        <v>46142</v>
      </c>
      <c r="F179" s="253" t="s">
        <v>1327</v>
      </c>
      <c r="G179" s="253" t="s">
        <v>1601</v>
      </c>
      <c r="H179" s="253" t="s">
        <v>1600</v>
      </c>
      <c r="I179" s="253" t="s">
        <v>344</v>
      </c>
      <c r="J179" s="253" t="s">
        <v>344</v>
      </c>
      <c r="K179" s="253" t="s">
        <v>344</v>
      </c>
      <c r="L179" s="253" t="s">
        <v>1325</v>
      </c>
      <c r="M179" s="366">
        <v>1665</v>
      </c>
      <c r="N179" s="366">
        <v>364655.21999999991</v>
      </c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 spans="1:26" ht="15.75" customHeight="1">
      <c r="A180" s="268"/>
      <c r="B180" s="268" t="str">
        <f t="shared" si="0"/>
        <v>Sales</v>
      </c>
      <c r="C180" s="252"/>
      <c r="D180" s="253" t="s">
        <v>1598</v>
      </c>
      <c r="E180" s="375">
        <f t="shared" si="1"/>
        <v>46142</v>
      </c>
      <c r="F180" s="253" t="s">
        <v>1327</v>
      </c>
      <c r="G180" s="253" t="s">
        <v>1602</v>
      </c>
      <c r="H180" s="253" t="s">
        <v>1600</v>
      </c>
      <c r="I180" s="253" t="s">
        <v>344</v>
      </c>
      <c r="J180" s="253" t="s">
        <v>344</v>
      </c>
      <c r="K180" s="253" t="s">
        <v>344</v>
      </c>
      <c r="L180" s="253" t="s">
        <v>1325</v>
      </c>
      <c r="M180" s="366">
        <v>1670</v>
      </c>
      <c r="N180" s="366">
        <v>366325.21999999991</v>
      </c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 spans="1:26" ht="15.75" customHeight="1">
      <c r="A181" s="268"/>
      <c r="B181" s="268" t="str">
        <f t="shared" si="0"/>
        <v>Sales</v>
      </c>
      <c r="C181" s="252"/>
      <c r="D181" s="253" t="s">
        <v>1598</v>
      </c>
      <c r="E181" s="375">
        <f t="shared" si="1"/>
        <v>46142</v>
      </c>
      <c r="F181" s="253" t="s">
        <v>1327</v>
      </c>
      <c r="G181" s="253" t="s">
        <v>1603</v>
      </c>
      <c r="H181" s="253" t="s">
        <v>1600</v>
      </c>
      <c r="I181" s="253" t="s">
        <v>344</v>
      </c>
      <c r="J181" s="253" t="s">
        <v>344</v>
      </c>
      <c r="K181" s="253" t="s">
        <v>344</v>
      </c>
      <c r="L181" s="253" t="s">
        <v>1325</v>
      </c>
      <c r="M181" s="366">
        <v>275</v>
      </c>
      <c r="N181" s="366">
        <v>366600.21999999991</v>
      </c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 spans="1:26" ht="15.75" customHeight="1">
      <c r="A182" s="268"/>
      <c r="B182" s="268" t="str">
        <f t="shared" si="0"/>
        <v>Sales</v>
      </c>
      <c r="C182" s="252"/>
      <c r="D182" s="253" t="s">
        <v>1598</v>
      </c>
      <c r="E182" s="375">
        <f t="shared" si="1"/>
        <v>46142</v>
      </c>
      <c r="F182" s="253" t="s">
        <v>1327</v>
      </c>
      <c r="G182" s="253" t="s">
        <v>1604</v>
      </c>
      <c r="H182" s="253" t="s">
        <v>1605</v>
      </c>
      <c r="I182" s="253" t="s">
        <v>344</v>
      </c>
      <c r="J182" s="253" t="s">
        <v>344</v>
      </c>
      <c r="K182" s="253" t="s">
        <v>344</v>
      </c>
      <c r="L182" s="253" t="s">
        <v>1325</v>
      </c>
      <c r="M182" s="366">
        <v>550</v>
      </c>
      <c r="N182" s="366">
        <v>367150.21999999991</v>
      </c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 spans="1:26" ht="15.75" customHeight="1">
      <c r="A183" s="268"/>
      <c r="B183" s="268" t="str">
        <f t="shared" si="0"/>
        <v>Sales</v>
      </c>
      <c r="C183" s="252"/>
      <c r="D183" s="253" t="s">
        <v>1598</v>
      </c>
      <c r="E183" s="375">
        <f t="shared" si="1"/>
        <v>46142</v>
      </c>
      <c r="F183" s="253" t="s">
        <v>1327</v>
      </c>
      <c r="G183" s="253" t="s">
        <v>1606</v>
      </c>
      <c r="H183" s="253" t="s">
        <v>1607</v>
      </c>
      <c r="I183" s="253" t="s">
        <v>344</v>
      </c>
      <c r="J183" s="253" t="s">
        <v>344</v>
      </c>
      <c r="K183" s="253" t="s">
        <v>344</v>
      </c>
      <c r="L183" s="253" t="s">
        <v>1325</v>
      </c>
      <c r="M183" s="366">
        <v>4335</v>
      </c>
      <c r="N183" s="366">
        <v>371485.21999999991</v>
      </c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 spans="1:26" ht="15.75" customHeight="1">
      <c r="A184" s="268"/>
      <c r="B184" s="268" t="str">
        <f t="shared" si="0"/>
        <v>Sales</v>
      </c>
      <c r="C184" s="252"/>
      <c r="D184" s="253" t="s">
        <v>1598</v>
      </c>
      <c r="E184" s="375">
        <f t="shared" si="1"/>
        <v>46142</v>
      </c>
      <c r="F184" s="253" t="s">
        <v>1327</v>
      </c>
      <c r="G184" s="253" t="s">
        <v>1608</v>
      </c>
      <c r="H184" s="253" t="s">
        <v>1607</v>
      </c>
      <c r="I184" s="253" t="s">
        <v>344</v>
      </c>
      <c r="J184" s="253" t="s">
        <v>344</v>
      </c>
      <c r="K184" s="253" t="s">
        <v>344</v>
      </c>
      <c r="L184" s="253" t="s">
        <v>1325</v>
      </c>
      <c r="M184" s="366">
        <v>1835</v>
      </c>
      <c r="N184" s="366">
        <v>373320.21999999991</v>
      </c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 spans="1:26" ht="15.75" customHeight="1">
      <c r="A185" s="268"/>
      <c r="B185" s="268" t="str">
        <f t="shared" si="0"/>
        <v>Sales</v>
      </c>
      <c r="C185" s="252"/>
      <c r="D185" s="253" t="s">
        <v>1598</v>
      </c>
      <c r="E185" s="375">
        <f t="shared" si="1"/>
        <v>46142</v>
      </c>
      <c r="F185" s="253" t="s">
        <v>1327</v>
      </c>
      <c r="G185" s="253" t="s">
        <v>1609</v>
      </c>
      <c r="H185" s="253" t="s">
        <v>1607</v>
      </c>
      <c r="I185" s="253" t="s">
        <v>344</v>
      </c>
      <c r="J185" s="253" t="s">
        <v>344</v>
      </c>
      <c r="K185" s="253" t="s">
        <v>344</v>
      </c>
      <c r="L185" s="253" t="s">
        <v>1325</v>
      </c>
      <c r="M185" s="366">
        <v>1830</v>
      </c>
      <c r="N185" s="366">
        <v>375150.21999999991</v>
      </c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 spans="1:26" ht="15.75" customHeight="1">
      <c r="A186" s="268"/>
      <c r="B186" s="268" t="str">
        <f t="shared" si="0"/>
        <v>Sales</v>
      </c>
      <c r="C186" s="252"/>
      <c r="D186" s="253" t="s">
        <v>1598</v>
      </c>
      <c r="E186" s="375">
        <f t="shared" si="1"/>
        <v>46142</v>
      </c>
      <c r="F186" s="253" t="s">
        <v>1327</v>
      </c>
      <c r="G186" s="253" t="s">
        <v>1610</v>
      </c>
      <c r="H186" s="253" t="s">
        <v>1607</v>
      </c>
      <c r="I186" s="253" t="s">
        <v>344</v>
      </c>
      <c r="J186" s="253" t="s">
        <v>344</v>
      </c>
      <c r="K186" s="253" t="s">
        <v>344</v>
      </c>
      <c r="L186" s="253" t="s">
        <v>1325</v>
      </c>
      <c r="M186" s="366">
        <v>300</v>
      </c>
      <c r="N186" s="366">
        <v>375450.21999999991</v>
      </c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 spans="1:26" ht="15.75" customHeight="1">
      <c r="A187" s="268"/>
      <c r="B187" s="268" t="str">
        <f t="shared" si="0"/>
        <v>Sales</v>
      </c>
      <c r="C187" s="252"/>
      <c r="D187" s="253" t="s">
        <v>1598</v>
      </c>
      <c r="E187" s="375">
        <f t="shared" si="1"/>
        <v>46142</v>
      </c>
      <c r="F187" s="253" t="s">
        <v>1327</v>
      </c>
      <c r="G187" s="253" t="s">
        <v>1611</v>
      </c>
      <c r="H187" s="253" t="s">
        <v>1612</v>
      </c>
      <c r="I187" s="253" t="s">
        <v>344</v>
      </c>
      <c r="J187" s="253" t="s">
        <v>344</v>
      </c>
      <c r="K187" s="253" t="s">
        <v>344</v>
      </c>
      <c r="L187" s="253" t="s">
        <v>1325</v>
      </c>
      <c r="M187" s="366">
        <v>4335</v>
      </c>
      <c r="N187" s="366">
        <v>379785.21999999991</v>
      </c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 spans="1:26" ht="15.75" customHeight="1">
      <c r="A188" s="268"/>
      <c r="B188" s="268" t="str">
        <f t="shared" si="0"/>
        <v>Sales</v>
      </c>
      <c r="C188" s="252"/>
      <c r="D188" s="253" t="s">
        <v>1598</v>
      </c>
      <c r="E188" s="375">
        <f t="shared" si="1"/>
        <v>46142</v>
      </c>
      <c r="F188" s="253" t="s">
        <v>1327</v>
      </c>
      <c r="G188" s="253" t="s">
        <v>1613</v>
      </c>
      <c r="H188" s="253" t="s">
        <v>1612</v>
      </c>
      <c r="I188" s="253" t="s">
        <v>344</v>
      </c>
      <c r="J188" s="253" t="s">
        <v>344</v>
      </c>
      <c r="K188" s="253" t="s">
        <v>344</v>
      </c>
      <c r="L188" s="253" t="s">
        <v>1325</v>
      </c>
      <c r="M188" s="366">
        <v>1835</v>
      </c>
      <c r="N188" s="366">
        <v>381620.21999999991</v>
      </c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 spans="1:26" ht="15.75" customHeight="1">
      <c r="A189" s="268"/>
      <c r="B189" s="268" t="str">
        <f t="shared" si="0"/>
        <v>Sales</v>
      </c>
      <c r="C189" s="252"/>
      <c r="D189" s="253" t="s">
        <v>1598</v>
      </c>
      <c r="E189" s="375">
        <f t="shared" si="1"/>
        <v>46142</v>
      </c>
      <c r="F189" s="253" t="s">
        <v>1327</v>
      </c>
      <c r="G189" s="253" t="s">
        <v>1614</v>
      </c>
      <c r="H189" s="253" t="s">
        <v>1612</v>
      </c>
      <c r="I189" s="253" t="s">
        <v>344</v>
      </c>
      <c r="J189" s="253" t="s">
        <v>344</v>
      </c>
      <c r="K189" s="253" t="s">
        <v>344</v>
      </c>
      <c r="L189" s="253" t="s">
        <v>1325</v>
      </c>
      <c r="M189" s="366">
        <v>1830</v>
      </c>
      <c r="N189" s="366">
        <v>383450.21999999991</v>
      </c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 spans="1:26" ht="15.75" customHeight="1">
      <c r="A190" s="268"/>
      <c r="B190" s="268" t="str">
        <f t="shared" si="0"/>
        <v>Sales</v>
      </c>
      <c r="C190" s="252"/>
      <c r="D190" s="253" t="s">
        <v>1598</v>
      </c>
      <c r="E190" s="375">
        <f t="shared" si="1"/>
        <v>46142</v>
      </c>
      <c r="F190" s="253" t="s">
        <v>1327</v>
      </c>
      <c r="G190" s="253" t="s">
        <v>1615</v>
      </c>
      <c r="H190" s="253" t="s">
        <v>1612</v>
      </c>
      <c r="I190" s="253" t="s">
        <v>344</v>
      </c>
      <c r="J190" s="253" t="s">
        <v>344</v>
      </c>
      <c r="K190" s="253" t="s">
        <v>344</v>
      </c>
      <c r="L190" s="253" t="s">
        <v>1325</v>
      </c>
      <c r="M190" s="366">
        <v>300</v>
      </c>
      <c r="N190" s="366">
        <v>383750.21999999991</v>
      </c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 spans="1:26" ht="15.75" customHeight="1">
      <c r="A191" s="268"/>
      <c r="B191" s="268" t="str">
        <f t="shared" si="0"/>
        <v>Sales</v>
      </c>
      <c r="C191" s="252"/>
      <c r="D191" s="253" t="s">
        <v>1598</v>
      </c>
      <c r="E191" s="375">
        <f t="shared" si="1"/>
        <v>46142</v>
      </c>
      <c r="F191" s="253" t="s">
        <v>1327</v>
      </c>
      <c r="G191" s="253" t="s">
        <v>1616</v>
      </c>
      <c r="H191" s="253" t="s">
        <v>1617</v>
      </c>
      <c r="I191" s="253" t="s">
        <v>344</v>
      </c>
      <c r="J191" s="253" t="s">
        <v>344</v>
      </c>
      <c r="K191" s="253" t="s">
        <v>344</v>
      </c>
      <c r="L191" s="253" t="s">
        <v>1325</v>
      </c>
      <c r="M191" s="366">
        <v>4500</v>
      </c>
      <c r="N191" s="366">
        <v>388250.21999999991</v>
      </c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 spans="1:26" ht="15.75" customHeight="1">
      <c r="A192" s="268"/>
      <c r="B192" s="268" t="str">
        <f t="shared" si="0"/>
        <v>Sales</v>
      </c>
      <c r="C192" s="252"/>
      <c r="D192" s="253" t="s">
        <v>1598</v>
      </c>
      <c r="E192" s="375">
        <f t="shared" si="1"/>
        <v>46142</v>
      </c>
      <c r="F192" s="253" t="s">
        <v>1327</v>
      </c>
      <c r="G192" s="253" t="s">
        <v>1618</v>
      </c>
      <c r="H192" s="253" t="s">
        <v>1617</v>
      </c>
      <c r="I192" s="253" t="s">
        <v>344</v>
      </c>
      <c r="J192" s="253" t="s">
        <v>344</v>
      </c>
      <c r="K192" s="253" t="s">
        <v>344</v>
      </c>
      <c r="L192" s="253" t="s">
        <v>1325</v>
      </c>
      <c r="M192" s="366">
        <v>2000</v>
      </c>
      <c r="N192" s="366">
        <v>390250.21999999991</v>
      </c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 spans="1:26" ht="15.75" customHeight="1">
      <c r="A193" s="268"/>
      <c r="B193" s="268" t="str">
        <f t="shared" si="0"/>
        <v>Sales</v>
      </c>
      <c r="C193" s="252"/>
      <c r="D193" s="253" t="s">
        <v>1598</v>
      </c>
      <c r="E193" s="375">
        <f t="shared" si="1"/>
        <v>46142</v>
      </c>
      <c r="F193" s="253" t="s">
        <v>1327</v>
      </c>
      <c r="G193" s="253" t="s">
        <v>1619</v>
      </c>
      <c r="H193" s="253" t="s">
        <v>1617</v>
      </c>
      <c r="I193" s="253" t="s">
        <v>344</v>
      </c>
      <c r="J193" s="253" t="s">
        <v>344</v>
      </c>
      <c r="K193" s="253" t="s">
        <v>344</v>
      </c>
      <c r="L193" s="253" t="s">
        <v>1325</v>
      </c>
      <c r="M193" s="366">
        <v>2000</v>
      </c>
      <c r="N193" s="366">
        <v>392250.21999999991</v>
      </c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 spans="1:26" ht="15.75" customHeight="1">
      <c r="A194" s="268"/>
      <c r="B194" s="268" t="str">
        <f t="shared" si="0"/>
        <v>Sales</v>
      </c>
      <c r="C194" s="252"/>
      <c r="D194" s="253" t="s">
        <v>1598</v>
      </c>
      <c r="E194" s="375">
        <f t="shared" si="1"/>
        <v>46142</v>
      </c>
      <c r="F194" s="253" t="s">
        <v>1327</v>
      </c>
      <c r="G194" s="253" t="s">
        <v>1620</v>
      </c>
      <c r="H194" s="253" t="s">
        <v>1617</v>
      </c>
      <c r="I194" s="253" t="s">
        <v>344</v>
      </c>
      <c r="J194" s="253" t="s">
        <v>344</v>
      </c>
      <c r="K194" s="253" t="s">
        <v>344</v>
      </c>
      <c r="L194" s="253" t="s">
        <v>1325</v>
      </c>
      <c r="M194" s="366">
        <v>300</v>
      </c>
      <c r="N194" s="366">
        <v>392550.21999999991</v>
      </c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 spans="1:26" ht="15.75" customHeight="1">
      <c r="A195" s="268"/>
      <c r="B195" s="268" t="str">
        <f t="shared" si="0"/>
        <v>Sales</v>
      </c>
      <c r="C195" s="252"/>
      <c r="D195" s="253" t="s">
        <v>1598</v>
      </c>
      <c r="E195" s="375">
        <f t="shared" si="1"/>
        <v>46142</v>
      </c>
      <c r="F195" s="253" t="s">
        <v>1327</v>
      </c>
      <c r="G195" s="253" t="s">
        <v>1621</v>
      </c>
      <c r="H195" s="253" t="s">
        <v>1622</v>
      </c>
      <c r="I195" s="253" t="s">
        <v>344</v>
      </c>
      <c r="J195" s="253" t="s">
        <v>344</v>
      </c>
      <c r="K195" s="253" t="s">
        <v>344</v>
      </c>
      <c r="L195" s="253" t="s">
        <v>1325</v>
      </c>
      <c r="M195" s="366">
        <v>4420</v>
      </c>
      <c r="N195" s="366">
        <v>396970.21999999991</v>
      </c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 spans="1:26" ht="15.75" customHeight="1">
      <c r="A196" s="268"/>
      <c r="B196" s="268" t="str">
        <f t="shared" si="0"/>
        <v>Sales</v>
      </c>
      <c r="C196" s="252"/>
      <c r="D196" s="253" t="s">
        <v>1598</v>
      </c>
      <c r="E196" s="375">
        <f t="shared" si="1"/>
        <v>46142</v>
      </c>
      <c r="F196" s="253" t="s">
        <v>1327</v>
      </c>
      <c r="G196" s="253" t="s">
        <v>1623</v>
      </c>
      <c r="H196" s="253" t="s">
        <v>1622</v>
      </c>
      <c r="I196" s="253" t="s">
        <v>344</v>
      </c>
      <c r="J196" s="253" t="s">
        <v>344</v>
      </c>
      <c r="K196" s="253" t="s">
        <v>344</v>
      </c>
      <c r="L196" s="253" t="s">
        <v>1325</v>
      </c>
      <c r="M196" s="366">
        <v>1920</v>
      </c>
      <c r="N196" s="366">
        <v>398890.21999999991</v>
      </c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 spans="1:26" ht="15.75" customHeight="1">
      <c r="A197" s="268"/>
      <c r="B197" s="268" t="str">
        <f t="shared" si="0"/>
        <v>Sales</v>
      </c>
      <c r="C197" s="252"/>
      <c r="D197" s="253" t="s">
        <v>1598</v>
      </c>
      <c r="E197" s="375">
        <f t="shared" si="1"/>
        <v>46142</v>
      </c>
      <c r="F197" s="253" t="s">
        <v>1327</v>
      </c>
      <c r="G197" s="253" t="s">
        <v>1624</v>
      </c>
      <c r="H197" s="253" t="s">
        <v>1622</v>
      </c>
      <c r="I197" s="253" t="s">
        <v>344</v>
      </c>
      <c r="J197" s="253" t="s">
        <v>344</v>
      </c>
      <c r="K197" s="253" t="s">
        <v>344</v>
      </c>
      <c r="L197" s="253" t="s">
        <v>1325</v>
      </c>
      <c r="M197" s="366">
        <v>1910</v>
      </c>
      <c r="N197" s="366">
        <v>400800.21999999991</v>
      </c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 spans="1:26" ht="15.75" customHeight="1">
      <c r="A198" s="268"/>
      <c r="B198" s="268" t="str">
        <f t="shared" si="0"/>
        <v>Sales</v>
      </c>
      <c r="C198" s="252"/>
      <c r="D198" s="253" t="s">
        <v>1625</v>
      </c>
      <c r="E198" s="375">
        <f t="shared" si="1"/>
        <v>46142</v>
      </c>
      <c r="F198" s="253" t="s">
        <v>1327</v>
      </c>
      <c r="G198" s="253" t="s">
        <v>1626</v>
      </c>
      <c r="H198" s="253" t="s">
        <v>1627</v>
      </c>
      <c r="I198" s="253" t="s">
        <v>344</v>
      </c>
      <c r="J198" s="253" t="s">
        <v>344</v>
      </c>
      <c r="K198" s="253" t="s">
        <v>344</v>
      </c>
      <c r="L198" s="253" t="s">
        <v>1325</v>
      </c>
      <c r="M198" s="366">
        <v>8250</v>
      </c>
      <c r="N198" s="366">
        <v>409050.21999999991</v>
      </c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 spans="1:26" ht="15.75" customHeight="1">
      <c r="A199" s="268"/>
      <c r="B199" s="268" t="str">
        <f t="shared" si="0"/>
        <v>Sales</v>
      </c>
      <c r="C199" s="252"/>
      <c r="D199" s="253" t="s">
        <v>1625</v>
      </c>
      <c r="E199" s="375">
        <f t="shared" si="1"/>
        <v>46142</v>
      </c>
      <c r="F199" s="253" t="s">
        <v>1327</v>
      </c>
      <c r="G199" s="253" t="s">
        <v>1628</v>
      </c>
      <c r="H199" s="253" t="s">
        <v>1627</v>
      </c>
      <c r="I199" s="253" t="s">
        <v>344</v>
      </c>
      <c r="J199" s="253" t="s">
        <v>344</v>
      </c>
      <c r="K199" s="253" t="s">
        <v>344</v>
      </c>
      <c r="L199" s="253" t="s">
        <v>1325</v>
      </c>
      <c r="M199" s="366">
        <v>275</v>
      </c>
      <c r="N199" s="366">
        <v>409325.21999999991</v>
      </c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 spans="1:26" ht="15.75" customHeight="1">
      <c r="A200" s="268"/>
      <c r="B200" s="268" t="str">
        <f t="shared" si="0"/>
        <v>Sales</v>
      </c>
      <c r="C200" s="252"/>
      <c r="D200" s="253" t="s">
        <v>1625</v>
      </c>
      <c r="E200" s="375">
        <f t="shared" si="1"/>
        <v>46142</v>
      </c>
      <c r="F200" s="253" t="s">
        <v>1327</v>
      </c>
      <c r="G200" s="253" t="s">
        <v>1629</v>
      </c>
      <c r="H200" s="253" t="s">
        <v>1630</v>
      </c>
      <c r="I200" s="253" t="s">
        <v>344</v>
      </c>
      <c r="J200" s="253" t="s">
        <v>344</v>
      </c>
      <c r="K200" s="253" t="s">
        <v>344</v>
      </c>
      <c r="L200" s="253" t="s">
        <v>1325</v>
      </c>
      <c r="M200" s="366">
        <v>4500</v>
      </c>
      <c r="N200" s="366">
        <v>413825.21999999991</v>
      </c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 spans="1:26" ht="15.75" customHeight="1">
      <c r="A201" s="268"/>
      <c r="B201" s="268" t="str">
        <f t="shared" si="0"/>
        <v>Sales</v>
      </c>
      <c r="C201" s="252"/>
      <c r="D201" s="253" t="s">
        <v>1625</v>
      </c>
      <c r="E201" s="375">
        <f t="shared" si="1"/>
        <v>46142</v>
      </c>
      <c r="F201" s="253" t="s">
        <v>1327</v>
      </c>
      <c r="G201" s="253" t="s">
        <v>1631</v>
      </c>
      <c r="H201" s="253" t="s">
        <v>1630</v>
      </c>
      <c r="I201" s="253" t="s">
        <v>344</v>
      </c>
      <c r="J201" s="253" t="s">
        <v>344</v>
      </c>
      <c r="K201" s="253" t="s">
        <v>344</v>
      </c>
      <c r="L201" s="253" t="s">
        <v>1325</v>
      </c>
      <c r="M201" s="366">
        <v>2000</v>
      </c>
      <c r="N201" s="366">
        <v>415825.21999999991</v>
      </c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 spans="1:26" ht="15.75" customHeight="1">
      <c r="A202" s="268"/>
      <c r="B202" s="268" t="str">
        <f t="shared" si="0"/>
        <v>Sales</v>
      </c>
      <c r="C202" s="252"/>
      <c r="D202" s="253" t="s">
        <v>1625</v>
      </c>
      <c r="E202" s="375">
        <f t="shared" si="1"/>
        <v>46142</v>
      </c>
      <c r="F202" s="253" t="s">
        <v>1327</v>
      </c>
      <c r="G202" s="253" t="s">
        <v>1632</v>
      </c>
      <c r="H202" s="253" t="s">
        <v>1630</v>
      </c>
      <c r="I202" s="253" t="s">
        <v>344</v>
      </c>
      <c r="J202" s="253" t="s">
        <v>344</v>
      </c>
      <c r="K202" s="253" t="s">
        <v>344</v>
      </c>
      <c r="L202" s="253" t="s">
        <v>1325</v>
      </c>
      <c r="M202" s="366">
        <v>2000</v>
      </c>
      <c r="N202" s="366">
        <v>417825.21999999991</v>
      </c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 spans="1:26" ht="15.75" customHeight="1">
      <c r="A203" s="268"/>
      <c r="B203" s="268" t="str">
        <f t="shared" si="0"/>
        <v>Sales</v>
      </c>
      <c r="C203" s="252"/>
      <c r="D203" s="253" t="s">
        <v>1625</v>
      </c>
      <c r="E203" s="375">
        <f t="shared" si="1"/>
        <v>46142</v>
      </c>
      <c r="F203" s="253" t="s">
        <v>1327</v>
      </c>
      <c r="G203" s="253" t="s">
        <v>1633</v>
      </c>
      <c r="H203" s="253" t="s">
        <v>1630</v>
      </c>
      <c r="I203" s="253" t="s">
        <v>344</v>
      </c>
      <c r="J203" s="253" t="s">
        <v>344</v>
      </c>
      <c r="K203" s="253" t="s">
        <v>344</v>
      </c>
      <c r="L203" s="253" t="s">
        <v>1325</v>
      </c>
      <c r="M203" s="366">
        <v>300</v>
      </c>
      <c r="N203" s="366">
        <v>418125.21999999991</v>
      </c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 spans="1:26" ht="15.75" customHeight="1">
      <c r="A204" s="268"/>
      <c r="B204" s="268" t="str">
        <f t="shared" si="0"/>
        <v>Sales</v>
      </c>
      <c r="C204" s="252"/>
      <c r="D204" s="253" t="s">
        <v>1625</v>
      </c>
      <c r="E204" s="375">
        <f t="shared" si="1"/>
        <v>46142</v>
      </c>
      <c r="F204" s="253" t="s">
        <v>1322</v>
      </c>
      <c r="G204" s="253" t="s">
        <v>1634</v>
      </c>
      <c r="H204" s="253" t="s">
        <v>1635</v>
      </c>
      <c r="I204" s="253" t="s">
        <v>344</v>
      </c>
      <c r="J204" s="253" t="s">
        <v>344</v>
      </c>
      <c r="K204" s="253" t="s">
        <v>344</v>
      </c>
      <c r="L204" s="253" t="s">
        <v>1325</v>
      </c>
      <c r="M204" s="366">
        <v>-0.45</v>
      </c>
      <c r="N204" s="366">
        <v>418124.7699999999</v>
      </c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 spans="1:26" ht="15.75" customHeight="1">
      <c r="A205" s="268"/>
      <c r="B205" s="268" t="str">
        <f t="shared" si="0"/>
        <v>Sales</v>
      </c>
      <c r="C205" s="252"/>
      <c r="D205" s="253" t="s">
        <v>1636</v>
      </c>
      <c r="E205" s="375">
        <f t="shared" si="1"/>
        <v>46142</v>
      </c>
      <c r="F205" s="253" t="s">
        <v>1327</v>
      </c>
      <c r="G205" s="253" t="s">
        <v>1637</v>
      </c>
      <c r="H205" s="253" t="s">
        <v>1617</v>
      </c>
      <c r="I205" s="253" t="s">
        <v>344</v>
      </c>
      <c r="J205" s="253" t="s">
        <v>344</v>
      </c>
      <c r="K205" s="253" t="s">
        <v>344</v>
      </c>
      <c r="L205" s="253" t="s">
        <v>1325</v>
      </c>
      <c r="M205" s="366">
        <v>1100</v>
      </c>
      <c r="N205" s="366">
        <v>419224.7699999999</v>
      </c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 spans="1:26" ht="15.75" customHeight="1">
      <c r="A206" s="268"/>
      <c r="B206" s="268" t="str">
        <f t="shared" si="0"/>
        <v>Sales</v>
      </c>
      <c r="C206" s="252"/>
      <c r="D206" s="253" t="s">
        <v>1636</v>
      </c>
      <c r="E206" s="375">
        <f t="shared" si="1"/>
        <v>46142</v>
      </c>
      <c r="F206" s="253" t="s">
        <v>1327</v>
      </c>
      <c r="G206" s="253" t="s">
        <v>1638</v>
      </c>
      <c r="H206" s="253" t="s">
        <v>1639</v>
      </c>
      <c r="I206" s="253" t="s">
        <v>344</v>
      </c>
      <c r="J206" s="253" t="s">
        <v>344</v>
      </c>
      <c r="K206" s="253" t="s">
        <v>344</v>
      </c>
      <c r="L206" s="253" t="s">
        <v>1325</v>
      </c>
      <c r="M206" s="366">
        <v>1400</v>
      </c>
      <c r="N206" s="366">
        <v>420624.7699999999</v>
      </c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 spans="1:26" ht="15.75" customHeight="1">
      <c r="A207" s="268"/>
      <c r="B207" s="268" t="str">
        <f t="shared" si="0"/>
        <v>Sales</v>
      </c>
      <c r="C207" s="252"/>
      <c r="D207" s="253" t="s">
        <v>1636</v>
      </c>
      <c r="E207" s="375">
        <f t="shared" si="1"/>
        <v>46142</v>
      </c>
      <c r="F207" s="253" t="s">
        <v>1327</v>
      </c>
      <c r="G207" s="253" t="s">
        <v>1640</v>
      </c>
      <c r="H207" s="253" t="s">
        <v>1562</v>
      </c>
      <c r="I207" s="253" t="s">
        <v>344</v>
      </c>
      <c r="J207" s="253" t="s">
        <v>344</v>
      </c>
      <c r="K207" s="253" t="s">
        <v>344</v>
      </c>
      <c r="L207" s="253" t="s">
        <v>1325</v>
      </c>
      <c r="M207" s="366">
        <v>1400</v>
      </c>
      <c r="N207" s="366">
        <v>422024.7699999999</v>
      </c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 spans="1:26" ht="15.75" customHeight="1">
      <c r="A208" s="268"/>
      <c r="B208" s="268" t="str">
        <f t="shared" si="0"/>
        <v>Sales</v>
      </c>
      <c r="C208" s="252"/>
      <c r="D208" s="253" t="s">
        <v>1641</v>
      </c>
      <c r="E208" s="375">
        <f t="shared" si="1"/>
        <v>46142</v>
      </c>
      <c r="F208" s="253" t="s">
        <v>1327</v>
      </c>
      <c r="G208" s="253" t="s">
        <v>1642</v>
      </c>
      <c r="H208" s="253" t="s">
        <v>1643</v>
      </c>
      <c r="I208" s="253" t="s">
        <v>344</v>
      </c>
      <c r="J208" s="253" t="s">
        <v>344</v>
      </c>
      <c r="K208" s="253" t="s">
        <v>344</v>
      </c>
      <c r="L208" s="253" t="s">
        <v>1325</v>
      </c>
      <c r="M208" s="366">
        <v>1100</v>
      </c>
      <c r="N208" s="366">
        <v>423124.7699999999</v>
      </c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 spans="1:26" ht="15.75" customHeight="1">
      <c r="A209" s="268"/>
      <c r="B209" s="268" t="str">
        <f t="shared" si="0"/>
        <v>Sales</v>
      </c>
      <c r="C209" s="252"/>
      <c r="D209" s="253" t="s">
        <v>1641</v>
      </c>
      <c r="E209" s="375">
        <f t="shared" si="1"/>
        <v>46142</v>
      </c>
      <c r="F209" s="253" t="s">
        <v>1327</v>
      </c>
      <c r="G209" s="253" t="s">
        <v>1644</v>
      </c>
      <c r="H209" s="253" t="s">
        <v>1645</v>
      </c>
      <c r="I209" s="253" t="s">
        <v>344</v>
      </c>
      <c r="J209" s="253" t="s">
        <v>344</v>
      </c>
      <c r="K209" s="253" t="s">
        <v>758</v>
      </c>
      <c r="L209" s="253" t="s">
        <v>1325</v>
      </c>
      <c r="M209" s="366">
        <v>4000</v>
      </c>
      <c r="N209" s="366">
        <v>427124.7699999999</v>
      </c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 spans="1:26" ht="15.75" customHeight="1">
      <c r="A210" s="268"/>
      <c r="B210" s="268" t="str">
        <f t="shared" si="0"/>
        <v>Sales</v>
      </c>
      <c r="C210" s="252"/>
      <c r="D210" s="253" t="s">
        <v>1641</v>
      </c>
      <c r="E210" s="375">
        <f t="shared" si="1"/>
        <v>46142</v>
      </c>
      <c r="F210" s="253" t="s">
        <v>1327</v>
      </c>
      <c r="G210" s="253" t="s">
        <v>1644</v>
      </c>
      <c r="H210" s="253" t="s">
        <v>1645</v>
      </c>
      <c r="I210" s="253" t="s">
        <v>344</v>
      </c>
      <c r="J210" s="253" t="s">
        <v>344</v>
      </c>
      <c r="K210" s="253" t="s">
        <v>344</v>
      </c>
      <c r="L210" s="253" t="s">
        <v>1325</v>
      </c>
      <c r="M210" s="366">
        <v>600</v>
      </c>
      <c r="N210" s="366">
        <v>427724.7699999999</v>
      </c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 spans="1:26" ht="15.75" customHeight="1">
      <c r="A211" s="268"/>
      <c r="B211" s="268" t="str">
        <f t="shared" si="0"/>
        <v>Sales</v>
      </c>
      <c r="C211" s="252"/>
      <c r="D211" s="253" t="s">
        <v>1646</v>
      </c>
      <c r="E211" s="375">
        <f t="shared" si="1"/>
        <v>46142</v>
      </c>
      <c r="F211" s="253" t="s">
        <v>1327</v>
      </c>
      <c r="G211" s="253" t="s">
        <v>1647</v>
      </c>
      <c r="H211" s="253" t="s">
        <v>1648</v>
      </c>
      <c r="I211" s="253" t="s">
        <v>344</v>
      </c>
      <c r="J211" s="253" t="s">
        <v>344</v>
      </c>
      <c r="K211" s="253" t="s">
        <v>344</v>
      </c>
      <c r="L211" s="253" t="s">
        <v>1325</v>
      </c>
      <c r="M211" s="366">
        <v>2350</v>
      </c>
      <c r="N211" s="366">
        <v>430074.7699999999</v>
      </c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 spans="1:26" ht="15.75" customHeight="1">
      <c r="A212" s="268"/>
      <c r="B212" s="268" t="str">
        <f t="shared" si="0"/>
        <v>Sales</v>
      </c>
      <c r="C212" s="252"/>
      <c r="D212" s="253" t="s">
        <v>1646</v>
      </c>
      <c r="E212" s="375">
        <f t="shared" si="1"/>
        <v>46142</v>
      </c>
      <c r="F212" s="253" t="s">
        <v>1327</v>
      </c>
      <c r="G212" s="253" t="s">
        <v>1649</v>
      </c>
      <c r="H212" s="253" t="s">
        <v>1648</v>
      </c>
      <c r="I212" s="253" t="s">
        <v>344</v>
      </c>
      <c r="J212" s="253" t="s">
        <v>344</v>
      </c>
      <c r="K212" s="253" t="s">
        <v>344</v>
      </c>
      <c r="L212" s="253" t="s">
        <v>1325</v>
      </c>
      <c r="M212" s="366">
        <v>850</v>
      </c>
      <c r="N212" s="366">
        <v>430924.7699999999</v>
      </c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 spans="1:26" ht="15.75" customHeight="1">
      <c r="A213" s="268"/>
      <c r="B213" s="268" t="str">
        <f t="shared" si="0"/>
        <v>Sales</v>
      </c>
      <c r="C213" s="252"/>
      <c r="D213" s="253" t="s">
        <v>1646</v>
      </c>
      <c r="E213" s="375">
        <f t="shared" si="1"/>
        <v>46142</v>
      </c>
      <c r="F213" s="253" t="s">
        <v>1327</v>
      </c>
      <c r="G213" s="253" t="s">
        <v>1650</v>
      </c>
      <c r="H213" s="253" t="s">
        <v>1651</v>
      </c>
      <c r="I213" s="253" t="s">
        <v>344</v>
      </c>
      <c r="J213" s="253" t="s">
        <v>344</v>
      </c>
      <c r="K213" s="253" t="s">
        <v>344</v>
      </c>
      <c r="L213" s="253" t="s">
        <v>1325</v>
      </c>
      <c r="M213" s="366">
        <v>1125</v>
      </c>
      <c r="N213" s="366">
        <v>432049.7699999999</v>
      </c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 spans="1:26" ht="15.75" customHeight="1">
      <c r="A214" s="268"/>
      <c r="B214" s="268" t="str">
        <f t="shared" si="0"/>
        <v>Sales</v>
      </c>
      <c r="C214" s="252"/>
      <c r="D214" s="253" t="s">
        <v>1646</v>
      </c>
      <c r="E214" s="375">
        <f t="shared" si="1"/>
        <v>46142</v>
      </c>
      <c r="F214" s="253" t="s">
        <v>1327</v>
      </c>
      <c r="G214" s="253" t="s">
        <v>1652</v>
      </c>
      <c r="H214" s="253" t="s">
        <v>1651</v>
      </c>
      <c r="I214" s="253" t="s">
        <v>344</v>
      </c>
      <c r="J214" s="253" t="s">
        <v>344</v>
      </c>
      <c r="K214" s="253" t="s">
        <v>344</v>
      </c>
      <c r="L214" s="253" t="s">
        <v>1325</v>
      </c>
      <c r="M214" s="366">
        <v>625</v>
      </c>
      <c r="N214" s="366">
        <v>432674.7699999999</v>
      </c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 spans="1:26" ht="15.75" customHeight="1">
      <c r="A215" s="268"/>
      <c r="B215" s="268" t="str">
        <f t="shared" si="0"/>
        <v>Sales</v>
      </c>
      <c r="C215" s="252"/>
      <c r="D215" s="253" t="s">
        <v>1646</v>
      </c>
      <c r="E215" s="375">
        <f t="shared" si="1"/>
        <v>46142</v>
      </c>
      <c r="F215" s="253" t="s">
        <v>1327</v>
      </c>
      <c r="G215" s="253" t="s">
        <v>1653</v>
      </c>
      <c r="H215" s="253" t="s">
        <v>1651</v>
      </c>
      <c r="I215" s="253" t="s">
        <v>344</v>
      </c>
      <c r="J215" s="253" t="s">
        <v>344</v>
      </c>
      <c r="K215" s="253" t="s">
        <v>344</v>
      </c>
      <c r="L215" s="253" t="s">
        <v>1325</v>
      </c>
      <c r="M215" s="366">
        <v>550</v>
      </c>
      <c r="N215" s="366">
        <v>433224.7699999999</v>
      </c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 spans="1:26" ht="15.75" customHeight="1">
      <c r="A216" s="268"/>
      <c r="B216" s="268" t="str">
        <f t="shared" si="0"/>
        <v>Sales</v>
      </c>
      <c r="C216" s="252"/>
      <c r="D216" s="253" t="s">
        <v>1646</v>
      </c>
      <c r="E216" s="375">
        <f t="shared" si="1"/>
        <v>46142</v>
      </c>
      <c r="F216" s="253" t="s">
        <v>1327</v>
      </c>
      <c r="G216" s="253" t="s">
        <v>1654</v>
      </c>
      <c r="H216" s="253" t="s">
        <v>1655</v>
      </c>
      <c r="I216" s="253" t="s">
        <v>344</v>
      </c>
      <c r="J216" s="253" t="s">
        <v>344</v>
      </c>
      <c r="K216" s="253" t="s">
        <v>344</v>
      </c>
      <c r="L216" s="253" t="s">
        <v>1325</v>
      </c>
      <c r="M216" s="366">
        <v>275</v>
      </c>
      <c r="N216" s="366">
        <v>433499.7699999999</v>
      </c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 spans="1:26" ht="15.75" customHeight="1">
      <c r="A217" s="268"/>
      <c r="B217" s="268" t="str">
        <f t="shared" si="0"/>
        <v>Sales</v>
      </c>
      <c r="C217" s="252"/>
      <c r="D217" s="253" t="s">
        <v>1656</v>
      </c>
      <c r="E217" s="375">
        <f t="shared" si="1"/>
        <v>46142</v>
      </c>
      <c r="F217" s="253" t="s">
        <v>1327</v>
      </c>
      <c r="G217" s="253" t="s">
        <v>1657</v>
      </c>
      <c r="H217" s="253" t="s">
        <v>1658</v>
      </c>
      <c r="I217" s="253" t="s">
        <v>344</v>
      </c>
      <c r="J217" s="253" t="s">
        <v>344</v>
      </c>
      <c r="K217" s="253" t="s">
        <v>344</v>
      </c>
      <c r="L217" s="253" t="s">
        <v>1325</v>
      </c>
      <c r="M217" s="366">
        <v>7000</v>
      </c>
      <c r="N217" s="366">
        <v>440499.7699999999</v>
      </c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 spans="1:26" ht="15.75" customHeight="1">
      <c r="A218" s="268"/>
      <c r="B218" s="268" t="str">
        <f t="shared" si="0"/>
        <v>Sales</v>
      </c>
      <c r="C218" s="252"/>
      <c r="D218" s="253" t="s">
        <v>1656</v>
      </c>
      <c r="E218" s="375">
        <f t="shared" si="1"/>
        <v>46142</v>
      </c>
      <c r="F218" s="253" t="s">
        <v>1327</v>
      </c>
      <c r="G218" s="253" t="s">
        <v>1657</v>
      </c>
      <c r="H218" s="253" t="s">
        <v>1658</v>
      </c>
      <c r="I218" s="253" t="s">
        <v>344</v>
      </c>
      <c r="J218" s="253" t="s">
        <v>344</v>
      </c>
      <c r="K218" s="253" t="s">
        <v>344</v>
      </c>
      <c r="L218" s="253" t="s">
        <v>1325</v>
      </c>
      <c r="M218" s="366">
        <v>275</v>
      </c>
      <c r="N218" s="366">
        <v>440774.7699999999</v>
      </c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 spans="1:26" ht="15.75" customHeight="1">
      <c r="A219" s="268"/>
      <c r="B219" s="268" t="str">
        <f t="shared" si="0"/>
        <v>Sales</v>
      </c>
      <c r="C219" s="252"/>
      <c r="D219" s="253" t="s">
        <v>1659</v>
      </c>
      <c r="E219" s="375">
        <f t="shared" si="1"/>
        <v>46142</v>
      </c>
      <c r="F219" s="253" t="s">
        <v>1327</v>
      </c>
      <c r="G219" s="253" t="s">
        <v>1660</v>
      </c>
      <c r="H219" s="253" t="s">
        <v>1661</v>
      </c>
      <c r="I219" s="253" t="s">
        <v>344</v>
      </c>
      <c r="J219" s="253" t="s">
        <v>344</v>
      </c>
      <c r="K219" s="253" t="s">
        <v>344</v>
      </c>
      <c r="L219" s="253" t="s">
        <v>1325</v>
      </c>
      <c r="M219" s="366">
        <v>4420</v>
      </c>
      <c r="N219" s="366">
        <v>445194.7699999999</v>
      </c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 spans="1:26" ht="15.75" customHeight="1">
      <c r="A220" s="268"/>
      <c r="B220" s="268" t="str">
        <f t="shared" si="0"/>
        <v>Sales</v>
      </c>
      <c r="C220" s="252"/>
      <c r="D220" s="253" t="s">
        <v>1659</v>
      </c>
      <c r="E220" s="375">
        <f t="shared" si="1"/>
        <v>46142</v>
      </c>
      <c r="F220" s="253" t="s">
        <v>1327</v>
      </c>
      <c r="G220" s="253" t="s">
        <v>1662</v>
      </c>
      <c r="H220" s="253" t="s">
        <v>1661</v>
      </c>
      <c r="I220" s="253" t="s">
        <v>344</v>
      </c>
      <c r="J220" s="253" t="s">
        <v>344</v>
      </c>
      <c r="K220" s="253" t="s">
        <v>344</v>
      </c>
      <c r="L220" s="253" t="s">
        <v>1325</v>
      </c>
      <c r="M220" s="366">
        <v>1920</v>
      </c>
      <c r="N220" s="366">
        <v>447114.7699999999</v>
      </c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 spans="1:26" ht="15.75" customHeight="1">
      <c r="A221" s="268"/>
      <c r="B221" s="268" t="str">
        <f t="shared" si="0"/>
        <v>Sales</v>
      </c>
      <c r="C221" s="252"/>
      <c r="D221" s="253" t="s">
        <v>1659</v>
      </c>
      <c r="E221" s="375">
        <f t="shared" si="1"/>
        <v>46142</v>
      </c>
      <c r="F221" s="253" t="s">
        <v>1327</v>
      </c>
      <c r="G221" s="253" t="s">
        <v>1663</v>
      </c>
      <c r="H221" s="253" t="s">
        <v>1661</v>
      </c>
      <c r="I221" s="253" t="s">
        <v>344</v>
      </c>
      <c r="J221" s="253" t="s">
        <v>344</v>
      </c>
      <c r="K221" s="253" t="s">
        <v>344</v>
      </c>
      <c r="L221" s="253" t="s">
        <v>1325</v>
      </c>
      <c r="M221" s="366">
        <v>1910</v>
      </c>
      <c r="N221" s="366">
        <v>449024.7699999999</v>
      </c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 spans="1:26" ht="15.75" customHeight="1">
      <c r="A222" s="268"/>
      <c r="B222" s="268" t="str">
        <f t="shared" si="0"/>
        <v>Sales</v>
      </c>
      <c r="C222" s="252"/>
      <c r="D222" s="253" t="s">
        <v>1659</v>
      </c>
      <c r="E222" s="375">
        <f t="shared" si="1"/>
        <v>46142</v>
      </c>
      <c r="F222" s="253" t="s">
        <v>1327</v>
      </c>
      <c r="G222" s="253" t="s">
        <v>1664</v>
      </c>
      <c r="H222" s="253" t="s">
        <v>1661</v>
      </c>
      <c r="I222" s="253" t="s">
        <v>344</v>
      </c>
      <c r="J222" s="253" t="s">
        <v>344</v>
      </c>
      <c r="K222" s="253" t="s">
        <v>344</v>
      </c>
      <c r="L222" s="253" t="s">
        <v>1325</v>
      </c>
      <c r="M222" s="366">
        <v>300</v>
      </c>
      <c r="N222" s="366">
        <v>449324.7699999999</v>
      </c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 spans="1:26" ht="15.75" customHeight="1">
      <c r="A223" s="268"/>
      <c r="B223" s="268" t="str">
        <f t="shared" si="0"/>
        <v>Sales</v>
      </c>
      <c r="C223" s="252"/>
      <c r="D223" s="253" t="s">
        <v>1659</v>
      </c>
      <c r="E223" s="375">
        <f t="shared" si="1"/>
        <v>46142</v>
      </c>
      <c r="F223" s="253" t="s">
        <v>1327</v>
      </c>
      <c r="G223" s="253" t="s">
        <v>1665</v>
      </c>
      <c r="H223" s="253" t="s">
        <v>1666</v>
      </c>
      <c r="I223" s="253" t="s">
        <v>344</v>
      </c>
      <c r="J223" s="253" t="s">
        <v>344</v>
      </c>
      <c r="K223" s="253" t="s">
        <v>344</v>
      </c>
      <c r="L223" s="253" t="s">
        <v>1325</v>
      </c>
      <c r="M223" s="366">
        <v>4083</v>
      </c>
      <c r="N223" s="366">
        <v>453407.7699999999</v>
      </c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 spans="1:26" ht="15.75" customHeight="1">
      <c r="A224" s="268"/>
      <c r="B224" s="268" t="str">
        <f t="shared" si="0"/>
        <v>Sales</v>
      </c>
      <c r="C224" s="252"/>
      <c r="D224" s="253" t="s">
        <v>1659</v>
      </c>
      <c r="E224" s="375">
        <f t="shared" si="1"/>
        <v>46142</v>
      </c>
      <c r="F224" s="253" t="s">
        <v>1327</v>
      </c>
      <c r="G224" s="253" t="s">
        <v>1667</v>
      </c>
      <c r="H224" s="253" t="s">
        <v>1666</v>
      </c>
      <c r="I224" s="253" t="s">
        <v>344</v>
      </c>
      <c r="J224" s="253" t="s">
        <v>344</v>
      </c>
      <c r="K224" s="253" t="s">
        <v>344</v>
      </c>
      <c r="L224" s="253" t="s">
        <v>1325</v>
      </c>
      <c r="M224" s="366">
        <v>1583</v>
      </c>
      <c r="N224" s="366">
        <v>454990.7699999999</v>
      </c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 spans="1:26" ht="15.75" customHeight="1">
      <c r="A225" s="268"/>
      <c r="B225" s="268" t="str">
        <f t="shared" si="0"/>
        <v>Sales</v>
      </c>
      <c r="C225" s="252"/>
      <c r="D225" s="253" t="s">
        <v>1659</v>
      </c>
      <c r="E225" s="375">
        <f t="shared" si="1"/>
        <v>46142</v>
      </c>
      <c r="F225" s="253" t="s">
        <v>1327</v>
      </c>
      <c r="G225" s="253" t="s">
        <v>1668</v>
      </c>
      <c r="H225" s="253" t="s">
        <v>1666</v>
      </c>
      <c r="I225" s="253" t="s">
        <v>344</v>
      </c>
      <c r="J225" s="253" t="s">
        <v>344</v>
      </c>
      <c r="K225" s="253" t="s">
        <v>344</v>
      </c>
      <c r="L225" s="253" t="s">
        <v>1325</v>
      </c>
      <c r="M225" s="366">
        <v>1584</v>
      </c>
      <c r="N225" s="366">
        <v>456574.7699999999</v>
      </c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 spans="1:26" ht="15.75" customHeight="1">
      <c r="A226" s="268"/>
      <c r="B226" s="268" t="str">
        <f t="shared" si="0"/>
        <v>Sales</v>
      </c>
      <c r="C226" s="252"/>
      <c r="D226" s="253" t="s">
        <v>1659</v>
      </c>
      <c r="E226" s="375">
        <f t="shared" si="1"/>
        <v>46142</v>
      </c>
      <c r="F226" s="253" t="s">
        <v>1327</v>
      </c>
      <c r="G226" s="253" t="s">
        <v>1669</v>
      </c>
      <c r="H226" s="253" t="s">
        <v>1666</v>
      </c>
      <c r="I226" s="253" t="s">
        <v>344</v>
      </c>
      <c r="J226" s="253" t="s">
        <v>344</v>
      </c>
      <c r="K226" s="253" t="s">
        <v>344</v>
      </c>
      <c r="L226" s="253" t="s">
        <v>1325</v>
      </c>
      <c r="M226" s="366">
        <v>300</v>
      </c>
      <c r="N226" s="366">
        <v>456874.7699999999</v>
      </c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 spans="1:26" ht="15.75" customHeight="1">
      <c r="A227" s="268"/>
      <c r="B227" s="268" t="str">
        <f t="shared" si="0"/>
        <v>Sales</v>
      </c>
      <c r="C227" s="252"/>
      <c r="D227" s="253" t="s">
        <v>1659</v>
      </c>
      <c r="E227" s="375">
        <f t="shared" si="1"/>
        <v>46142</v>
      </c>
      <c r="F227" s="253" t="s">
        <v>1327</v>
      </c>
      <c r="G227" s="253" t="s">
        <v>1670</v>
      </c>
      <c r="H227" s="253" t="s">
        <v>1671</v>
      </c>
      <c r="I227" s="253" t="s">
        <v>344</v>
      </c>
      <c r="J227" s="253" t="s">
        <v>344</v>
      </c>
      <c r="K227" s="253" t="s">
        <v>344</v>
      </c>
      <c r="L227" s="253" t="s">
        <v>1325</v>
      </c>
      <c r="M227" s="366">
        <v>4500</v>
      </c>
      <c r="N227" s="366">
        <v>461374.7699999999</v>
      </c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 spans="1:26" ht="15.75" customHeight="1">
      <c r="A228" s="268"/>
      <c r="B228" s="268" t="str">
        <f t="shared" si="0"/>
        <v>Sales</v>
      </c>
      <c r="C228" s="252"/>
      <c r="D228" s="253" t="s">
        <v>1659</v>
      </c>
      <c r="E228" s="375">
        <f t="shared" si="1"/>
        <v>46142</v>
      </c>
      <c r="F228" s="253" t="s">
        <v>1327</v>
      </c>
      <c r="G228" s="253" t="s">
        <v>1672</v>
      </c>
      <c r="H228" s="253" t="s">
        <v>1671</v>
      </c>
      <c r="I228" s="253" t="s">
        <v>344</v>
      </c>
      <c r="J228" s="253" t="s">
        <v>344</v>
      </c>
      <c r="K228" s="253" t="s">
        <v>1673</v>
      </c>
      <c r="L228" s="253" t="s">
        <v>1325</v>
      </c>
      <c r="M228" s="366">
        <v>2000</v>
      </c>
      <c r="N228" s="366">
        <v>463374.7699999999</v>
      </c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 spans="1:26" ht="15.75" customHeight="1">
      <c r="A229" s="268"/>
      <c r="B229" s="268" t="str">
        <f t="shared" si="0"/>
        <v>Sales</v>
      </c>
      <c r="C229" s="252"/>
      <c r="D229" s="253" t="s">
        <v>1659</v>
      </c>
      <c r="E229" s="375">
        <f t="shared" si="1"/>
        <v>46142</v>
      </c>
      <c r="F229" s="253" t="s">
        <v>1327</v>
      </c>
      <c r="G229" s="253" t="s">
        <v>1674</v>
      </c>
      <c r="H229" s="253" t="s">
        <v>1671</v>
      </c>
      <c r="I229" s="253" t="s">
        <v>344</v>
      </c>
      <c r="J229" s="253" t="s">
        <v>344</v>
      </c>
      <c r="K229" s="253" t="s">
        <v>344</v>
      </c>
      <c r="L229" s="253" t="s">
        <v>1325</v>
      </c>
      <c r="M229" s="366">
        <v>2000</v>
      </c>
      <c r="N229" s="366">
        <v>465374.7699999999</v>
      </c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 spans="1:26" ht="15.75" customHeight="1">
      <c r="A230" s="268"/>
      <c r="B230" s="268" t="str">
        <f t="shared" si="0"/>
        <v>Sales</v>
      </c>
      <c r="C230" s="252"/>
      <c r="D230" s="253" t="s">
        <v>1659</v>
      </c>
      <c r="E230" s="375">
        <f t="shared" si="1"/>
        <v>46142</v>
      </c>
      <c r="F230" s="253" t="s">
        <v>1327</v>
      </c>
      <c r="G230" s="253" t="s">
        <v>1675</v>
      </c>
      <c r="H230" s="253" t="s">
        <v>1671</v>
      </c>
      <c r="I230" s="253" t="s">
        <v>344</v>
      </c>
      <c r="J230" s="253" t="s">
        <v>344</v>
      </c>
      <c r="K230" s="253" t="s">
        <v>344</v>
      </c>
      <c r="L230" s="253" t="s">
        <v>1325</v>
      </c>
      <c r="M230" s="366">
        <v>300</v>
      </c>
      <c r="N230" s="366">
        <v>465674.7699999999</v>
      </c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 spans="1:26" ht="15.75" customHeight="1">
      <c r="A231" s="268"/>
      <c r="B231" s="268" t="str">
        <f t="shared" si="0"/>
        <v>Sales</v>
      </c>
      <c r="C231" s="252"/>
      <c r="D231" s="253" t="s">
        <v>1659</v>
      </c>
      <c r="E231" s="375">
        <f t="shared" si="1"/>
        <v>46142</v>
      </c>
      <c r="F231" s="253" t="s">
        <v>1327</v>
      </c>
      <c r="G231" s="253" t="s">
        <v>1676</v>
      </c>
      <c r="H231" s="253" t="s">
        <v>1600</v>
      </c>
      <c r="I231" s="253" t="s">
        <v>344</v>
      </c>
      <c r="J231" s="253" t="s">
        <v>344</v>
      </c>
      <c r="K231" s="253" t="s">
        <v>344</v>
      </c>
      <c r="L231" s="253" t="s">
        <v>1325</v>
      </c>
      <c r="M231" s="366">
        <v>1400</v>
      </c>
      <c r="N231" s="366">
        <v>467074.7699999999</v>
      </c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 spans="1:26" ht="15.75" customHeight="1">
      <c r="A232" s="268"/>
      <c r="B232" s="268" t="str">
        <f t="shared" si="0"/>
        <v>Sales</v>
      </c>
      <c r="C232" s="252"/>
      <c r="D232" s="253" t="s">
        <v>1659</v>
      </c>
      <c r="E232" s="375">
        <f t="shared" si="1"/>
        <v>46142</v>
      </c>
      <c r="F232" s="253" t="s">
        <v>1322</v>
      </c>
      <c r="G232" s="253" t="s">
        <v>1677</v>
      </c>
      <c r="H232" s="253" t="s">
        <v>1655</v>
      </c>
      <c r="I232" s="253" t="s">
        <v>344</v>
      </c>
      <c r="J232" s="253" t="s">
        <v>344</v>
      </c>
      <c r="K232" s="253" t="s">
        <v>344</v>
      </c>
      <c r="L232" s="253" t="s">
        <v>1325</v>
      </c>
      <c r="M232" s="366">
        <v>-8.23</v>
      </c>
      <c r="N232" s="366">
        <v>467066.53999999992</v>
      </c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 spans="1:26" ht="15.75" customHeight="1">
      <c r="A233" s="268"/>
      <c r="B233" s="268" t="str">
        <f t="shared" si="0"/>
        <v>Sales</v>
      </c>
      <c r="C233" s="252"/>
      <c r="D233" s="253" t="s">
        <v>1659</v>
      </c>
      <c r="E233" s="375">
        <f t="shared" si="1"/>
        <v>46142</v>
      </c>
      <c r="F233" s="253" t="s">
        <v>1327</v>
      </c>
      <c r="G233" s="253" t="s">
        <v>1678</v>
      </c>
      <c r="H233" s="253" t="s">
        <v>1679</v>
      </c>
      <c r="I233" s="253" t="s">
        <v>344</v>
      </c>
      <c r="J233" s="253" t="s">
        <v>344</v>
      </c>
      <c r="K233" s="253" t="s">
        <v>344</v>
      </c>
      <c r="L233" s="253" t="s">
        <v>1325</v>
      </c>
      <c r="M233" s="366">
        <v>4250</v>
      </c>
      <c r="N233" s="366">
        <v>471316.53999999992</v>
      </c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 spans="1:26" ht="15.75" customHeight="1">
      <c r="A234" s="268"/>
      <c r="B234" s="268" t="str">
        <f t="shared" si="0"/>
        <v>Sales</v>
      </c>
      <c r="C234" s="252"/>
      <c r="D234" s="253" t="s">
        <v>1659</v>
      </c>
      <c r="E234" s="375">
        <f t="shared" si="1"/>
        <v>46142</v>
      </c>
      <c r="F234" s="253" t="s">
        <v>1327</v>
      </c>
      <c r="G234" s="253" t="s">
        <v>1680</v>
      </c>
      <c r="H234" s="253" t="s">
        <v>1679</v>
      </c>
      <c r="I234" s="253" t="s">
        <v>344</v>
      </c>
      <c r="J234" s="253" t="s">
        <v>344</v>
      </c>
      <c r="K234" s="253" t="s">
        <v>344</v>
      </c>
      <c r="L234" s="253" t="s">
        <v>1325</v>
      </c>
      <c r="M234" s="366">
        <v>1750</v>
      </c>
      <c r="N234" s="366">
        <v>473066.53999999992</v>
      </c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 spans="1:26" ht="15.75" customHeight="1">
      <c r="A235" s="268"/>
      <c r="B235" s="268" t="str">
        <f t="shared" si="0"/>
        <v>Sales</v>
      </c>
      <c r="C235" s="252"/>
      <c r="D235" s="253" t="s">
        <v>1659</v>
      </c>
      <c r="E235" s="375">
        <f t="shared" si="1"/>
        <v>46142</v>
      </c>
      <c r="F235" s="253" t="s">
        <v>1327</v>
      </c>
      <c r="G235" s="253" t="s">
        <v>1681</v>
      </c>
      <c r="H235" s="253" t="s">
        <v>1679</v>
      </c>
      <c r="I235" s="253" t="s">
        <v>344</v>
      </c>
      <c r="J235" s="253" t="s">
        <v>344</v>
      </c>
      <c r="K235" s="253" t="s">
        <v>344</v>
      </c>
      <c r="L235" s="253" t="s">
        <v>1325</v>
      </c>
      <c r="M235" s="366">
        <v>1750</v>
      </c>
      <c r="N235" s="366">
        <v>474816.53999999992</v>
      </c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 spans="1:26" ht="15.75" customHeight="1">
      <c r="A236" s="268"/>
      <c r="B236" s="268" t="str">
        <f t="shared" si="0"/>
        <v>Sales</v>
      </c>
      <c r="C236" s="252"/>
      <c r="D236" s="253" t="s">
        <v>1682</v>
      </c>
      <c r="E236" s="375">
        <f t="shared" si="1"/>
        <v>46142</v>
      </c>
      <c r="F236" s="253" t="s">
        <v>1327</v>
      </c>
      <c r="G236" s="253" t="s">
        <v>1683</v>
      </c>
      <c r="H236" s="253" t="s">
        <v>1684</v>
      </c>
      <c r="I236" s="253" t="s">
        <v>344</v>
      </c>
      <c r="J236" s="253" t="s">
        <v>344</v>
      </c>
      <c r="K236" s="253" t="s">
        <v>344</v>
      </c>
      <c r="L236" s="253" t="s">
        <v>1325</v>
      </c>
      <c r="M236" s="366">
        <v>8250</v>
      </c>
      <c r="N236" s="366">
        <v>483066.53999999992</v>
      </c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 spans="1:26" ht="15.75" customHeight="1">
      <c r="A237" s="268"/>
      <c r="B237" s="268" t="str">
        <f t="shared" si="0"/>
        <v>Sales</v>
      </c>
      <c r="C237" s="252"/>
      <c r="D237" s="253" t="s">
        <v>1682</v>
      </c>
      <c r="E237" s="375">
        <f t="shared" si="1"/>
        <v>46142</v>
      </c>
      <c r="F237" s="253" t="s">
        <v>1327</v>
      </c>
      <c r="G237" s="253" t="s">
        <v>1683</v>
      </c>
      <c r="H237" s="253" t="s">
        <v>1684</v>
      </c>
      <c r="I237" s="253" t="s">
        <v>344</v>
      </c>
      <c r="J237" s="253" t="s">
        <v>344</v>
      </c>
      <c r="K237" s="253" t="s">
        <v>344</v>
      </c>
      <c r="L237" s="253" t="s">
        <v>1325</v>
      </c>
      <c r="M237" s="366">
        <v>275</v>
      </c>
      <c r="N237" s="366">
        <v>483341.53999999992</v>
      </c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 spans="1:26" ht="15.75" customHeight="1">
      <c r="A238" s="268"/>
      <c r="B238" s="268" t="str">
        <f t="shared" si="0"/>
        <v>Sales</v>
      </c>
      <c r="C238" s="252"/>
      <c r="D238" s="253" t="s">
        <v>1685</v>
      </c>
      <c r="E238" s="375">
        <f t="shared" si="1"/>
        <v>46142</v>
      </c>
      <c r="F238" s="253" t="s">
        <v>1322</v>
      </c>
      <c r="G238" s="253" t="s">
        <v>1686</v>
      </c>
      <c r="H238" s="253" t="s">
        <v>1357</v>
      </c>
      <c r="I238" s="253" t="s">
        <v>344</v>
      </c>
      <c r="J238" s="253" t="s">
        <v>344</v>
      </c>
      <c r="K238" s="253" t="s">
        <v>344</v>
      </c>
      <c r="L238" s="253" t="s">
        <v>1325</v>
      </c>
      <c r="M238" s="366">
        <v>-35.119999999999997</v>
      </c>
      <c r="N238" s="366">
        <v>483306.41999999993</v>
      </c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 spans="1:26" ht="15.75" customHeight="1">
      <c r="A239" s="268"/>
      <c r="B239" s="268" t="str">
        <f t="shared" si="0"/>
        <v>Sales</v>
      </c>
      <c r="C239" s="252"/>
      <c r="D239" s="253" t="s">
        <v>1685</v>
      </c>
      <c r="E239" s="375">
        <f t="shared" si="1"/>
        <v>46142</v>
      </c>
      <c r="F239" s="253" t="s">
        <v>1327</v>
      </c>
      <c r="G239" s="253" t="s">
        <v>1687</v>
      </c>
      <c r="H239" s="253" t="s">
        <v>1688</v>
      </c>
      <c r="I239" s="253" t="s">
        <v>344</v>
      </c>
      <c r="J239" s="253" t="s">
        <v>344</v>
      </c>
      <c r="K239" s="253" t="s">
        <v>344</v>
      </c>
      <c r="L239" s="253" t="s">
        <v>1325</v>
      </c>
      <c r="M239" s="366">
        <v>4500</v>
      </c>
      <c r="N239" s="366">
        <v>487806.41999999993</v>
      </c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 spans="1:26" ht="15.75" customHeight="1">
      <c r="A240" s="268"/>
      <c r="B240" s="268" t="str">
        <f t="shared" si="0"/>
        <v>Sales</v>
      </c>
      <c r="C240" s="252"/>
      <c r="D240" s="253" t="s">
        <v>1685</v>
      </c>
      <c r="E240" s="375">
        <f t="shared" si="1"/>
        <v>46142</v>
      </c>
      <c r="F240" s="253" t="s">
        <v>1327</v>
      </c>
      <c r="G240" s="253" t="s">
        <v>1689</v>
      </c>
      <c r="H240" s="253" t="s">
        <v>1688</v>
      </c>
      <c r="I240" s="253" t="s">
        <v>344</v>
      </c>
      <c r="J240" s="253" t="s">
        <v>344</v>
      </c>
      <c r="K240" s="253" t="s">
        <v>344</v>
      </c>
      <c r="L240" s="253" t="s">
        <v>1325</v>
      </c>
      <c r="M240" s="366">
        <v>2000</v>
      </c>
      <c r="N240" s="366">
        <v>489806.41999999993</v>
      </c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 spans="1:26" ht="15.75" customHeight="1">
      <c r="A241" s="268"/>
      <c r="B241" s="268" t="str">
        <f t="shared" si="0"/>
        <v>Sales</v>
      </c>
      <c r="C241" s="252"/>
      <c r="D241" s="253" t="s">
        <v>1685</v>
      </c>
      <c r="E241" s="375">
        <f t="shared" si="1"/>
        <v>46142</v>
      </c>
      <c r="F241" s="253" t="s">
        <v>1327</v>
      </c>
      <c r="G241" s="253" t="s">
        <v>1690</v>
      </c>
      <c r="H241" s="253" t="s">
        <v>1688</v>
      </c>
      <c r="I241" s="253" t="s">
        <v>344</v>
      </c>
      <c r="J241" s="253" t="s">
        <v>344</v>
      </c>
      <c r="K241" s="253" t="s">
        <v>344</v>
      </c>
      <c r="L241" s="253" t="s">
        <v>1325</v>
      </c>
      <c r="M241" s="366">
        <v>2000</v>
      </c>
      <c r="N241" s="366">
        <v>491806.41999999993</v>
      </c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 spans="1:26" ht="15.75" customHeight="1">
      <c r="A242" s="268"/>
      <c r="B242" s="268" t="str">
        <f t="shared" si="0"/>
        <v>Sales</v>
      </c>
      <c r="C242" s="252"/>
      <c r="D242" s="253" t="s">
        <v>1685</v>
      </c>
      <c r="E242" s="375">
        <f t="shared" si="1"/>
        <v>46142</v>
      </c>
      <c r="F242" s="253" t="s">
        <v>1327</v>
      </c>
      <c r="G242" s="253" t="s">
        <v>1691</v>
      </c>
      <c r="H242" s="253" t="s">
        <v>1688</v>
      </c>
      <c r="I242" s="253" t="s">
        <v>344</v>
      </c>
      <c r="J242" s="253" t="s">
        <v>344</v>
      </c>
      <c r="K242" s="253" t="s">
        <v>344</v>
      </c>
      <c r="L242" s="253" t="s">
        <v>1325</v>
      </c>
      <c r="M242" s="366">
        <v>300</v>
      </c>
      <c r="N242" s="366">
        <v>492106.41999999993</v>
      </c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 spans="1:26" ht="15.75" customHeight="1">
      <c r="A243" s="268"/>
      <c r="B243" s="268" t="str">
        <f t="shared" si="0"/>
        <v>Sales</v>
      </c>
      <c r="C243" s="252"/>
      <c r="D243" s="253" t="s">
        <v>1685</v>
      </c>
      <c r="E243" s="375">
        <f t="shared" si="1"/>
        <v>46142</v>
      </c>
      <c r="F243" s="253" t="s">
        <v>1327</v>
      </c>
      <c r="G243" s="253" t="s">
        <v>1692</v>
      </c>
      <c r="H243" s="253" t="s">
        <v>1693</v>
      </c>
      <c r="I243" s="253" t="s">
        <v>344</v>
      </c>
      <c r="J243" s="253" t="s">
        <v>344</v>
      </c>
      <c r="K243" s="253" t="s">
        <v>344</v>
      </c>
      <c r="L243" s="253" t="s">
        <v>1325</v>
      </c>
      <c r="M243" s="366">
        <v>4165</v>
      </c>
      <c r="N243" s="366">
        <v>496271.41999999993</v>
      </c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 spans="1:26" ht="15.75" customHeight="1">
      <c r="A244" s="268"/>
      <c r="B244" s="268" t="str">
        <f t="shared" si="0"/>
        <v>Sales</v>
      </c>
      <c r="C244" s="252"/>
      <c r="D244" s="253" t="s">
        <v>1685</v>
      </c>
      <c r="E244" s="375">
        <f t="shared" si="1"/>
        <v>46142</v>
      </c>
      <c r="F244" s="253" t="s">
        <v>1327</v>
      </c>
      <c r="G244" s="253" t="s">
        <v>1694</v>
      </c>
      <c r="H244" s="253" t="s">
        <v>1693</v>
      </c>
      <c r="I244" s="253" t="s">
        <v>344</v>
      </c>
      <c r="J244" s="253" t="s">
        <v>344</v>
      </c>
      <c r="K244" s="253" t="s">
        <v>344</v>
      </c>
      <c r="L244" s="253" t="s">
        <v>1325</v>
      </c>
      <c r="M244" s="366">
        <v>1665</v>
      </c>
      <c r="N244" s="366">
        <v>497936.41999999993</v>
      </c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 spans="1:26" ht="15.75" customHeight="1">
      <c r="A245" s="268"/>
      <c r="B245" s="268" t="str">
        <f t="shared" si="0"/>
        <v>Sales</v>
      </c>
      <c r="C245" s="252"/>
      <c r="D245" s="253" t="s">
        <v>1685</v>
      </c>
      <c r="E245" s="375">
        <f t="shared" si="1"/>
        <v>46142</v>
      </c>
      <c r="F245" s="253" t="s">
        <v>1327</v>
      </c>
      <c r="G245" s="253" t="s">
        <v>1695</v>
      </c>
      <c r="H245" s="253" t="s">
        <v>1693</v>
      </c>
      <c r="I245" s="253" t="s">
        <v>344</v>
      </c>
      <c r="J245" s="253" t="s">
        <v>344</v>
      </c>
      <c r="K245" s="253" t="s">
        <v>344</v>
      </c>
      <c r="L245" s="253" t="s">
        <v>1325</v>
      </c>
      <c r="M245" s="366">
        <v>1670</v>
      </c>
      <c r="N245" s="366">
        <v>499606.41999999993</v>
      </c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 spans="1:26" ht="15.75" customHeight="1">
      <c r="A246" s="268"/>
      <c r="B246" s="268" t="str">
        <f t="shared" si="0"/>
        <v>Sales</v>
      </c>
      <c r="C246" s="252"/>
      <c r="D246" s="253" t="s">
        <v>1685</v>
      </c>
      <c r="E246" s="375">
        <f t="shared" si="1"/>
        <v>46142</v>
      </c>
      <c r="F246" s="253" t="s">
        <v>1327</v>
      </c>
      <c r="G246" s="253" t="s">
        <v>1696</v>
      </c>
      <c r="H246" s="253" t="s">
        <v>1693</v>
      </c>
      <c r="I246" s="253" t="s">
        <v>344</v>
      </c>
      <c r="J246" s="253" t="s">
        <v>344</v>
      </c>
      <c r="K246" s="253" t="s">
        <v>344</v>
      </c>
      <c r="L246" s="253" t="s">
        <v>1325</v>
      </c>
      <c r="M246" s="366">
        <v>300</v>
      </c>
      <c r="N246" s="366">
        <v>499906.41999999993</v>
      </c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 spans="1:26" ht="15.75" customHeight="1">
      <c r="A247" s="268"/>
      <c r="B247" s="268" t="str">
        <f t="shared" si="0"/>
        <v>Sales</v>
      </c>
      <c r="C247" s="252"/>
      <c r="D247" s="253" t="s">
        <v>1697</v>
      </c>
      <c r="E247" s="375">
        <f t="shared" si="1"/>
        <v>46142</v>
      </c>
      <c r="F247" s="253" t="s">
        <v>1327</v>
      </c>
      <c r="G247" s="253" t="s">
        <v>1698</v>
      </c>
      <c r="H247" s="253" t="s">
        <v>1699</v>
      </c>
      <c r="I247" s="253" t="s">
        <v>344</v>
      </c>
      <c r="J247" s="253" t="s">
        <v>344</v>
      </c>
      <c r="K247" s="253" t="s">
        <v>344</v>
      </c>
      <c r="L247" s="253" t="s">
        <v>1325</v>
      </c>
      <c r="M247" s="366">
        <v>4835</v>
      </c>
      <c r="N247" s="366">
        <v>504741.41999999993</v>
      </c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 spans="1:26" ht="15.75" customHeight="1">
      <c r="A248" s="268"/>
      <c r="B248" s="268" t="str">
        <f t="shared" si="0"/>
        <v>Sales</v>
      </c>
      <c r="C248" s="252"/>
      <c r="D248" s="253" t="s">
        <v>1697</v>
      </c>
      <c r="E248" s="375">
        <f t="shared" si="1"/>
        <v>46142</v>
      </c>
      <c r="F248" s="253" t="s">
        <v>1327</v>
      </c>
      <c r="G248" s="253" t="s">
        <v>1700</v>
      </c>
      <c r="H248" s="253" t="s">
        <v>1699</v>
      </c>
      <c r="I248" s="253" t="s">
        <v>344</v>
      </c>
      <c r="J248" s="253" t="s">
        <v>344</v>
      </c>
      <c r="K248" s="253" t="s">
        <v>344</v>
      </c>
      <c r="L248" s="253" t="s">
        <v>1325</v>
      </c>
      <c r="M248" s="366">
        <v>2335</v>
      </c>
      <c r="N248" s="366">
        <v>507076.41999999993</v>
      </c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 spans="1:26" ht="15.75" customHeight="1">
      <c r="A249" s="268"/>
      <c r="B249" s="268" t="str">
        <f t="shared" si="0"/>
        <v>Sales</v>
      </c>
      <c r="C249" s="252"/>
      <c r="D249" s="253" t="s">
        <v>1697</v>
      </c>
      <c r="E249" s="375">
        <f t="shared" si="1"/>
        <v>46142</v>
      </c>
      <c r="F249" s="253" t="s">
        <v>1327</v>
      </c>
      <c r="G249" s="253" t="s">
        <v>1701</v>
      </c>
      <c r="H249" s="253" t="s">
        <v>1699</v>
      </c>
      <c r="I249" s="253" t="s">
        <v>344</v>
      </c>
      <c r="J249" s="253" t="s">
        <v>344</v>
      </c>
      <c r="K249" s="253" t="s">
        <v>344</v>
      </c>
      <c r="L249" s="253" t="s">
        <v>1325</v>
      </c>
      <c r="M249" s="366">
        <v>2330</v>
      </c>
      <c r="N249" s="366">
        <v>509406.41999999993</v>
      </c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 spans="1:26" ht="15.75" customHeight="1">
      <c r="A250" s="268"/>
      <c r="B250" s="268" t="str">
        <f t="shared" si="0"/>
        <v>Sales</v>
      </c>
      <c r="C250" s="252"/>
      <c r="D250" s="253" t="s">
        <v>1697</v>
      </c>
      <c r="E250" s="375">
        <f t="shared" si="1"/>
        <v>46142</v>
      </c>
      <c r="F250" s="253" t="s">
        <v>1327</v>
      </c>
      <c r="G250" s="253" t="s">
        <v>1702</v>
      </c>
      <c r="H250" s="253" t="s">
        <v>1699</v>
      </c>
      <c r="I250" s="253" t="s">
        <v>344</v>
      </c>
      <c r="J250" s="253" t="s">
        <v>344</v>
      </c>
      <c r="K250" s="253" t="s">
        <v>344</v>
      </c>
      <c r="L250" s="253" t="s">
        <v>1325</v>
      </c>
      <c r="M250" s="366">
        <v>550</v>
      </c>
      <c r="N250" s="366">
        <v>509956.41999999993</v>
      </c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 spans="1:26" ht="15.75" customHeight="1">
      <c r="A251" s="268"/>
      <c r="B251" s="268" t="str">
        <f t="shared" si="0"/>
        <v>Sales</v>
      </c>
      <c r="C251" s="252"/>
      <c r="D251" s="253" t="s">
        <v>1697</v>
      </c>
      <c r="E251" s="375">
        <f t="shared" si="1"/>
        <v>46142</v>
      </c>
      <c r="F251" s="253" t="s">
        <v>1327</v>
      </c>
      <c r="G251" s="253" t="s">
        <v>1703</v>
      </c>
      <c r="H251" s="253" t="s">
        <v>1699</v>
      </c>
      <c r="I251" s="253" t="s">
        <v>344</v>
      </c>
      <c r="J251" s="253" t="s">
        <v>344</v>
      </c>
      <c r="K251" s="253" t="s">
        <v>344</v>
      </c>
      <c r="L251" s="253" t="s">
        <v>1325</v>
      </c>
      <c r="M251" s="366">
        <v>300</v>
      </c>
      <c r="N251" s="366">
        <v>510256.41999999993</v>
      </c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 spans="1:26" ht="15.75" customHeight="1">
      <c r="A252" s="268"/>
      <c r="B252" s="268" t="str">
        <f t="shared" si="0"/>
        <v>Sales</v>
      </c>
      <c r="C252" s="252"/>
      <c r="D252" s="253" t="s">
        <v>1697</v>
      </c>
      <c r="E252" s="375">
        <f t="shared" si="1"/>
        <v>46142</v>
      </c>
      <c r="F252" s="253" t="s">
        <v>1322</v>
      </c>
      <c r="G252" s="253" t="s">
        <v>1704</v>
      </c>
      <c r="H252" s="253" t="s">
        <v>1595</v>
      </c>
      <c r="I252" s="253" t="s">
        <v>344</v>
      </c>
      <c r="J252" s="253" t="s">
        <v>344</v>
      </c>
      <c r="K252" s="253" t="s">
        <v>344</v>
      </c>
      <c r="L252" s="253" t="s">
        <v>1325</v>
      </c>
      <c r="M252" s="366">
        <v>-8.4</v>
      </c>
      <c r="N252" s="366">
        <v>510248.0199999999</v>
      </c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 spans="1:26" ht="15.75" customHeight="1">
      <c r="A253" s="268"/>
      <c r="B253" s="268" t="str">
        <f t="shared" si="0"/>
        <v>Sales</v>
      </c>
      <c r="C253" s="252"/>
      <c r="D253" s="253" t="s">
        <v>1697</v>
      </c>
      <c r="E253" s="375">
        <f t="shared" si="1"/>
        <v>46142</v>
      </c>
      <c r="F253" s="253" t="s">
        <v>1327</v>
      </c>
      <c r="G253" s="253" t="s">
        <v>1705</v>
      </c>
      <c r="H253" s="253" t="s">
        <v>1706</v>
      </c>
      <c r="I253" s="253" t="s">
        <v>344</v>
      </c>
      <c r="J253" s="253" t="s">
        <v>344</v>
      </c>
      <c r="K253" s="253" t="s">
        <v>344</v>
      </c>
      <c r="L253" s="253" t="s">
        <v>1325</v>
      </c>
      <c r="M253" s="366">
        <v>1750</v>
      </c>
      <c r="N253" s="366">
        <v>511998.0199999999</v>
      </c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 spans="1:26" ht="15.75" customHeight="1">
      <c r="A254" s="268"/>
      <c r="B254" s="268" t="str">
        <f t="shared" si="0"/>
        <v>Sales</v>
      </c>
      <c r="C254" s="252"/>
      <c r="D254" s="253" t="s">
        <v>1707</v>
      </c>
      <c r="E254" s="375">
        <f t="shared" si="1"/>
        <v>46142</v>
      </c>
      <c r="F254" s="253" t="s">
        <v>1322</v>
      </c>
      <c r="G254" s="253" t="s">
        <v>1708</v>
      </c>
      <c r="H254" s="253" t="s">
        <v>1709</v>
      </c>
      <c r="I254" s="253" t="s">
        <v>344</v>
      </c>
      <c r="J254" s="253" t="s">
        <v>344</v>
      </c>
      <c r="K254" s="253" t="s">
        <v>344</v>
      </c>
      <c r="L254" s="253" t="s">
        <v>1325</v>
      </c>
      <c r="M254" s="366">
        <v>-16.8</v>
      </c>
      <c r="N254" s="366">
        <v>511981.21999999991</v>
      </c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 spans="1:26" ht="15.75" customHeight="1">
      <c r="A255" s="268"/>
      <c r="B255" s="268" t="str">
        <f t="shared" si="0"/>
        <v>Sales</v>
      </c>
      <c r="C255" s="252"/>
      <c r="D255" s="253" t="s">
        <v>1710</v>
      </c>
      <c r="E255" s="375">
        <f t="shared" si="1"/>
        <v>46173</v>
      </c>
      <c r="F255" s="253" t="s">
        <v>1327</v>
      </c>
      <c r="G255" s="253" t="s">
        <v>1711</v>
      </c>
      <c r="H255" s="253" t="s">
        <v>1712</v>
      </c>
      <c r="I255" s="253" t="s">
        <v>344</v>
      </c>
      <c r="J255" s="253" t="s">
        <v>344</v>
      </c>
      <c r="K255" s="253" t="s">
        <v>344</v>
      </c>
      <c r="L255" s="253" t="s">
        <v>1325</v>
      </c>
      <c r="M255" s="366">
        <v>12591</v>
      </c>
      <c r="N255" s="366">
        <v>524572.22</v>
      </c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 spans="1:26" ht="15.75" customHeight="1">
      <c r="A256" s="268"/>
      <c r="B256" s="268" t="str">
        <f t="shared" si="0"/>
        <v>Sales</v>
      </c>
      <c r="C256" s="252"/>
      <c r="D256" s="253" t="s">
        <v>1710</v>
      </c>
      <c r="E256" s="375">
        <f t="shared" si="1"/>
        <v>46173</v>
      </c>
      <c r="F256" s="253" t="s">
        <v>1327</v>
      </c>
      <c r="G256" s="253" t="s">
        <v>1713</v>
      </c>
      <c r="H256" s="253" t="s">
        <v>1712</v>
      </c>
      <c r="I256" s="253" t="s">
        <v>344</v>
      </c>
      <c r="J256" s="253" t="s">
        <v>344</v>
      </c>
      <c r="K256" s="253" t="s">
        <v>344</v>
      </c>
      <c r="L256" s="253" t="s">
        <v>1325</v>
      </c>
      <c r="M256" s="366">
        <v>8092</v>
      </c>
      <c r="N256" s="366">
        <v>532664.22</v>
      </c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 spans="1:26" ht="15.75" customHeight="1">
      <c r="A257" s="268"/>
      <c r="B257" s="268" t="str">
        <f t="shared" si="0"/>
        <v>Sales</v>
      </c>
      <c r="C257" s="252"/>
      <c r="D257" s="253" t="s">
        <v>1710</v>
      </c>
      <c r="E257" s="375">
        <f t="shared" si="1"/>
        <v>46173</v>
      </c>
      <c r="F257" s="253" t="s">
        <v>1327</v>
      </c>
      <c r="G257" s="253" t="s">
        <v>1714</v>
      </c>
      <c r="H257" s="253" t="s">
        <v>1712</v>
      </c>
      <c r="I257" s="253" t="s">
        <v>344</v>
      </c>
      <c r="J257" s="253" t="s">
        <v>344</v>
      </c>
      <c r="K257" s="253" t="s">
        <v>344</v>
      </c>
      <c r="L257" s="253" t="s">
        <v>1325</v>
      </c>
      <c r="M257" s="366">
        <v>8092</v>
      </c>
      <c r="N257" s="366">
        <v>540756.22</v>
      </c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 spans="1:26" ht="15.75" customHeight="1">
      <c r="A258" s="268"/>
      <c r="B258" s="268" t="str">
        <f t="shared" si="0"/>
        <v>Sales</v>
      </c>
      <c r="C258" s="252"/>
      <c r="D258" s="253" t="s">
        <v>1710</v>
      </c>
      <c r="E258" s="375">
        <f t="shared" si="1"/>
        <v>46173</v>
      </c>
      <c r="F258" s="253" t="s">
        <v>1327</v>
      </c>
      <c r="G258" s="253" t="s">
        <v>1715</v>
      </c>
      <c r="H258" s="253" t="s">
        <v>1712</v>
      </c>
      <c r="I258" s="253" t="s">
        <v>344</v>
      </c>
      <c r="J258" s="253" t="s">
        <v>344</v>
      </c>
      <c r="K258" s="253" t="s">
        <v>344</v>
      </c>
      <c r="L258" s="253" t="s">
        <v>1325</v>
      </c>
      <c r="M258" s="366">
        <v>300</v>
      </c>
      <c r="N258" s="366">
        <v>541056.22</v>
      </c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 spans="1:26" ht="15.75" customHeight="1">
      <c r="A259" s="268"/>
      <c r="B259" s="268" t="str">
        <f t="shared" si="0"/>
        <v>Sales</v>
      </c>
      <c r="C259" s="252"/>
      <c r="D259" s="253" t="s">
        <v>1710</v>
      </c>
      <c r="E259" s="375">
        <f t="shared" si="1"/>
        <v>46173</v>
      </c>
      <c r="F259" s="253" t="s">
        <v>1327</v>
      </c>
      <c r="G259" s="253" t="s">
        <v>1716</v>
      </c>
      <c r="H259" s="253" t="s">
        <v>1712</v>
      </c>
      <c r="I259" s="253" t="s">
        <v>344</v>
      </c>
      <c r="J259" s="253" t="s">
        <v>344</v>
      </c>
      <c r="K259" s="253" t="s">
        <v>344</v>
      </c>
      <c r="L259" s="253" t="s">
        <v>1325</v>
      </c>
      <c r="M259" s="366">
        <v>550</v>
      </c>
      <c r="N259" s="366">
        <v>541606.22</v>
      </c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 spans="1:26" ht="15.75" customHeight="1">
      <c r="A260" s="268"/>
      <c r="B260" s="268" t="str">
        <f t="shared" si="0"/>
        <v>Sales</v>
      </c>
      <c r="C260" s="252"/>
      <c r="D260" s="253" t="s">
        <v>1710</v>
      </c>
      <c r="E260" s="375">
        <f t="shared" si="1"/>
        <v>46173</v>
      </c>
      <c r="F260" s="253" t="s">
        <v>1327</v>
      </c>
      <c r="G260" s="253" t="s">
        <v>1717</v>
      </c>
      <c r="H260" s="253" t="s">
        <v>1718</v>
      </c>
      <c r="I260" s="253" t="s">
        <v>344</v>
      </c>
      <c r="J260" s="253" t="s">
        <v>344</v>
      </c>
      <c r="K260" s="253" t="s">
        <v>344</v>
      </c>
      <c r="L260" s="253" t="s">
        <v>1325</v>
      </c>
      <c r="M260" s="366">
        <v>4335</v>
      </c>
      <c r="N260" s="366">
        <v>545941.22</v>
      </c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 spans="1:26" ht="15.75" customHeight="1">
      <c r="A261" s="268"/>
      <c r="B261" s="268" t="str">
        <f t="shared" si="0"/>
        <v>Sales</v>
      </c>
      <c r="C261" s="252"/>
      <c r="D261" s="253" t="s">
        <v>1710</v>
      </c>
      <c r="E261" s="375">
        <f t="shared" si="1"/>
        <v>46173</v>
      </c>
      <c r="F261" s="253" t="s">
        <v>1327</v>
      </c>
      <c r="G261" s="253" t="s">
        <v>1719</v>
      </c>
      <c r="H261" s="253" t="s">
        <v>1718</v>
      </c>
      <c r="I261" s="253" t="s">
        <v>344</v>
      </c>
      <c r="J261" s="253" t="s">
        <v>344</v>
      </c>
      <c r="K261" s="253" t="s">
        <v>344</v>
      </c>
      <c r="L261" s="253" t="s">
        <v>1325</v>
      </c>
      <c r="M261" s="366">
        <v>1835</v>
      </c>
      <c r="N261" s="366">
        <v>547776.22</v>
      </c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 spans="1:26" ht="15.75" customHeight="1">
      <c r="A262" s="268"/>
      <c r="B262" s="268" t="str">
        <f t="shared" si="0"/>
        <v>Sales</v>
      </c>
      <c r="C262" s="252"/>
      <c r="D262" s="253" t="s">
        <v>1710</v>
      </c>
      <c r="E262" s="375">
        <f t="shared" si="1"/>
        <v>46173</v>
      </c>
      <c r="F262" s="253" t="s">
        <v>1327</v>
      </c>
      <c r="G262" s="253" t="s">
        <v>1720</v>
      </c>
      <c r="H262" s="253" t="s">
        <v>1718</v>
      </c>
      <c r="I262" s="253" t="s">
        <v>344</v>
      </c>
      <c r="J262" s="253" t="s">
        <v>344</v>
      </c>
      <c r="K262" s="253" t="s">
        <v>344</v>
      </c>
      <c r="L262" s="253" t="s">
        <v>1325</v>
      </c>
      <c r="M262" s="366">
        <v>1830</v>
      </c>
      <c r="N262" s="366">
        <v>549606.22</v>
      </c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 spans="1:26" ht="15.75" customHeight="1">
      <c r="A263" s="268"/>
      <c r="B263" s="268" t="str">
        <f t="shared" ref="B263:B517" si="2">IF(ISBLANK(C263),B262,C263)</f>
        <v>Sales</v>
      </c>
      <c r="C263" s="252"/>
      <c r="D263" s="253" t="s">
        <v>1710</v>
      </c>
      <c r="E263" s="375">
        <f t="shared" si="1"/>
        <v>46173</v>
      </c>
      <c r="F263" s="253" t="s">
        <v>1327</v>
      </c>
      <c r="G263" s="253" t="s">
        <v>1721</v>
      </c>
      <c r="H263" s="253" t="s">
        <v>1718</v>
      </c>
      <c r="I263" s="253" t="s">
        <v>344</v>
      </c>
      <c r="J263" s="253" t="s">
        <v>344</v>
      </c>
      <c r="K263" s="253" t="s">
        <v>344</v>
      </c>
      <c r="L263" s="253" t="s">
        <v>1325</v>
      </c>
      <c r="M263" s="366">
        <v>750</v>
      </c>
      <c r="N263" s="366">
        <v>550356.22</v>
      </c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 spans="1:26" ht="15.75" customHeight="1">
      <c r="A264" s="268"/>
      <c r="B264" s="268" t="str">
        <f t="shared" si="2"/>
        <v>Sales</v>
      </c>
      <c r="C264" s="252"/>
      <c r="D264" s="253" t="s">
        <v>1710</v>
      </c>
      <c r="E264" s="375">
        <f t="shared" ref="E264:E518" si="3">EOMONTH(D264,0)</f>
        <v>46173</v>
      </c>
      <c r="F264" s="253" t="s">
        <v>1327</v>
      </c>
      <c r="G264" s="253" t="s">
        <v>1721</v>
      </c>
      <c r="H264" s="253" t="s">
        <v>1718</v>
      </c>
      <c r="I264" s="253" t="s">
        <v>344</v>
      </c>
      <c r="J264" s="253" t="s">
        <v>344</v>
      </c>
      <c r="K264" s="253" t="s">
        <v>344</v>
      </c>
      <c r="L264" s="253" t="s">
        <v>1325</v>
      </c>
      <c r="M264" s="366">
        <v>300</v>
      </c>
      <c r="N264" s="366">
        <v>550656.22</v>
      </c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 spans="1:26" ht="15.75" customHeight="1">
      <c r="A265" s="268"/>
      <c r="B265" s="268" t="str">
        <f t="shared" si="2"/>
        <v>Sales</v>
      </c>
      <c r="C265" s="252"/>
      <c r="D265" s="253" t="s">
        <v>1710</v>
      </c>
      <c r="E265" s="375">
        <f t="shared" si="3"/>
        <v>46173</v>
      </c>
      <c r="F265" s="253" t="s">
        <v>1327</v>
      </c>
      <c r="G265" s="253" t="s">
        <v>1722</v>
      </c>
      <c r="H265" s="253" t="s">
        <v>1723</v>
      </c>
      <c r="I265" s="253" t="s">
        <v>344</v>
      </c>
      <c r="J265" s="253" t="s">
        <v>344</v>
      </c>
      <c r="K265" s="253" t="s">
        <v>344</v>
      </c>
      <c r="L265" s="253" t="s">
        <v>1325</v>
      </c>
      <c r="M265" s="366">
        <v>2350</v>
      </c>
      <c r="N265" s="366">
        <v>553006.22</v>
      </c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 spans="1:26" ht="15.75" customHeight="1">
      <c r="A266" s="268"/>
      <c r="B266" s="268" t="str">
        <f t="shared" si="2"/>
        <v>Sales</v>
      </c>
      <c r="C266" s="252"/>
      <c r="D266" s="253" t="s">
        <v>1710</v>
      </c>
      <c r="E266" s="375">
        <f t="shared" si="3"/>
        <v>46173</v>
      </c>
      <c r="F266" s="253" t="s">
        <v>1327</v>
      </c>
      <c r="G266" s="253" t="s">
        <v>1724</v>
      </c>
      <c r="H266" s="253" t="s">
        <v>1723</v>
      </c>
      <c r="I266" s="253" t="s">
        <v>344</v>
      </c>
      <c r="J266" s="253" t="s">
        <v>344</v>
      </c>
      <c r="K266" s="253" t="s">
        <v>344</v>
      </c>
      <c r="L266" s="253" t="s">
        <v>1325</v>
      </c>
      <c r="M266" s="366">
        <v>850</v>
      </c>
      <c r="N266" s="366">
        <v>553856.22</v>
      </c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 spans="1:26" ht="15.75" customHeight="1">
      <c r="A267" s="268"/>
      <c r="B267" s="268" t="str">
        <f t="shared" si="2"/>
        <v>Sales</v>
      </c>
      <c r="C267" s="252"/>
      <c r="D267" s="253" t="s">
        <v>1710</v>
      </c>
      <c r="E267" s="375">
        <f t="shared" si="3"/>
        <v>46173</v>
      </c>
      <c r="F267" s="253" t="s">
        <v>1327</v>
      </c>
      <c r="G267" s="253" t="s">
        <v>1725</v>
      </c>
      <c r="H267" s="253" t="s">
        <v>1726</v>
      </c>
      <c r="I267" s="253" t="s">
        <v>344</v>
      </c>
      <c r="J267" s="253" t="s">
        <v>344</v>
      </c>
      <c r="K267" s="253" t="s">
        <v>344</v>
      </c>
      <c r="L267" s="253" t="s">
        <v>1325</v>
      </c>
      <c r="M267" s="366">
        <v>4500</v>
      </c>
      <c r="N267" s="366">
        <v>558356.22</v>
      </c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 spans="1:26" ht="15.75" customHeight="1">
      <c r="A268" s="268"/>
      <c r="B268" s="268" t="str">
        <f t="shared" si="2"/>
        <v>Sales</v>
      </c>
      <c r="C268" s="252"/>
      <c r="D268" s="253" t="s">
        <v>1710</v>
      </c>
      <c r="E268" s="375">
        <f t="shared" si="3"/>
        <v>46173</v>
      </c>
      <c r="F268" s="253" t="s">
        <v>1327</v>
      </c>
      <c r="G268" s="253" t="s">
        <v>1727</v>
      </c>
      <c r="H268" s="253" t="s">
        <v>1726</v>
      </c>
      <c r="I268" s="253" t="s">
        <v>344</v>
      </c>
      <c r="J268" s="253" t="s">
        <v>344</v>
      </c>
      <c r="K268" s="253" t="s">
        <v>344</v>
      </c>
      <c r="L268" s="253" t="s">
        <v>1325</v>
      </c>
      <c r="M268" s="366">
        <v>2000</v>
      </c>
      <c r="N268" s="366">
        <v>560356.22</v>
      </c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 spans="1:26" ht="15.75" customHeight="1">
      <c r="A269" s="268"/>
      <c r="B269" s="268" t="str">
        <f t="shared" si="2"/>
        <v>Sales</v>
      </c>
      <c r="C269" s="252"/>
      <c r="D269" s="253" t="s">
        <v>1710</v>
      </c>
      <c r="E269" s="375">
        <f t="shared" si="3"/>
        <v>46173</v>
      </c>
      <c r="F269" s="253" t="s">
        <v>1327</v>
      </c>
      <c r="G269" s="253" t="s">
        <v>1728</v>
      </c>
      <c r="H269" s="253" t="s">
        <v>1726</v>
      </c>
      <c r="I269" s="253" t="s">
        <v>344</v>
      </c>
      <c r="J269" s="253" t="s">
        <v>344</v>
      </c>
      <c r="K269" s="253" t="s">
        <v>344</v>
      </c>
      <c r="L269" s="253" t="s">
        <v>1325</v>
      </c>
      <c r="M269" s="366">
        <v>2000</v>
      </c>
      <c r="N269" s="366">
        <v>562356.22</v>
      </c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 spans="1:26" ht="15.75" customHeight="1">
      <c r="A270" s="268"/>
      <c r="B270" s="268" t="str">
        <f t="shared" si="2"/>
        <v>Sales</v>
      </c>
      <c r="C270" s="252"/>
      <c r="D270" s="253" t="s">
        <v>1710</v>
      </c>
      <c r="E270" s="375">
        <f t="shared" si="3"/>
        <v>46173</v>
      </c>
      <c r="F270" s="253" t="s">
        <v>1327</v>
      </c>
      <c r="G270" s="253" t="s">
        <v>1729</v>
      </c>
      <c r="H270" s="253" t="s">
        <v>1726</v>
      </c>
      <c r="I270" s="253" t="s">
        <v>344</v>
      </c>
      <c r="J270" s="253" t="s">
        <v>344</v>
      </c>
      <c r="K270" s="253" t="s">
        <v>344</v>
      </c>
      <c r="L270" s="253" t="s">
        <v>1325</v>
      </c>
      <c r="M270" s="366">
        <v>750</v>
      </c>
      <c r="N270" s="366">
        <v>563106.22</v>
      </c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 spans="1:26" ht="15.75" customHeight="1">
      <c r="A271" s="268"/>
      <c r="B271" s="268" t="str">
        <f t="shared" si="2"/>
        <v>Sales</v>
      </c>
      <c r="C271" s="252"/>
      <c r="D271" s="253" t="s">
        <v>1710</v>
      </c>
      <c r="E271" s="375">
        <f t="shared" si="3"/>
        <v>46173</v>
      </c>
      <c r="F271" s="253" t="s">
        <v>1327</v>
      </c>
      <c r="G271" s="253" t="s">
        <v>1729</v>
      </c>
      <c r="H271" s="253" t="s">
        <v>1726</v>
      </c>
      <c r="I271" s="253" t="s">
        <v>344</v>
      </c>
      <c r="J271" s="253" t="s">
        <v>344</v>
      </c>
      <c r="K271" s="253" t="s">
        <v>344</v>
      </c>
      <c r="L271" s="253" t="s">
        <v>1325</v>
      </c>
      <c r="M271" s="366">
        <v>300</v>
      </c>
      <c r="N271" s="366">
        <v>563406.22</v>
      </c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 spans="1:26" ht="15.75" customHeight="1">
      <c r="A272" s="268"/>
      <c r="B272" s="268" t="str">
        <f t="shared" si="2"/>
        <v>Sales</v>
      </c>
      <c r="C272" s="252"/>
      <c r="D272" s="253" t="s">
        <v>1730</v>
      </c>
      <c r="E272" s="375">
        <f t="shared" si="3"/>
        <v>46173</v>
      </c>
      <c r="F272" s="253" t="s">
        <v>1327</v>
      </c>
      <c r="G272" s="253" t="s">
        <v>1731</v>
      </c>
      <c r="H272" s="253" t="s">
        <v>1706</v>
      </c>
      <c r="I272" s="253" t="s">
        <v>344</v>
      </c>
      <c r="J272" s="253" t="s">
        <v>344</v>
      </c>
      <c r="K272" s="253" t="s">
        <v>344</v>
      </c>
      <c r="L272" s="253" t="s">
        <v>1325</v>
      </c>
      <c r="M272" s="366">
        <v>550</v>
      </c>
      <c r="N272" s="366">
        <v>563956.22</v>
      </c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 spans="1:26" ht="15.75" customHeight="1">
      <c r="A273" s="268"/>
      <c r="B273" s="268" t="str">
        <f t="shared" si="2"/>
        <v>Sales</v>
      </c>
      <c r="C273" s="252"/>
      <c r="D273" s="253" t="s">
        <v>1730</v>
      </c>
      <c r="E273" s="375">
        <f t="shared" si="3"/>
        <v>46173</v>
      </c>
      <c r="F273" s="253" t="s">
        <v>1322</v>
      </c>
      <c r="G273" s="253" t="s">
        <v>1732</v>
      </c>
      <c r="H273" s="253" t="s">
        <v>1733</v>
      </c>
      <c r="I273" s="253" t="s">
        <v>344</v>
      </c>
      <c r="J273" s="253" t="s">
        <v>344</v>
      </c>
      <c r="K273" s="253" t="s">
        <v>344</v>
      </c>
      <c r="L273" s="253" t="s">
        <v>1325</v>
      </c>
      <c r="M273" s="366">
        <v>-8.23</v>
      </c>
      <c r="N273" s="366">
        <v>563947.99</v>
      </c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 spans="1:26" ht="15.75" customHeight="1">
      <c r="A274" s="268"/>
      <c r="B274" s="268" t="str">
        <f t="shared" si="2"/>
        <v>Sales</v>
      </c>
      <c r="C274" s="252"/>
      <c r="D274" s="253" t="s">
        <v>1734</v>
      </c>
      <c r="E274" s="375">
        <f t="shared" si="3"/>
        <v>46173</v>
      </c>
      <c r="F274" s="253" t="s">
        <v>1322</v>
      </c>
      <c r="G274" s="253" t="s">
        <v>1735</v>
      </c>
      <c r="H274" s="253" t="s">
        <v>1736</v>
      </c>
      <c r="I274" s="253" t="s">
        <v>344</v>
      </c>
      <c r="J274" s="253" t="s">
        <v>344</v>
      </c>
      <c r="K274" s="253" t="s">
        <v>344</v>
      </c>
      <c r="L274" s="253" t="s">
        <v>1325</v>
      </c>
      <c r="M274" s="366">
        <v>-0.47</v>
      </c>
      <c r="N274" s="366">
        <v>563947.52000000002</v>
      </c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 spans="1:26" ht="15.75" customHeight="1">
      <c r="A275" s="268"/>
      <c r="B275" s="268" t="str">
        <f t="shared" si="2"/>
        <v>Sales</v>
      </c>
      <c r="C275" s="252"/>
      <c r="D275" s="253" t="s">
        <v>1737</v>
      </c>
      <c r="E275" s="375">
        <f t="shared" si="3"/>
        <v>46173</v>
      </c>
      <c r="F275" s="253" t="s">
        <v>1322</v>
      </c>
      <c r="G275" s="253" t="s">
        <v>1738</v>
      </c>
      <c r="H275" s="253" t="s">
        <v>1739</v>
      </c>
      <c r="I275" s="253" t="s">
        <v>344</v>
      </c>
      <c r="J275" s="253" t="s">
        <v>344</v>
      </c>
      <c r="K275" s="253" t="s">
        <v>344</v>
      </c>
      <c r="L275" s="253" t="s">
        <v>1325</v>
      </c>
      <c r="M275" s="366">
        <v>-32.4</v>
      </c>
      <c r="N275" s="366">
        <v>563915.12</v>
      </c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 spans="1:26" ht="15.75" customHeight="1">
      <c r="A276" s="268"/>
      <c r="B276" s="268" t="str">
        <f t="shared" si="2"/>
        <v>Sales</v>
      </c>
      <c r="C276" s="252"/>
      <c r="D276" s="253" t="s">
        <v>1737</v>
      </c>
      <c r="E276" s="375">
        <f t="shared" si="3"/>
        <v>46173</v>
      </c>
      <c r="F276" s="253" t="s">
        <v>1322</v>
      </c>
      <c r="G276" s="253" t="s">
        <v>1740</v>
      </c>
      <c r="H276" s="253" t="s">
        <v>1410</v>
      </c>
      <c r="I276" s="253" t="s">
        <v>344</v>
      </c>
      <c r="J276" s="253" t="s">
        <v>344</v>
      </c>
      <c r="K276" s="253" t="s">
        <v>344</v>
      </c>
      <c r="L276" s="253" t="s">
        <v>1325</v>
      </c>
      <c r="M276" s="366">
        <v>-0.49</v>
      </c>
      <c r="N276" s="366">
        <v>563914.63</v>
      </c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 spans="1:26" ht="15.75" customHeight="1">
      <c r="A277" s="268"/>
      <c r="B277" s="268" t="str">
        <f t="shared" si="2"/>
        <v>Sales</v>
      </c>
      <c r="C277" s="252"/>
      <c r="D277" s="253" t="s">
        <v>1741</v>
      </c>
      <c r="E277" s="375">
        <f t="shared" si="3"/>
        <v>46173</v>
      </c>
      <c r="F277" s="253" t="s">
        <v>1327</v>
      </c>
      <c r="G277" s="253" t="s">
        <v>1742</v>
      </c>
      <c r="H277" s="253" t="s">
        <v>1743</v>
      </c>
      <c r="I277" s="253" t="s">
        <v>344</v>
      </c>
      <c r="J277" s="253" t="s">
        <v>344</v>
      </c>
      <c r="K277" s="253" t="s">
        <v>344</v>
      </c>
      <c r="L277" s="253" t="s">
        <v>1325</v>
      </c>
      <c r="M277" s="366">
        <v>4000</v>
      </c>
      <c r="N277" s="366">
        <v>567914.63</v>
      </c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 spans="1:26" ht="15.75" customHeight="1">
      <c r="A278" s="268"/>
      <c r="B278" s="268" t="str">
        <f t="shared" si="2"/>
        <v>Sales</v>
      </c>
      <c r="C278" s="252"/>
      <c r="D278" s="253" t="s">
        <v>1741</v>
      </c>
      <c r="E278" s="375">
        <f t="shared" si="3"/>
        <v>46173</v>
      </c>
      <c r="F278" s="253" t="s">
        <v>1327</v>
      </c>
      <c r="G278" s="253" t="s">
        <v>1744</v>
      </c>
      <c r="H278" s="253" t="s">
        <v>1745</v>
      </c>
      <c r="I278" s="253" t="s">
        <v>344</v>
      </c>
      <c r="J278" s="253" t="s">
        <v>344</v>
      </c>
      <c r="K278" s="253" t="s">
        <v>344</v>
      </c>
      <c r="L278" s="253" t="s">
        <v>1325</v>
      </c>
      <c r="M278" s="366">
        <v>2500</v>
      </c>
      <c r="N278" s="366">
        <v>570414.63</v>
      </c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 spans="1:26" ht="15.75" customHeight="1">
      <c r="A279" s="268"/>
      <c r="B279" s="268" t="str">
        <f t="shared" si="2"/>
        <v>Sales</v>
      </c>
      <c r="C279" s="252"/>
      <c r="D279" s="253" t="s">
        <v>1741</v>
      </c>
      <c r="E279" s="375">
        <f t="shared" si="3"/>
        <v>46173</v>
      </c>
      <c r="F279" s="253" t="s">
        <v>1327</v>
      </c>
      <c r="G279" s="253" t="s">
        <v>1746</v>
      </c>
      <c r="H279" s="253" t="s">
        <v>1747</v>
      </c>
      <c r="I279" s="253" t="s">
        <v>344</v>
      </c>
      <c r="J279" s="253" t="s">
        <v>344</v>
      </c>
      <c r="K279" s="253" t="s">
        <v>344</v>
      </c>
      <c r="L279" s="253" t="s">
        <v>1325</v>
      </c>
      <c r="M279" s="366">
        <v>2500</v>
      </c>
      <c r="N279" s="366">
        <v>572914.63</v>
      </c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 spans="1:26" ht="15.75" customHeight="1">
      <c r="A280" s="268"/>
      <c r="B280" s="268" t="str">
        <f t="shared" si="2"/>
        <v>Sales</v>
      </c>
      <c r="C280" s="252"/>
      <c r="D280" s="253" t="s">
        <v>1741</v>
      </c>
      <c r="E280" s="375">
        <f t="shared" si="3"/>
        <v>46173</v>
      </c>
      <c r="F280" s="253" t="s">
        <v>1327</v>
      </c>
      <c r="G280" s="253" t="s">
        <v>1748</v>
      </c>
      <c r="H280" s="253" t="s">
        <v>1749</v>
      </c>
      <c r="I280" s="253" t="s">
        <v>344</v>
      </c>
      <c r="J280" s="253" t="s">
        <v>344</v>
      </c>
      <c r="K280" s="253" t="s">
        <v>344</v>
      </c>
      <c r="L280" s="253" t="s">
        <v>1325</v>
      </c>
      <c r="M280" s="366">
        <v>2500</v>
      </c>
      <c r="N280" s="366">
        <v>575414.63</v>
      </c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 spans="1:26" ht="15.75" customHeight="1">
      <c r="A281" s="268"/>
      <c r="B281" s="268" t="str">
        <f t="shared" si="2"/>
        <v>Total for Sales</v>
      </c>
      <c r="C281" s="367" t="s">
        <v>1750</v>
      </c>
      <c r="D281" s="252"/>
      <c r="E281" s="375">
        <f t="shared" si="3"/>
        <v>31</v>
      </c>
      <c r="F281" s="252"/>
      <c r="G281" s="252"/>
      <c r="H281" s="252"/>
      <c r="I281" s="252"/>
      <c r="J281" s="252"/>
      <c r="K281" s="252"/>
      <c r="L281" s="252"/>
      <c r="M281" s="368">
        <f>M9+M10+M11+M12+M13+M14+M15+M16+M17+M18+M19+M20+M21+M22+M23+M24+M25+M26+M27+M28+M29+M30+M31+M32+M33+M34+M35+M36+M37+M38+M39+M40+M41+M42+M43+M44+M45+M46+M47+M48+M49+M50+M51+M52+M53+M54+M55+M56+M57+M58+M59+M60+M61+M62+M63+M64+M65+M66+M67+M68+M69+M70+M71+M72+M73+M74+M75+M76+M77+M78+M79+M80+M81+M82+M83+M84+M85+M86+M87+M88+M89+M90+M91+M92+M93+M94+M95+M96+M97+M98+M99+M100+M101+M102+M103+M104+M105+M106+M107+M108+M109+M110+M111+M112+M113+M114+M115+M116+M117+M118+M119+M120+M121+M122+M123+M124+M125+M126+M127+M128+M129+M130+M131+M132+M133+M134+M135+M136+M137+M138+M139+M140+M141+M142+M143+M144+M145+M146+M147+M148+M149+M150+M151+M152+M153+M154+M155+M156+M157+M158+M159+M160+M161+M162+M163+M164+M165+M166+M167+M168+M169+M170+M171+M172+M173+M174+M175+M176+M177+M178+M179+M180+M181+M182+M183+M184+M185+M186+M187+M188+M189+M190+M191+M192+M193+M194+M195+M196+M197+M198+M199+M200+M201+M202+M203+M204+M205+M206+M207+M208+M209+M210+M211+M212+M213+M214+M215+M216+M217+M218+M219+M220+M221+M222+M223+M224+M225+M226+M227+M228+M229+M230+M231+M232+M233+M234+M235+M236+M237+M238+M239+M240+M241+M242+M243+M244+M245+M246+M247+M248+M249+M250+M251+M252+M253+M254+M255+M256+M257+M258+M259+M260+M261+M262+M263+M264+M265+M266+M267+M268+M269+M270+M271+M272+M273+M274+M275+M276+M277+M278+M279+M280</f>
        <v>575414.63</v>
      </c>
      <c r="N281" s="252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 spans="1:26" ht="15.75" customHeight="1">
      <c r="A282" s="268"/>
      <c r="B282" s="268" t="str">
        <f t="shared" si="2"/>
        <v>Total for Income with sub-accounts</v>
      </c>
      <c r="C282" s="367" t="s">
        <v>1751</v>
      </c>
      <c r="D282" s="252"/>
      <c r="E282" s="375">
        <f t="shared" si="3"/>
        <v>31</v>
      </c>
      <c r="F282" s="252"/>
      <c r="G282" s="252"/>
      <c r="H282" s="252"/>
      <c r="I282" s="252"/>
      <c r="J282" s="252"/>
      <c r="K282" s="252"/>
      <c r="L282" s="252"/>
      <c r="M282" s="368">
        <f>M281</f>
        <v>575414.63</v>
      </c>
      <c r="N282" s="252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 spans="1:26" ht="15.75" customHeight="1">
      <c r="A283" s="268"/>
      <c r="B283" s="268" t="str">
        <f t="shared" si="2"/>
        <v>Total for Income with sub-accounts</v>
      </c>
      <c r="C283" s="252"/>
      <c r="D283" s="253" t="s">
        <v>1752</v>
      </c>
      <c r="E283" s="375" t="e">
        <f t="shared" si="3"/>
        <v>#VALUE!</v>
      </c>
      <c r="F283" s="252"/>
      <c r="G283" s="252"/>
      <c r="H283" s="252"/>
      <c r="I283" s="252"/>
      <c r="J283" s="252"/>
      <c r="K283" s="252"/>
      <c r="L283" s="252"/>
      <c r="M283" s="253"/>
      <c r="N283" s="252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 spans="1:26" ht="15.75" customHeight="1">
      <c r="A284" s="268"/>
      <c r="B284" s="268" t="str">
        <f t="shared" si="2"/>
        <v>Gross Profit</v>
      </c>
      <c r="C284" s="367" t="s">
        <v>1301</v>
      </c>
      <c r="D284" s="252"/>
      <c r="E284" s="375">
        <f t="shared" si="3"/>
        <v>31</v>
      </c>
      <c r="F284" s="252"/>
      <c r="G284" s="252"/>
      <c r="H284" s="252"/>
      <c r="I284" s="252"/>
      <c r="J284" s="252"/>
      <c r="K284" s="252"/>
      <c r="L284" s="252"/>
      <c r="M284" s="368">
        <f>M282-M283</f>
        <v>575414.63</v>
      </c>
      <c r="N284" s="252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 spans="1:26" ht="15.75" customHeight="1">
      <c r="A285" s="268"/>
      <c r="B285" s="268" t="str">
        <f t="shared" si="2"/>
        <v>Expenses</v>
      </c>
      <c r="C285" s="365" t="s">
        <v>1296</v>
      </c>
      <c r="D285" s="252"/>
      <c r="E285" s="375">
        <f t="shared" si="3"/>
        <v>31</v>
      </c>
      <c r="F285" s="252"/>
      <c r="G285" s="252"/>
      <c r="H285" s="252"/>
      <c r="I285" s="252"/>
      <c r="J285" s="252"/>
      <c r="K285" s="252"/>
      <c r="L285" s="252"/>
      <c r="M285" s="252"/>
      <c r="N285" s="252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 spans="1:26" ht="15.75" customHeight="1">
      <c r="A286" s="268"/>
      <c r="B286" s="268" t="str">
        <f t="shared" si="2"/>
        <v>Advertising and Promotion</v>
      </c>
      <c r="C286" s="365" t="s">
        <v>364</v>
      </c>
      <c r="D286" s="252"/>
      <c r="E286" s="375">
        <f t="shared" si="3"/>
        <v>31</v>
      </c>
      <c r="F286" s="252"/>
      <c r="G286" s="252"/>
      <c r="H286" s="252"/>
      <c r="I286" s="252"/>
      <c r="J286" s="252"/>
      <c r="K286" s="252"/>
      <c r="L286" s="252"/>
      <c r="M286" s="252"/>
      <c r="N286" s="252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 spans="1:26" ht="15.75" customHeight="1">
      <c r="A287" s="268"/>
      <c r="B287" s="268" t="str">
        <f t="shared" si="2"/>
        <v>Advertising and Promotion</v>
      </c>
      <c r="C287" s="252"/>
      <c r="D287" s="253" t="s">
        <v>1753</v>
      </c>
      <c r="E287" s="375">
        <f t="shared" si="3"/>
        <v>46053</v>
      </c>
      <c r="F287" s="253" t="s">
        <v>342</v>
      </c>
      <c r="G287" s="253" t="s">
        <v>344</v>
      </c>
      <c r="H287" s="253" t="s">
        <v>1754</v>
      </c>
      <c r="I287" s="253" t="s">
        <v>344</v>
      </c>
      <c r="J287" s="253" t="s">
        <v>344</v>
      </c>
      <c r="K287" s="253" t="s">
        <v>1755</v>
      </c>
      <c r="L287" s="253" t="s">
        <v>1756</v>
      </c>
      <c r="M287" s="366">
        <v>1500</v>
      </c>
      <c r="N287" s="366">
        <v>1500</v>
      </c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 spans="1:26" ht="15.75" customHeight="1">
      <c r="A288" s="268"/>
      <c r="B288" s="268" t="str">
        <f t="shared" si="2"/>
        <v>Advertising and Promotion</v>
      </c>
      <c r="C288" s="252"/>
      <c r="D288" s="253" t="s">
        <v>1757</v>
      </c>
      <c r="E288" s="375">
        <f t="shared" si="3"/>
        <v>46053</v>
      </c>
      <c r="F288" s="253" t="s">
        <v>342</v>
      </c>
      <c r="G288" s="253" t="s">
        <v>344</v>
      </c>
      <c r="H288" s="253" t="s">
        <v>1758</v>
      </c>
      <c r="I288" s="253" t="s">
        <v>344</v>
      </c>
      <c r="J288" s="253" t="s">
        <v>344</v>
      </c>
      <c r="K288" s="253" t="s">
        <v>1759</v>
      </c>
      <c r="L288" s="253" t="s">
        <v>1756</v>
      </c>
      <c r="M288" s="366">
        <v>462.99</v>
      </c>
      <c r="N288" s="366">
        <v>1962.99</v>
      </c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 spans="1:26" ht="15.75" customHeight="1">
      <c r="A289" s="268"/>
      <c r="B289" s="268" t="str">
        <f t="shared" si="2"/>
        <v>Advertising and Promotion</v>
      </c>
      <c r="C289" s="252"/>
      <c r="D289" s="253" t="s">
        <v>1489</v>
      </c>
      <c r="E289" s="375">
        <f t="shared" si="3"/>
        <v>46112</v>
      </c>
      <c r="F289" s="253" t="s">
        <v>342</v>
      </c>
      <c r="G289" s="253" t="s">
        <v>344</v>
      </c>
      <c r="H289" s="253" t="s">
        <v>1754</v>
      </c>
      <c r="I289" s="253" t="s">
        <v>344</v>
      </c>
      <c r="J289" s="253" t="s">
        <v>344</v>
      </c>
      <c r="K289" s="253" t="s">
        <v>1760</v>
      </c>
      <c r="L289" s="253" t="s">
        <v>1756</v>
      </c>
      <c r="M289" s="366">
        <v>1500</v>
      </c>
      <c r="N289" s="366">
        <v>3462.99</v>
      </c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 spans="1:26" ht="15.75" customHeight="1">
      <c r="A290" s="268"/>
      <c r="B290" s="268" t="str">
        <f t="shared" si="2"/>
        <v>Advertising and Promotion</v>
      </c>
      <c r="C290" s="252"/>
      <c r="D290" s="253" t="s">
        <v>1516</v>
      </c>
      <c r="E290" s="375">
        <f t="shared" si="3"/>
        <v>46112</v>
      </c>
      <c r="F290" s="253" t="s">
        <v>342</v>
      </c>
      <c r="G290" s="253" t="s">
        <v>344</v>
      </c>
      <c r="H290" s="253" t="s">
        <v>1758</v>
      </c>
      <c r="I290" s="253" t="s">
        <v>344</v>
      </c>
      <c r="J290" s="253" t="s">
        <v>344</v>
      </c>
      <c r="K290" s="253" t="s">
        <v>1761</v>
      </c>
      <c r="L290" s="253" t="s">
        <v>1756</v>
      </c>
      <c r="M290" s="366">
        <v>1156.6199999999999</v>
      </c>
      <c r="N290" s="366">
        <v>4619.6099999999997</v>
      </c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 spans="1:26" ht="15.75" customHeight="1">
      <c r="A291" s="268"/>
      <c r="B291" s="268" t="str">
        <f t="shared" si="2"/>
        <v>Total for Advertising and Promotion</v>
      </c>
      <c r="C291" s="367" t="s">
        <v>1762</v>
      </c>
      <c r="D291" s="252"/>
      <c r="E291" s="375">
        <f t="shared" si="3"/>
        <v>31</v>
      </c>
      <c r="F291" s="252"/>
      <c r="G291" s="252"/>
      <c r="H291" s="252"/>
      <c r="I291" s="252"/>
      <c r="J291" s="252"/>
      <c r="K291" s="252"/>
      <c r="L291" s="252"/>
      <c r="M291" s="368">
        <f>M287+M288+M289+M290</f>
        <v>4619.6099999999997</v>
      </c>
      <c r="N291" s="252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 spans="1:26" ht="15.75" customHeight="1">
      <c r="A292" s="268"/>
      <c r="B292" s="268" t="str">
        <f t="shared" si="2"/>
        <v>All-Inclusive Payment for bride</v>
      </c>
      <c r="C292" s="365" t="s">
        <v>346</v>
      </c>
      <c r="D292" s="252"/>
      <c r="E292" s="375">
        <f t="shared" si="3"/>
        <v>31</v>
      </c>
      <c r="F292" s="252"/>
      <c r="G292" s="252"/>
      <c r="H292" s="252"/>
      <c r="I292" s="252"/>
      <c r="J292" s="252"/>
      <c r="K292" s="252"/>
      <c r="L292" s="252"/>
      <c r="M292" s="252"/>
      <c r="N292" s="252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 spans="1:26" ht="15.75" customHeight="1">
      <c r="A293" s="268"/>
      <c r="B293" s="268" t="str">
        <f t="shared" si="2"/>
        <v>All-Inclusive Payment for bride</v>
      </c>
      <c r="C293" s="252"/>
      <c r="D293" s="253" t="s">
        <v>1763</v>
      </c>
      <c r="E293" s="375">
        <f t="shared" si="3"/>
        <v>46053</v>
      </c>
      <c r="F293" s="253" t="s">
        <v>342</v>
      </c>
      <c r="G293" s="253" t="s">
        <v>344</v>
      </c>
      <c r="H293" s="253" t="s">
        <v>1764</v>
      </c>
      <c r="I293" s="253" t="s">
        <v>344</v>
      </c>
      <c r="J293" s="253" t="s">
        <v>344</v>
      </c>
      <c r="K293" s="253" t="s">
        <v>1765</v>
      </c>
      <c r="L293" s="253" t="s">
        <v>1756</v>
      </c>
      <c r="M293" s="366">
        <v>500</v>
      </c>
      <c r="N293" s="366">
        <v>500</v>
      </c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 spans="1:26" ht="15.75" customHeight="1">
      <c r="A294" s="268"/>
      <c r="B294" s="268" t="str">
        <f t="shared" si="2"/>
        <v>All-Inclusive Payment for bride</v>
      </c>
      <c r="C294" s="252"/>
      <c r="D294" s="253" t="s">
        <v>1766</v>
      </c>
      <c r="E294" s="375">
        <f t="shared" si="3"/>
        <v>46053</v>
      </c>
      <c r="F294" s="253" t="s">
        <v>342</v>
      </c>
      <c r="G294" s="253" t="s">
        <v>344</v>
      </c>
      <c r="H294" s="253" t="s">
        <v>1767</v>
      </c>
      <c r="I294" s="253" t="s">
        <v>344</v>
      </c>
      <c r="J294" s="253" t="s">
        <v>344</v>
      </c>
      <c r="K294" s="253" t="s">
        <v>1768</v>
      </c>
      <c r="L294" s="253" t="s">
        <v>1756</v>
      </c>
      <c r="M294" s="366">
        <v>388.55</v>
      </c>
      <c r="N294" s="366">
        <v>888.55</v>
      </c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 spans="1:26" ht="15.75" customHeight="1">
      <c r="A295" s="268"/>
      <c r="B295" s="268" t="str">
        <f t="shared" si="2"/>
        <v>All-Inclusive Payment for bride</v>
      </c>
      <c r="C295" s="252"/>
      <c r="D295" s="253" t="s">
        <v>1769</v>
      </c>
      <c r="E295" s="375">
        <f t="shared" si="3"/>
        <v>46081</v>
      </c>
      <c r="F295" s="253" t="s">
        <v>342</v>
      </c>
      <c r="G295" s="253" t="s">
        <v>344</v>
      </c>
      <c r="H295" s="253" t="s">
        <v>1770</v>
      </c>
      <c r="I295" s="253" t="s">
        <v>344</v>
      </c>
      <c r="J295" s="253" t="s">
        <v>344</v>
      </c>
      <c r="K295" s="253" t="s">
        <v>1771</v>
      </c>
      <c r="L295" s="253" t="s">
        <v>1756</v>
      </c>
      <c r="M295" s="366">
        <v>1147</v>
      </c>
      <c r="N295" s="366">
        <v>2035.55</v>
      </c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 spans="1:26" ht="15.75" customHeight="1">
      <c r="A296" s="268"/>
      <c r="B296" s="268" t="str">
        <f t="shared" si="2"/>
        <v>All-Inclusive Payment for bride</v>
      </c>
      <c r="C296" s="252"/>
      <c r="D296" s="253" t="s">
        <v>1772</v>
      </c>
      <c r="E296" s="375">
        <f t="shared" si="3"/>
        <v>46081</v>
      </c>
      <c r="F296" s="253" t="s">
        <v>342</v>
      </c>
      <c r="G296" s="253" t="s">
        <v>344</v>
      </c>
      <c r="H296" s="253" t="s">
        <v>1773</v>
      </c>
      <c r="I296" s="253" t="s">
        <v>344</v>
      </c>
      <c r="J296" s="253" t="s">
        <v>344</v>
      </c>
      <c r="K296" s="253" t="s">
        <v>1774</v>
      </c>
      <c r="L296" s="253" t="s">
        <v>1756</v>
      </c>
      <c r="M296" s="366">
        <v>100</v>
      </c>
      <c r="N296" s="366">
        <v>2135.5500000000002</v>
      </c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 spans="1:26" ht="15.75" customHeight="1">
      <c r="A297" s="268"/>
      <c r="B297" s="268" t="str">
        <f t="shared" si="2"/>
        <v>All-Inclusive Payment for bride</v>
      </c>
      <c r="C297" s="252"/>
      <c r="D297" s="253" t="s">
        <v>1510</v>
      </c>
      <c r="E297" s="375">
        <f t="shared" si="3"/>
        <v>46112</v>
      </c>
      <c r="F297" s="253" t="s">
        <v>342</v>
      </c>
      <c r="G297" s="253" t="s">
        <v>344</v>
      </c>
      <c r="H297" s="253" t="s">
        <v>1767</v>
      </c>
      <c r="I297" s="253" t="s">
        <v>344</v>
      </c>
      <c r="J297" s="253" t="s">
        <v>344</v>
      </c>
      <c r="K297" s="253" t="s">
        <v>1775</v>
      </c>
      <c r="L297" s="253" t="s">
        <v>1756</v>
      </c>
      <c r="M297" s="366">
        <v>1150.6199999999999</v>
      </c>
      <c r="N297" s="366">
        <v>3286.17</v>
      </c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 spans="1:26" ht="15.75" customHeight="1">
      <c r="A298" s="268"/>
      <c r="B298" s="268" t="str">
        <f t="shared" si="2"/>
        <v>All-Inclusive Payment for bride</v>
      </c>
      <c r="C298" s="252"/>
      <c r="D298" s="253" t="s">
        <v>1776</v>
      </c>
      <c r="E298" s="375">
        <f t="shared" si="3"/>
        <v>46112</v>
      </c>
      <c r="F298" s="253" t="s">
        <v>342</v>
      </c>
      <c r="G298" s="253" t="s">
        <v>344</v>
      </c>
      <c r="H298" s="253" t="s">
        <v>1777</v>
      </c>
      <c r="I298" s="253" t="s">
        <v>344</v>
      </c>
      <c r="J298" s="253" t="s">
        <v>344</v>
      </c>
      <c r="K298" s="253" t="s">
        <v>1778</v>
      </c>
      <c r="L298" s="253" t="s">
        <v>1756</v>
      </c>
      <c r="M298" s="366">
        <v>1200</v>
      </c>
      <c r="N298" s="366">
        <v>4486.17</v>
      </c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 spans="1:26" ht="15.75" customHeight="1">
      <c r="A299" s="268"/>
      <c r="B299" s="268" t="str">
        <f t="shared" si="2"/>
        <v>All-Inclusive Payment for bride</v>
      </c>
      <c r="C299" s="252"/>
      <c r="D299" s="253" t="s">
        <v>1779</v>
      </c>
      <c r="E299" s="375">
        <f t="shared" si="3"/>
        <v>46112</v>
      </c>
      <c r="F299" s="253" t="s">
        <v>342</v>
      </c>
      <c r="G299" s="253" t="s">
        <v>344</v>
      </c>
      <c r="H299" s="253" t="s">
        <v>1780</v>
      </c>
      <c r="I299" s="253" t="s">
        <v>344</v>
      </c>
      <c r="J299" s="253" t="s">
        <v>344</v>
      </c>
      <c r="K299" s="253" t="s">
        <v>1781</v>
      </c>
      <c r="L299" s="253" t="s">
        <v>1756</v>
      </c>
      <c r="M299" s="366">
        <v>450</v>
      </c>
      <c r="N299" s="366">
        <v>4936.17</v>
      </c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 spans="1:26" ht="15.75" customHeight="1">
      <c r="A300" s="268"/>
      <c r="B300" s="268" t="str">
        <f t="shared" si="2"/>
        <v>All-Inclusive Payment for bride</v>
      </c>
      <c r="C300" s="252"/>
      <c r="D300" s="253" t="s">
        <v>1554</v>
      </c>
      <c r="E300" s="375">
        <f t="shared" si="3"/>
        <v>46112</v>
      </c>
      <c r="F300" s="253" t="s">
        <v>342</v>
      </c>
      <c r="G300" s="253" t="s">
        <v>344</v>
      </c>
      <c r="H300" s="253" t="s">
        <v>1782</v>
      </c>
      <c r="I300" s="253" t="s">
        <v>344</v>
      </c>
      <c r="J300" s="253" t="s">
        <v>344</v>
      </c>
      <c r="K300" s="253" t="s">
        <v>1783</v>
      </c>
      <c r="L300" s="253" t="s">
        <v>1756</v>
      </c>
      <c r="M300" s="366">
        <v>570</v>
      </c>
      <c r="N300" s="366">
        <v>5506.17</v>
      </c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 spans="1:26" ht="15.75" customHeight="1">
      <c r="A301" s="268"/>
      <c r="B301" s="268" t="str">
        <f t="shared" si="2"/>
        <v>All-Inclusive Payment for bride</v>
      </c>
      <c r="C301" s="252"/>
      <c r="D301" s="253" t="s">
        <v>1560</v>
      </c>
      <c r="E301" s="375">
        <f t="shared" si="3"/>
        <v>46112</v>
      </c>
      <c r="F301" s="253" t="s">
        <v>342</v>
      </c>
      <c r="G301" s="253" t="s">
        <v>344</v>
      </c>
      <c r="H301" s="253" t="s">
        <v>1767</v>
      </c>
      <c r="I301" s="253" t="s">
        <v>344</v>
      </c>
      <c r="J301" s="253" t="s">
        <v>344</v>
      </c>
      <c r="K301" s="253" t="s">
        <v>1784</v>
      </c>
      <c r="L301" s="253" t="s">
        <v>1756</v>
      </c>
      <c r="M301" s="366">
        <v>662.74</v>
      </c>
      <c r="N301" s="366">
        <v>6168.91</v>
      </c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 spans="1:26" ht="15.75" customHeight="1">
      <c r="A302" s="268"/>
      <c r="B302" s="268" t="str">
        <f t="shared" si="2"/>
        <v>All-Inclusive Payment for bride</v>
      </c>
      <c r="C302" s="252"/>
      <c r="D302" s="253" t="s">
        <v>1586</v>
      </c>
      <c r="E302" s="375">
        <f t="shared" si="3"/>
        <v>46112</v>
      </c>
      <c r="F302" s="253" t="s">
        <v>342</v>
      </c>
      <c r="G302" s="253" t="s">
        <v>344</v>
      </c>
      <c r="H302" s="253" t="s">
        <v>1770</v>
      </c>
      <c r="I302" s="253" t="s">
        <v>344</v>
      </c>
      <c r="J302" s="253" t="s">
        <v>344</v>
      </c>
      <c r="K302" s="253" t="s">
        <v>1785</v>
      </c>
      <c r="L302" s="253" t="s">
        <v>1756</v>
      </c>
      <c r="M302" s="366">
        <v>874</v>
      </c>
      <c r="N302" s="366">
        <v>7042.91</v>
      </c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 spans="1:26" ht="15.75" customHeight="1">
      <c r="A303" s="268"/>
      <c r="B303" s="268" t="str">
        <f t="shared" si="2"/>
        <v>All-Inclusive Payment for bride</v>
      </c>
      <c r="C303" s="252"/>
      <c r="D303" s="253" t="s">
        <v>1586</v>
      </c>
      <c r="E303" s="375">
        <f t="shared" si="3"/>
        <v>46112</v>
      </c>
      <c r="F303" s="253" t="s">
        <v>342</v>
      </c>
      <c r="G303" s="253" t="s">
        <v>344</v>
      </c>
      <c r="H303" s="253" t="s">
        <v>1786</v>
      </c>
      <c r="I303" s="253" t="s">
        <v>344</v>
      </c>
      <c r="J303" s="253" t="s">
        <v>344</v>
      </c>
      <c r="K303" s="253" t="s">
        <v>1787</v>
      </c>
      <c r="L303" s="253" t="s">
        <v>1756</v>
      </c>
      <c r="M303" s="366">
        <v>300</v>
      </c>
      <c r="N303" s="366">
        <v>7342.91</v>
      </c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 spans="1:26" ht="15.75" customHeight="1">
      <c r="A304" s="268"/>
      <c r="B304" s="268" t="str">
        <f t="shared" si="2"/>
        <v>All-Inclusive Payment for bride</v>
      </c>
      <c r="C304" s="252"/>
      <c r="D304" s="253" t="s">
        <v>1788</v>
      </c>
      <c r="E304" s="375">
        <f t="shared" si="3"/>
        <v>46112</v>
      </c>
      <c r="F304" s="253" t="s">
        <v>342</v>
      </c>
      <c r="G304" s="253" t="s">
        <v>344</v>
      </c>
      <c r="H304" s="253" t="s">
        <v>1789</v>
      </c>
      <c r="I304" s="253" t="s">
        <v>344</v>
      </c>
      <c r="J304" s="253" t="s">
        <v>344</v>
      </c>
      <c r="K304" s="253" t="s">
        <v>1790</v>
      </c>
      <c r="L304" s="253" t="s">
        <v>1756</v>
      </c>
      <c r="M304" s="366">
        <v>750</v>
      </c>
      <c r="N304" s="366">
        <v>8092.91</v>
      </c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 spans="1:26" ht="15.75" customHeight="1">
      <c r="A305" s="268"/>
      <c r="B305" s="268" t="str">
        <f t="shared" si="2"/>
        <v>All-Inclusive Payment for bride</v>
      </c>
      <c r="C305" s="252"/>
      <c r="D305" s="253" t="s">
        <v>1791</v>
      </c>
      <c r="E305" s="375">
        <f t="shared" si="3"/>
        <v>46142</v>
      </c>
      <c r="F305" s="253" t="s">
        <v>342</v>
      </c>
      <c r="G305" s="253" t="s">
        <v>344</v>
      </c>
      <c r="H305" s="253" t="s">
        <v>1792</v>
      </c>
      <c r="I305" s="253" t="s">
        <v>344</v>
      </c>
      <c r="J305" s="253" t="s">
        <v>344</v>
      </c>
      <c r="K305" s="253" t="s">
        <v>1793</v>
      </c>
      <c r="L305" s="253" t="s">
        <v>1756</v>
      </c>
      <c r="M305" s="366">
        <v>2638</v>
      </c>
      <c r="N305" s="366">
        <v>10730.91</v>
      </c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 spans="1:26" ht="15.75" customHeight="1">
      <c r="A306" s="268"/>
      <c r="B306" s="268" t="str">
        <f t="shared" si="2"/>
        <v>All-Inclusive Payment for bride</v>
      </c>
      <c r="C306" s="252"/>
      <c r="D306" s="253" t="s">
        <v>1791</v>
      </c>
      <c r="E306" s="375">
        <f t="shared" si="3"/>
        <v>46142</v>
      </c>
      <c r="F306" s="253" t="s">
        <v>342</v>
      </c>
      <c r="G306" s="253" t="s">
        <v>344</v>
      </c>
      <c r="H306" s="253" t="s">
        <v>1794</v>
      </c>
      <c r="I306" s="253" t="s">
        <v>344</v>
      </c>
      <c r="J306" s="253" t="s">
        <v>344</v>
      </c>
      <c r="K306" s="253" t="s">
        <v>1795</v>
      </c>
      <c r="L306" s="253" t="s">
        <v>1756</v>
      </c>
      <c r="M306" s="366">
        <v>600</v>
      </c>
      <c r="N306" s="366">
        <v>11330.91</v>
      </c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 spans="1:26" ht="15.75" customHeight="1">
      <c r="A307" s="268"/>
      <c r="B307" s="268" t="str">
        <f t="shared" si="2"/>
        <v>All-Inclusive Payment for bride</v>
      </c>
      <c r="C307" s="252"/>
      <c r="D307" s="253" t="s">
        <v>1791</v>
      </c>
      <c r="E307" s="375">
        <f t="shared" si="3"/>
        <v>46142</v>
      </c>
      <c r="F307" s="253" t="s">
        <v>342</v>
      </c>
      <c r="G307" s="253" t="s">
        <v>344</v>
      </c>
      <c r="H307" s="253" t="s">
        <v>1767</v>
      </c>
      <c r="I307" s="253" t="s">
        <v>344</v>
      </c>
      <c r="J307" s="253" t="s">
        <v>344</v>
      </c>
      <c r="K307" s="253" t="s">
        <v>1796</v>
      </c>
      <c r="L307" s="253" t="s">
        <v>1756</v>
      </c>
      <c r="M307" s="366">
        <v>508.45</v>
      </c>
      <c r="N307" s="366">
        <v>11839.36</v>
      </c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 spans="1:26" ht="15.75" customHeight="1">
      <c r="A308" s="268"/>
      <c r="B308" s="268" t="str">
        <f t="shared" si="2"/>
        <v>All-Inclusive Payment for bride</v>
      </c>
      <c r="C308" s="252"/>
      <c r="D308" s="253" t="s">
        <v>1797</v>
      </c>
      <c r="E308" s="375">
        <f t="shared" si="3"/>
        <v>46142</v>
      </c>
      <c r="F308" s="253" t="s">
        <v>342</v>
      </c>
      <c r="G308" s="253" t="s">
        <v>344</v>
      </c>
      <c r="H308" s="253" t="s">
        <v>1798</v>
      </c>
      <c r="I308" s="253" t="s">
        <v>344</v>
      </c>
      <c r="J308" s="253" t="s">
        <v>344</v>
      </c>
      <c r="K308" s="253" t="s">
        <v>1799</v>
      </c>
      <c r="L308" s="253" t="s">
        <v>1756</v>
      </c>
      <c r="M308" s="366">
        <v>1893.89</v>
      </c>
      <c r="N308" s="366">
        <v>13733.25</v>
      </c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 spans="1:26" ht="15.75" customHeight="1">
      <c r="A309" s="268"/>
      <c r="B309" s="268" t="str">
        <f t="shared" si="2"/>
        <v>All-Inclusive Payment for bride</v>
      </c>
      <c r="C309" s="252"/>
      <c r="D309" s="253" t="s">
        <v>1800</v>
      </c>
      <c r="E309" s="375">
        <f t="shared" si="3"/>
        <v>46142</v>
      </c>
      <c r="F309" s="253" t="s">
        <v>342</v>
      </c>
      <c r="G309" s="253" t="s">
        <v>344</v>
      </c>
      <c r="H309" s="253" t="s">
        <v>1792</v>
      </c>
      <c r="I309" s="253" t="s">
        <v>344</v>
      </c>
      <c r="J309" s="253" t="s">
        <v>344</v>
      </c>
      <c r="K309" s="253" t="s">
        <v>1801</v>
      </c>
      <c r="L309" s="253" t="s">
        <v>1756</v>
      </c>
      <c r="M309" s="366">
        <v>7058</v>
      </c>
      <c r="N309" s="366">
        <v>20791.25</v>
      </c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 spans="1:26" ht="15.75" customHeight="1">
      <c r="A310" s="268"/>
      <c r="B310" s="268" t="str">
        <f t="shared" si="2"/>
        <v>All-Inclusive Payment for bride</v>
      </c>
      <c r="C310" s="252"/>
      <c r="D310" s="253" t="s">
        <v>1802</v>
      </c>
      <c r="E310" s="375">
        <f t="shared" si="3"/>
        <v>46142</v>
      </c>
      <c r="F310" s="253" t="s">
        <v>342</v>
      </c>
      <c r="G310" s="253" t="s">
        <v>344</v>
      </c>
      <c r="H310" s="253" t="s">
        <v>343</v>
      </c>
      <c r="I310" s="253" t="s">
        <v>344</v>
      </c>
      <c r="J310" s="253" t="s">
        <v>344</v>
      </c>
      <c r="K310" s="253" t="s">
        <v>1803</v>
      </c>
      <c r="L310" s="253" t="s">
        <v>1756</v>
      </c>
      <c r="M310" s="366">
        <v>1000</v>
      </c>
      <c r="N310" s="366">
        <v>21791.25</v>
      </c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 spans="1:26" ht="15.75" customHeight="1">
      <c r="A311" s="268"/>
      <c r="B311" s="268" t="str">
        <f t="shared" si="2"/>
        <v>All-Inclusive Payment for bride</v>
      </c>
      <c r="C311" s="252"/>
      <c r="D311" s="253" t="s">
        <v>1646</v>
      </c>
      <c r="E311" s="375">
        <f t="shared" si="3"/>
        <v>46142</v>
      </c>
      <c r="F311" s="253" t="s">
        <v>342</v>
      </c>
      <c r="G311" s="253" t="s">
        <v>344</v>
      </c>
      <c r="H311" s="253" t="s">
        <v>1770</v>
      </c>
      <c r="I311" s="253" t="s">
        <v>344</v>
      </c>
      <c r="J311" s="253" t="s">
        <v>344</v>
      </c>
      <c r="K311" s="253" t="s">
        <v>1804</v>
      </c>
      <c r="L311" s="253" t="s">
        <v>1756</v>
      </c>
      <c r="M311" s="366">
        <v>875</v>
      </c>
      <c r="N311" s="366">
        <v>22666.25</v>
      </c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 spans="1:26" ht="15.75" customHeight="1">
      <c r="A312" s="268"/>
      <c r="B312" s="268" t="str">
        <f t="shared" si="2"/>
        <v>All-Inclusive Payment for bride</v>
      </c>
      <c r="C312" s="252"/>
      <c r="D312" s="253" t="s">
        <v>1682</v>
      </c>
      <c r="E312" s="375">
        <f t="shared" si="3"/>
        <v>46142</v>
      </c>
      <c r="F312" s="253" t="s">
        <v>342</v>
      </c>
      <c r="G312" s="253" t="s">
        <v>344</v>
      </c>
      <c r="H312" s="253" t="s">
        <v>1773</v>
      </c>
      <c r="I312" s="253" t="s">
        <v>344</v>
      </c>
      <c r="J312" s="253" t="s">
        <v>344</v>
      </c>
      <c r="K312" s="253" t="s">
        <v>1805</v>
      </c>
      <c r="L312" s="253" t="s">
        <v>1756</v>
      </c>
      <c r="M312" s="366">
        <v>75</v>
      </c>
      <c r="N312" s="366">
        <v>22741.25</v>
      </c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 spans="1:26" ht="15.75" customHeight="1">
      <c r="A313" s="268"/>
      <c r="B313" s="268" t="str">
        <f t="shared" si="2"/>
        <v>All-Inclusive Payment for bride</v>
      </c>
      <c r="C313" s="252"/>
      <c r="D313" s="253" t="s">
        <v>1685</v>
      </c>
      <c r="E313" s="375">
        <f t="shared" si="3"/>
        <v>46142</v>
      </c>
      <c r="F313" s="253" t="s">
        <v>342</v>
      </c>
      <c r="G313" s="253" t="s">
        <v>344</v>
      </c>
      <c r="H313" s="253" t="s">
        <v>343</v>
      </c>
      <c r="I313" s="253" t="s">
        <v>344</v>
      </c>
      <c r="J313" s="253" t="s">
        <v>344</v>
      </c>
      <c r="K313" s="253" t="s">
        <v>1806</v>
      </c>
      <c r="L313" s="253" t="s">
        <v>1756</v>
      </c>
      <c r="M313" s="366">
        <v>2800</v>
      </c>
      <c r="N313" s="366">
        <v>25541.25</v>
      </c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 spans="1:26" ht="15.75" customHeight="1">
      <c r="A314" s="268"/>
      <c r="B314" s="268" t="str">
        <f t="shared" si="2"/>
        <v>All-Inclusive Payment for bride</v>
      </c>
      <c r="C314" s="252"/>
      <c r="D314" s="253" t="s">
        <v>1710</v>
      </c>
      <c r="E314" s="375">
        <f t="shared" si="3"/>
        <v>46173</v>
      </c>
      <c r="F314" s="253" t="s">
        <v>342</v>
      </c>
      <c r="G314" s="253" t="s">
        <v>344</v>
      </c>
      <c r="H314" s="253" t="s">
        <v>1807</v>
      </c>
      <c r="I314" s="253" t="s">
        <v>344</v>
      </c>
      <c r="J314" s="253" t="s">
        <v>344</v>
      </c>
      <c r="K314" s="253" t="s">
        <v>1808</v>
      </c>
      <c r="L314" s="253" t="s">
        <v>1756</v>
      </c>
      <c r="M314" s="366">
        <v>700</v>
      </c>
      <c r="N314" s="366">
        <v>26241.25</v>
      </c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 spans="1:26" ht="15.75" customHeight="1">
      <c r="A315" s="268"/>
      <c r="B315" s="268" t="str">
        <f t="shared" si="2"/>
        <v>All-Inclusive Payment for bride</v>
      </c>
      <c r="C315" s="252"/>
      <c r="D315" s="253" t="s">
        <v>1809</v>
      </c>
      <c r="E315" s="375">
        <f t="shared" si="3"/>
        <v>46173</v>
      </c>
      <c r="F315" s="253" t="s">
        <v>342</v>
      </c>
      <c r="G315" s="253" t="s">
        <v>344</v>
      </c>
      <c r="H315" s="253" t="s">
        <v>343</v>
      </c>
      <c r="I315" s="253" t="s">
        <v>344</v>
      </c>
      <c r="J315" s="253" t="s">
        <v>344</v>
      </c>
      <c r="K315" s="253" t="s">
        <v>1810</v>
      </c>
      <c r="L315" s="253" t="s">
        <v>1756</v>
      </c>
      <c r="M315" s="366">
        <v>1500</v>
      </c>
      <c r="N315" s="366">
        <v>27741.25</v>
      </c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 spans="1:26" ht="15.75" customHeight="1">
      <c r="A316" s="268"/>
      <c r="B316" s="268" t="str">
        <f t="shared" si="2"/>
        <v>All-Inclusive Payment for bride</v>
      </c>
      <c r="C316" s="252"/>
      <c r="D316" s="253" t="s">
        <v>1809</v>
      </c>
      <c r="E316" s="375">
        <f t="shared" si="3"/>
        <v>46173</v>
      </c>
      <c r="F316" s="253" t="s">
        <v>342</v>
      </c>
      <c r="G316" s="253" t="s">
        <v>344</v>
      </c>
      <c r="H316" s="253" t="s">
        <v>1811</v>
      </c>
      <c r="I316" s="253" t="s">
        <v>344</v>
      </c>
      <c r="J316" s="253" t="s">
        <v>344</v>
      </c>
      <c r="K316" s="253" t="s">
        <v>1812</v>
      </c>
      <c r="L316" s="253" t="s">
        <v>1756</v>
      </c>
      <c r="M316" s="366">
        <v>387.5</v>
      </c>
      <c r="N316" s="366">
        <v>28128.75</v>
      </c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 spans="1:26" ht="15.75" customHeight="1">
      <c r="A317" s="268"/>
      <c r="B317" s="268" t="str">
        <f t="shared" si="2"/>
        <v>All-Inclusive Payment for bride</v>
      </c>
      <c r="C317" s="252"/>
      <c r="D317" s="253" t="s">
        <v>1809</v>
      </c>
      <c r="E317" s="375">
        <f t="shared" si="3"/>
        <v>46173</v>
      </c>
      <c r="F317" s="253" t="s">
        <v>342</v>
      </c>
      <c r="G317" s="253" t="s">
        <v>344</v>
      </c>
      <c r="H317" s="253" t="s">
        <v>1789</v>
      </c>
      <c r="I317" s="253" t="s">
        <v>344</v>
      </c>
      <c r="J317" s="253" t="s">
        <v>344</v>
      </c>
      <c r="K317" s="253" t="s">
        <v>1813</v>
      </c>
      <c r="L317" s="253" t="s">
        <v>1756</v>
      </c>
      <c r="M317" s="366">
        <v>5523.69</v>
      </c>
      <c r="N317" s="366">
        <v>33652.44</v>
      </c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 spans="1:26" ht="15.75" customHeight="1">
      <c r="A318" s="268"/>
      <c r="B318" s="268" t="str">
        <f t="shared" si="2"/>
        <v>All-Inclusive Payment for bride</v>
      </c>
      <c r="C318" s="252"/>
      <c r="D318" s="253" t="s">
        <v>1809</v>
      </c>
      <c r="E318" s="375">
        <f t="shared" si="3"/>
        <v>46173</v>
      </c>
      <c r="F318" s="253" t="s">
        <v>342</v>
      </c>
      <c r="G318" s="253" t="s">
        <v>344</v>
      </c>
      <c r="H318" s="253" t="s">
        <v>1814</v>
      </c>
      <c r="I318" s="253" t="s">
        <v>344</v>
      </c>
      <c r="J318" s="253" t="s">
        <v>344</v>
      </c>
      <c r="K318" s="253" t="s">
        <v>1815</v>
      </c>
      <c r="L318" s="253" t="s">
        <v>1756</v>
      </c>
      <c r="M318" s="366">
        <v>1900</v>
      </c>
      <c r="N318" s="366">
        <v>35552.44</v>
      </c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 spans="1:26" ht="15.75" customHeight="1">
      <c r="A319" s="268"/>
      <c r="B319" s="268" t="str">
        <f t="shared" si="2"/>
        <v>All-Inclusive Payment for bride</v>
      </c>
      <c r="C319" s="252"/>
      <c r="D319" s="253" t="s">
        <v>1816</v>
      </c>
      <c r="E319" s="375">
        <f t="shared" si="3"/>
        <v>46173</v>
      </c>
      <c r="F319" s="253" t="s">
        <v>342</v>
      </c>
      <c r="G319" s="253" t="s">
        <v>344</v>
      </c>
      <c r="H319" s="253" t="s">
        <v>1792</v>
      </c>
      <c r="I319" s="253" t="s">
        <v>344</v>
      </c>
      <c r="J319" s="253" t="s">
        <v>344</v>
      </c>
      <c r="K319" s="253" t="s">
        <v>1817</v>
      </c>
      <c r="L319" s="253" t="s">
        <v>1756</v>
      </c>
      <c r="M319" s="366">
        <v>300</v>
      </c>
      <c r="N319" s="366">
        <v>35852.44</v>
      </c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 spans="1:26" ht="15.75" customHeight="1">
      <c r="A320" s="268"/>
      <c r="B320" s="268" t="str">
        <f t="shared" si="2"/>
        <v>All-Inclusive Payment for bride</v>
      </c>
      <c r="C320" s="252"/>
      <c r="D320" s="253" t="s">
        <v>1816</v>
      </c>
      <c r="E320" s="375">
        <f t="shared" si="3"/>
        <v>46173</v>
      </c>
      <c r="F320" s="253" t="s">
        <v>342</v>
      </c>
      <c r="G320" s="253" t="s">
        <v>344</v>
      </c>
      <c r="H320" s="253" t="s">
        <v>343</v>
      </c>
      <c r="I320" s="253" t="s">
        <v>344</v>
      </c>
      <c r="J320" s="253" t="s">
        <v>344</v>
      </c>
      <c r="K320" s="253" t="s">
        <v>1818</v>
      </c>
      <c r="L320" s="253" t="s">
        <v>1756</v>
      </c>
      <c r="M320" s="366">
        <v>3750</v>
      </c>
      <c r="N320" s="366">
        <v>39602.44</v>
      </c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 spans="1:26" ht="15.75" customHeight="1">
      <c r="A321" s="268"/>
      <c r="B321" s="268" t="str">
        <f t="shared" si="2"/>
        <v>Total for All-Inclusive Payment for bride</v>
      </c>
      <c r="C321" s="367" t="s">
        <v>1819</v>
      </c>
      <c r="D321" s="252"/>
      <c r="E321" s="375">
        <f t="shared" si="3"/>
        <v>31</v>
      </c>
      <c r="F321" s="252"/>
      <c r="G321" s="252"/>
      <c r="H321" s="252"/>
      <c r="I321" s="252"/>
      <c r="J321" s="252"/>
      <c r="K321" s="252"/>
      <c r="L321" s="252"/>
      <c r="M321" s="368">
        <f>M293+M294+M295+M296+M297+M298+M299+M300+M301+M302+M303+M304+M305+M306+M307+M308+M309+M310+M311+M312+M313+M314+M315+M316+M317+M318+M319+M320</f>
        <v>39602.44</v>
      </c>
      <c r="N321" s="252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 spans="1:26" ht="15.75" customHeight="1">
      <c r="A322" s="268"/>
      <c r="B322" s="268" t="str">
        <f t="shared" si="2"/>
        <v>Automobile Expense</v>
      </c>
      <c r="C322" s="365" t="s">
        <v>354</v>
      </c>
      <c r="D322" s="252"/>
      <c r="E322" s="375">
        <f t="shared" si="3"/>
        <v>31</v>
      </c>
      <c r="F322" s="252"/>
      <c r="G322" s="252"/>
      <c r="H322" s="252"/>
      <c r="I322" s="252"/>
      <c r="J322" s="252"/>
      <c r="K322" s="252"/>
      <c r="L322" s="252"/>
      <c r="M322" s="252"/>
      <c r="N322" s="252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 spans="1:26" ht="15.75" customHeight="1">
      <c r="A323" s="376" t="s">
        <v>1820</v>
      </c>
      <c r="B323" s="268" t="str">
        <f t="shared" si="2"/>
        <v>Automobile Expense</v>
      </c>
      <c r="C323" s="252"/>
      <c r="D323" s="253" t="s">
        <v>1821</v>
      </c>
      <c r="E323" s="375">
        <f t="shared" si="3"/>
        <v>46053</v>
      </c>
      <c r="F323" s="253" t="s">
        <v>342</v>
      </c>
      <c r="G323" s="253" t="s">
        <v>344</v>
      </c>
      <c r="H323" s="253" t="s">
        <v>352</v>
      </c>
      <c r="I323" s="253" t="s">
        <v>344</v>
      </c>
      <c r="J323" s="253" t="s">
        <v>344</v>
      </c>
      <c r="K323" s="253" t="s">
        <v>1822</v>
      </c>
      <c r="L323" s="253" t="s">
        <v>1756</v>
      </c>
      <c r="M323" s="366">
        <v>566.69000000000005</v>
      </c>
      <c r="N323" s="366">
        <v>566.69000000000005</v>
      </c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 spans="1:26" ht="15.75" customHeight="1">
      <c r="A324" s="376" t="s">
        <v>1820</v>
      </c>
      <c r="B324" s="268" t="str">
        <f t="shared" si="2"/>
        <v>Automobile Expense</v>
      </c>
      <c r="C324" s="252"/>
      <c r="D324" s="253" t="s">
        <v>1452</v>
      </c>
      <c r="E324" s="375">
        <f t="shared" si="3"/>
        <v>46081</v>
      </c>
      <c r="F324" s="253" t="s">
        <v>342</v>
      </c>
      <c r="G324" s="253" t="s">
        <v>344</v>
      </c>
      <c r="H324" s="253" t="s">
        <v>352</v>
      </c>
      <c r="I324" s="253" t="s">
        <v>344</v>
      </c>
      <c r="J324" s="253" t="s">
        <v>344</v>
      </c>
      <c r="K324" s="253" t="s">
        <v>1822</v>
      </c>
      <c r="L324" s="253" t="s">
        <v>1756</v>
      </c>
      <c r="M324" s="366">
        <v>566.69000000000005</v>
      </c>
      <c r="N324" s="366">
        <v>1133.3800000000001</v>
      </c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 spans="1:26" ht="15.75" customHeight="1">
      <c r="A325" s="268"/>
      <c r="B325" s="268" t="str">
        <f t="shared" si="2"/>
        <v>Automobile Expense</v>
      </c>
      <c r="C325" s="252"/>
      <c r="D325" s="253" t="s">
        <v>1454</v>
      </c>
      <c r="E325" s="375">
        <f t="shared" si="3"/>
        <v>46081</v>
      </c>
      <c r="F325" s="253" t="s">
        <v>342</v>
      </c>
      <c r="G325" s="253" t="s">
        <v>344</v>
      </c>
      <c r="H325" s="253" t="s">
        <v>1823</v>
      </c>
      <c r="I325" s="253" t="s">
        <v>344</v>
      </c>
      <c r="J325" s="253" t="s">
        <v>344</v>
      </c>
      <c r="K325" s="253" t="s">
        <v>1824</v>
      </c>
      <c r="L325" s="253" t="s">
        <v>1756</v>
      </c>
      <c r="M325" s="366">
        <v>272.58</v>
      </c>
      <c r="N325" s="366">
        <v>1405.96</v>
      </c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 spans="1:26" ht="15.75" customHeight="1">
      <c r="A326" s="376" t="s">
        <v>1820</v>
      </c>
      <c r="B326" s="268" t="str">
        <f t="shared" si="2"/>
        <v>Automobile Expense</v>
      </c>
      <c r="C326" s="252"/>
      <c r="D326" s="253" t="s">
        <v>1542</v>
      </c>
      <c r="E326" s="375">
        <f t="shared" si="3"/>
        <v>46112</v>
      </c>
      <c r="F326" s="253" t="s">
        <v>342</v>
      </c>
      <c r="G326" s="253" t="s">
        <v>344</v>
      </c>
      <c r="H326" s="253" t="s">
        <v>352</v>
      </c>
      <c r="I326" s="253" t="s">
        <v>344</v>
      </c>
      <c r="J326" s="253" t="s">
        <v>344</v>
      </c>
      <c r="K326" s="253" t="s">
        <v>1822</v>
      </c>
      <c r="L326" s="253" t="s">
        <v>1756</v>
      </c>
      <c r="M326" s="366">
        <v>566.69000000000005</v>
      </c>
      <c r="N326" s="366">
        <v>1972.65</v>
      </c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 spans="1:26" ht="15.75" customHeight="1">
      <c r="A327" s="268"/>
      <c r="B327" s="268" t="str">
        <f t="shared" si="2"/>
        <v>Automobile Expense</v>
      </c>
      <c r="C327" s="252"/>
      <c r="D327" s="253" t="s">
        <v>1550</v>
      </c>
      <c r="E327" s="375">
        <f t="shared" si="3"/>
        <v>46112</v>
      </c>
      <c r="F327" s="253" t="s">
        <v>342</v>
      </c>
      <c r="G327" s="253" t="s">
        <v>344</v>
      </c>
      <c r="H327" s="253" t="s">
        <v>1823</v>
      </c>
      <c r="I327" s="253" t="s">
        <v>344</v>
      </c>
      <c r="J327" s="253" t="s">
        <v>344</v>
      </c>
      <c r="K327" s="253" t="s">
        <v>1824</v>
      </c>
      <c r="L327" s="253" t="s">
        <v>1756</v>
      </c>
      <c r="M327" s="366">
        <v>272.58</v>
      </c>
      <c r="N327" s="366">
        <v>2245.23</v>
      </c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 spans="1:26" ht="15.75" customHeight="1">
      <c r="A328" s="376" t="s">
        <v>1820</v>
      </c>
      <c r="B328" s="268" t="str">
        <f t="shared" si="2"/>
        <v>Automobile Expense</v>
      </c>
      <c r="C328" s="252"/>
      <c r="D328" s="253" t="s">
        <v>1646</v>
      </c>
      <c r="E328" s="375">
        <f t="shared" si="3"/>
        <v>46142</v>
      </c>
      <c r="F328" s="253" t="s">
        <v>342</v>
      </c>
      <c r="G328" s="253" t="s">
        <v>344</v>
      </c>
      <c r="H328" s="253" t="s">
        <v>352</v>
      </c>
      <c r="I328" s="253" t="s">
        <v>344</v>
      </c>
      <c r="J328" s="253" t="s">
        <v>344</v>
      </c>
      <c r="K328" s="253" t="s">
        <v>1822</v>
      </c>
      <c r="L328" s="253" t="s">
        <v>1756</v>
      </c>
      <c r="M328" s="366">
        <v>566.69000000000005</v>
      </c>
      <c r="N328" s="366">
        <v>2811.92</v>
      </c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 spans="1:26" ht="15.75" customHeight="1">
      <c r="A329" s="268"/>
      <c r="B329" s="268" t="str">
        <f t="shared" si="2"/>
        <v>Total for Automobile Expense</v>
      </c>
      <c r="C329" s="367" t="s">
        <v>1825</v>
      </c>
      <c r="D329" s="252"/>
      <c r="E329" s="375">
        <f t="shared" si="3"/>
        <v>31</v>
      </c>
      <c r="F329" s="252"/>
      <c r="G329" s="252"/>
      <c r="H329" s="252"/>
      <c r="I329" s="252"/>
      <c r="J329" s="252"/>
      <c r="K329" s="252"/>
      <c r="L329" s="252"/>
      <c r="M329" s="368">
        <f>M323+M324+M325+M326+M327+M328</f>
        <v>2811.92</v>
      </c>
      <c r="N329" s="252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 spans="1:26" ht="15.75" customHeight="1">
      <c r="A330" s="268"/>
      <c r="B330" s="268" t="str">
        <f t="shared" si="2"/>
        <v>Business Tax</v>
      </c>
      <c r="C330" s="365" t="s">
        <v>1256</v>
      </c>
      <c r="D330" s="252"/>
      <c r="E330" s="375">
        <f t="shared" si="3"/>
        <v>31</v>
      </c>
      <c r="F330" s="252"/>
      <c r="G330" s="252"/>
      <c r="H330" s="252"/>
      <c r="I330" s="252"/>
      <c r="J330" s="252"/>
      <c r="K330" s="252"/>
      <c r="L330" s="252"/>
      <c r="M330" s="252"/>
      <c r="N330" s="252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 spans="1:26" ht="15.75" customHeight="1">
      <c r="A331" s="268"/>
      <c r="B331" s="268" t="str">
        <f t="shared" si="2"/>
        <v>Business Tax</v>
      </c>
      <c r="C331" s="252"/>
      <c r="D331" s="253" t="s">
        <v>1593</v>
      </c>
      <c r="E331" s="375">
        <f t="shared" si="3"/>
        <v>46142</v>
      </c>
      <c r="F331" s="253" t="s">
        <v>342</v>
      </c>
      <c r="G331" s="253" t="s">
        <v>344</v>
      </c>
      <c r="H331" s="253" t="s">
        <v>1826</v>
      </c>
      <c r="I331" s="253" t="s">
        <v>344</v>
      </c>
      <c r="J331" s="253" t="s">
        <v>344</v>
      </c>
      <c r="K331" s="253" t="s">
        <v>1827</v>
      </c>
      <c r="L331" s="253" t="s">
        <v>1756</v>
      </c>
      <c r="M331" s="366">
        <v>300.49</v>
      </c>
      <c r="N331" s="366">
        <v>300.49</v>
      </c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 spans="1:26" ht="15.75" customHeight="1">
      <c r="A332" s="268"/>
      <c r="B332" s="268" t="str">
        <f t="shared" si="2"/>
        <v>Business Tax</v>
      </c>
      <c r="C332" s="252"/>
      <c r="D332" s="253" t="s">
        <v>1802</v>
      </c>
      <c r="E332" s="375">
        <f t="shared" si="3"/>
        <v>46142</v>
      </c>
      <c r="F332" s="253" t="s">
        <v>342</v>
      </c>
      <c r="G332" s="253" t="s">
        <v>344</v>
      </c>
      <c r="H332" s="253" t="s">
        <v>1826</v>
      </c>
      <c r="I332" s="253" t="s">
        <v>344</v>
      </c>
      <c r="J332" s="253" t="s">
        <v>344</v>
      </c>
      <c r="K332" s="253" t="s">
        <v>1828</v>
      </c>
      <c r="L332" s="253" t="s">
        <v>1756</v>
      </c>
      <c r="M332" s="366">
        <v>2512</v>
      </c>
      <c r="N332" s="366">
        <v>2812.49</v>
      </c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 spans="1:26" ht="15.75" customHeight="1">
      <c r="A333" s="268"/>
      <c r="B333" s="268" t="str">
        <f t="shared" si="2"/>
        <v>Business Tax</v>
      </c>
      <c r="C333" s="252"/>
      <c r="D333" s="253" t="s">
        <v>1829</v>
      </c>
      <c r="E333" s="375">
        <f t="shared" si="3"/>
        <v>46142</v>
      </c>
      <c r="F333" s="253" t="s">
        <v>342</v>
      </c>
      <c r="G333" s="253" t="s">
        <v>344</v>
      </c>
      <c r="H333" s="253" t="s">
        <v>1826</v>
      </c>
      <c r="I333" s="253" t="s">
        <v>344</v>
      </c>
      <c r="J333" s="253" t="s">
        <v>344</v>
      </c>
      <c r="K333" s="253" t="s">
        <v>1828</v>
      </c>
      <c r="L333" s="253" t="s">
        <v>1756</v>
      </c>
      <c r="M333" s="366">
        <v>2100</v>
      </c>
      <c r="N333" s="366">
        <v>4912.49</v>
      </c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 spans="1:26" ht="15.75" customHeight="1">
      <c r="A334" s="268"/>
      <c r="B334" s="268" t="str">
        <f t="shared" si="2"/>
        <v>Total for Business Tax</v>
      </c>
      <c r="C334" s="367" t="s">
        <v>1830</v>
      </c>
      <c r="D334" s="252"/>
      <c r="E334" s="375">
        <f t="shared" si="3"/>
        <v>31</v>
      </c>
      <c r="F334" s="252"/>
      <c r="G334" s="252"/>
      <c r="H334" s="252"/>
      <c r="I334" s="252"/>
      <c r="J334" s="252"/>
      <c r="K334" s="252"/>
      <c r="L334" s="252"/>
      <c r="M334" s="368">
        <f>M331+M332+M333</f>
        <v>4912.49</v>
      </c>
      <c r="N334" s="252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 spans="1:26" ht="15.75" customHeight="1">
      <c r="A335" s="268"/>
      <c r="B335" s="268" t="str">
        <f t="shared" si="2"/>
        <v>Charitable Contributions</v>
      </c>
      <c r="C335" s="365" t="s">
        <v>395</v>
      </c>
      <c r="D335" s="252"/>
      <c r="E335" s="375">
        <f t="shared" si="3"/>
        <v>31</v>
      </c>
      <c r="F335" s="252"/>
      <c r="G335" s="252"/>
      <c r="H335" s="252"/>
      <c r="I335" s="252"/>
      <c r="J335" s="252"/>
      <c r="K335" s="252"/>
      <c r="L335" s="252"/>
      <c r="M335" s="252"/>
      <c r="N335" s="252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 spans="1:26" ht="15.75" customHeight="1">
      <c r="A336" s="376" t="s">
        <v>1820</v>
      </c>
      <c r="B336" s="268" t="str">
        <f t="shared" si="2"/>
        <v>Charitable Contributions</v>
      </c>
      <c r="C336" s="252"/>
      <c r="D336" s="253" t="s">
        <v>1435</v>
      </c>
      <c r="E336" s="375">
        <f t="shared" si="3"/>
        <v>46081</v>
      </c>
      <c r="F336" s="253" t="s">
        <v>342</v>
      </c>
      <c r="G336" s="253" t="s">
        <v>344</v>
      </c>
      <c r="H336" s="253" t="s">
        <v>393</v>
      </c>
      <c r="I336" s="253" t="s">
        <v>344</v>
      </c>
      <c r="J336" s="253" t="s">
        <v>344</v>
      </c>
      <c r="K336" s="253" t="s">
        <v>1831</v>
      </c>
      <c r="L336" s="253" t="s">
        <v>1756</v>
      </c>
      <c r="M336" s="366">
        <v>100</v>
      </c>
      <c r="N336" s="366">
        <v>100</v>
      </c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 spans="1:26" ht="15.75" customHeight="1">
      <c r="A337" s="268"/>
      <c r="B337" s="268" t="str">
        <f t="shared" si="2"/>
        <v>Total for Charitable Contributions</v>
      </c>
      <c r="C337" s="367" t="s">
        <v>1832</v>
      </c>
      <c r="D337" s="252"/>
      <c r="E337" s="375">
        <f t="shared" si="3"/>
        <v>31</v>
      </c>
      <c r="F337" s="252"/>
      <c r="G337" s="252"/>
      <c r="H337" s="252"/>
      <c r="I337" s="252"/>
      <c r="J337" s="252"/>
      <c r="K337" s="252"/>
      <c r="L337" s="252"/>
      <c r="M337" s="368">
        <f>M336</f>
        <v>100</v>
      </c>
      <c r="N337" s="252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 spans="1:26" ht="15.75" customHeight="1">
      <c r="A338" s="268"/>
      <c r="B338" s="268" t="str">
        <f t="shared" si="2"/>
        <v>Construction</v>
      </c>
      <c r="C338" s="365" t="s">
        <v>414</v>
      </c>
      <c r="D338" s="252"/>
      <c r="E338" s="375">
        <f t="shared" si="3"/>
        <v>31</v>
      </c>
      <c r="F338" s="252"/>
      <c r="G338" s="252"/>
      <c r="H338" s="252"/>
      <c r="I338" s="252"/>
      <c r="J338" s="252"/>
      <c r="K338" s="252"/>
      <c r="L338" s="252"/>
      <c r="M338" s="252"/>
      <c r="N338" s="252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 spans="1:26" ht="15.75" customHeight="1">
      <c r="A339" s="376" t="s">
        <v>1820</v>
      </c>
      <c r="B339" s="268" t="str">
        <f t="shared" si="2"/>
        <v>Construction</v>
      </c>
      <c r="C339" s="252"/>
      <c r="D339" s="253" t="s">
        <v>1779</v>
      </c>
      <c r="E339" s="375">
        <f t="shared" si="3"/>
        <v>46112</v>
      </c>
      <c r="F339" s="253" t="s">
        <v>342</v>
      </c>
      <c r="G339" s="253" t="s">
        <v>344</v>
      </c>
      <c r="H339" s="253" t="s">
        <v>497</v>
      </c>
      <c r="I339" s="253" t="s">
        <v>344</v>
      </c>
      <c r="J339" s="253" t="s">
        <v>344</v>
      </c>
      <c r="K339" s="253" t="s">
        <v>1833</v>
      </c>
      <c r="L339" s="253" t="s">
        <v>1756</v>
      </c>
      <c r="M339" s="366">
        <v>4660</v>
      </c>
      <c r="N339" s="366">
        <v>4660</v>
      </c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 spans="1:26" ht="15.75" customHeight="1">
      <c r="A340" s="376" t="s">
        <v>1820</v>
      </c>
      <c r="B340" s="268" t="str">
        <f t="shared" si="2"/>
        <v>Construction</v>
      </c>
      <c r="C340" s="252"/>
      <c r="D340" s="253" t="s">
        <v>1571</v>
      </c>
      <c r="E340" s="375">
        <f t="shared" si="3"/>
        <v>46112</v>
      </c>
      <c r="F340" s="253" t="s">
        <v>342</v>
      </c>
      <c r="G340" s="253" t="s">
        <v>344</v>
      </c>
      <c r="H340" s="253" t="s">
        <v>1834</v>
      </c>
      <c r="I340" s="253" t="s">
        <v>344</v>
      </c>
      <c r="J340" s="253" t="s">
        <v>344</v>
      </c>
      <c r="K340" s="253" t="s">
        <v>1835</v>
      </c>
      <c r="L340" s="253" t="s">
        <v>1756</v>
      </c>
      <c r="M340" s="366">
        <v>2200</v>
      </c>
      <c r="N340" s="366">
        <v>6860</v>
      </c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 spans="1:26" ht="15.75" customHeight="1">
      <c r="A341" s="376" t="s">
        <v>1820</v>
      </c>
      <c r="B341" s="268" t="str">
        <f t="shared" si="2"/>
        <v>Construction</v>
      </c>
      <c r="C341" s="252"/>
      <c r="D341" s="253" t="s">
        <v>1836</v>
      </c>
      <c r="E341" s="375">
        <f t="shared" si="3"/>
        <v>46112</v>
      </c>
      <c r="F341" s="253" t="s">
        <v>342</v>
      </c>
      <c r="G341" s="253" t="s">
        <v>344</v>
      </c>
      <c r="H341" s="253" t="s">
        <v>1837</v>
      </c>
      <c r="I341" s="253" t="s">
        <v>344</v>
      </c>
      <c r="J341" s="253" t="s">
        <v>344</v>
      </c>
      <c r="K341" s="253" t="s">
        <v>1838</v>
      </c>
      <c r="L341" s="253" t="s">
        <v>1756</v>
      </c>
      <c r="M341" s="366">
        <v>3000</v>
      </c>
      <c r="N341" s="366">
        <v>9860</v>
      </c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 spans="1:26" ht="15.75" customHeight="1">
      <c r="A342" s="376" t="s">
        <v>1820</v>
      </c>
      <c r="B342" s="268" t="str">
        <f t="shared" si="2"/>
        <v>Construction</v>
      </c>
      <c r="C342" s="252"/>
      <c r="D342" s="253" t="s">
        <v>1836</v>
      </c>
      <c r="E342" s="375">
        <f t="shared" si="3"/>
        <v>46112</v>
      </c>
      <c r="F342" s="253" t="s">
        <v>342</v>
      </c>
      <c r="G342" s="253" t="s">
        <v>344</v>
      </c>
      <c r="H342" s="253" t="s">
        <v>492</v>
      </c>
      <c r="I342" s="253" t="s">
        <v>344</v>
      </c>
      <c r="J342" s="253" t="s">
        <v>344</v>
      </c>
      <c r="K342" s="253" t="s">
        <v>1839</v>
      </c>
      <c r="L342" s="253" t="s">
        <v>1756</v>
      </c>
      <c r="M342" s="366">
        <v>4000</v>
      </c>
      <c r="N342" s="366">
        <v>13860</v>
      </c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 spans="1:26" ht="15.75" customHeight="1">
      <c r="A343" s="376" t="s">
        <v>1820</v>
      </c>
      <c r="B343" s="268" t="str">
        <f t="shared" si="2"/>
        <v>Construction</v>
      </c>
      <c r="C343" s="252"/>
      <c r="D343" s="253" t="s">
        <v>1788</v>
      </c>
      <c r="E343" s="375">
        <f t="shared" si="3"/>
        <v>46112</v>
      </c>
      <c r="F343" s="253" t="s">
        <v>342</v>
      </c>
      <c r="G343" s="253" t="s">
        <v>344</v>
      </c>
      <c r="H343" s="253" t="s">
        <v>1840</v>
      </c>
      <c r="I343" s="253" t="s">
        <v>344</v>
      </c>
      <c r="J343" s="253" t="s">
        <v>344</v>
      </c>
      <c r="K343" s="253" t="s">
        <v>1841</v>
      </c>
      <c r="L343" s="253" t="s">
        <v>1756</v>
      </c>
      <c r="M343" s="366">
        <v>5220</v>
      </c>
      <c r="N343" s="366">
        <v>19080</v>
      </c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 spans="1:26" ht="15.75" customHeight="1">
      <c r="A344" s="376" t="s">
        <v>1820</v>
      </c>
      <c r="B344" s="268" t="str">
        <f t="shared" si="2"/>
        <v>Construction</v>
      </c>
      <c r="C344" s="252"/>
      <c r="D344" s="253" t="s">
        <v>1842</v>
      </c>
      <c r="E344" s="375">
        <f t="shared" si="3"/>
        <v>46173</v>
      </c>
      <c r="F344" s="253" t="s">
        <v>342</v>
      </c>
      <c r="G344" s="253" t="s">
        <v>344</v>
      </c>
      <c r="H344" s="253" t="s">
        <v>1843</v>
      </c>
      <c r="I344" s="253" t="s">
        <v>344</v>
      </c>
      <c r="J344" s="253" t="s">
        <v>344</v>
      </c>
      <c r="K344" s="253" t="s">
        <v>1844</v>
      </c>
      <c r="L344" s="253" t="s">
        <v>1756</v>
      </c>
      <c r="M344" s="366">
        <v>1332.17</v>
      </c>
      <c r="N344" s="366">
        <v>20412.169999999998</v>
      </c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 spans="1:26" ht="15.75" customHeight="1">
      <c r="A345" s="268"/>
      <c r="B345" s="268" t="str">
        <f t="shared" si="2"/>
        <v>Total for Construction</v>
      </c>
      <c r="C345" s="367" t="s">
        <v>1845</v>
      </c>
      <c r="D345" s="252"/>
      <c r="E345" s="375">
        <f t="shared" si="3"/>
        <v>31</v>
      </c>
      <c r="F345" s="252"/>
      <c r="G345" s="252"/>
      <c r="H345" s="252"/>
      <c r="I345" s="252"/>
      <c r="J345" s="252"/>
      <c r="K345" s="252"/>
      <c r="L345" s="252"/>
      <c r="M345" s="368">
        <f>M339+M340+M341+M342+M343+M344</f>
        <v>20412.169999999998</v>
      </c>
      <c r="N345" s="252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 spans="1:26" ht="15.75" customHeight="1">
      <c r="A346" s="268"/>
      <c r="B346" s="268" t="str">
        <f t="shared" si="2"/>
        <v>Contract Labor</v>
      </c>
      <c r="C346" s="365" t="s">
        <v>1259</v>
      </c>
      <c r="D346" s="252"/>
      <c r="E346" s="375">
        <f t="shared" si="3"/>
        <v>31</v>
      </c>
      <c r="F346" s="252"/>
      <c r="G346" s="252"/>
      <c r="H346" s="252"/>
      <c r="I346" s="252"/>
      <c r="J346" s="252"/>
      <c r="K346" s="252"/>
      <c r="L346" s="252"/>
      <c r="M346" s="252"/>
      <c r="N346" s="252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 spans="1:26" ht="15.75" customHeight="1">
      <c r="A347" s="268"/>
      <c r="B347" s="268" t="str">
        <f t="shared" si="2"/>
        <v>Contract Labor</v>
      </c>
      <c r="C347" s="252"/>
      <c r="D347" s="253" t="s">
        <v>1321</v>
      </c>
      <c r="E347" s="375">
        <f t="shared" si="3"/>
        <v>46053</v>
      </c>
      <c r="F347" s="253" t="s">
        <v>342</v>
      </c>
      <c r="G347" s="253" t="s">
        <v>344</v>
      </c>
      <c r="H347" s="253" t="s">
        <v>278</v>
      </c>
      <c r="I347" s="253" t="s">
        <v>344</v>
      </c>
      <c r="J347" s="253" t="s">
        <v>344</v>
      </c>
      <c r="K347" s="253" t="s">
        <v>1846</v>
      </c>
      <c r="L347" s="253" t="s">
        <v>1756</v>
      </c>
      <c r="M347" s="366">
        <v>150</v>
      </c>
      <c r="N347" s="366">
        <v>150</v>
      </c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 spans="1:26" ht="15.75" customHeight="1">
      <c r="A348" s="268"/>
      <c r="B348" s="268" t="str">
        <f t="shared" si="2"/>
        <v>Contract Labor</v>
      </c>
      <c r="C348" s="252"/>
      <c r="D348" s="253" t="s">
        <v>1847</v>
      </c>
      <c r="E348" s="375">
        <f t="shared" si="3"/>
        <v>46053</v>
      </c>
      <c r="F348" s="253" t="s">
        <v>342</v>
      </c>
      <c r="G348" s="253" t="s">
        <v>344</v>
      </c>
      <c r="H348" s="253" t="s">
        <v>1848</v>
      </c>
      <c r="I348" s="253" t="s">
        <v>344</v>
      </c>
      <c r="J348" s="253" t="s">
        <v>344</v>
      </c>
      <c r="K348" s="253" t="s">
        <v>1849</v>
      </c>
      <c r="L348" s="253" t="s">
        <v>1756</v>
      </c>
      <c r="M348" s="366">
        <v>150</v>
      </c>
      <c r="N348" s="366">
        <v>300</v>
      </c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 spans="1:26" ht="15.75" customHeight="1">
      <c r="A349" s="268"/>
      <c r="B349" s="268" t="str">
        <f t="shared" si="2"/>
        <v>Contract Labor</v>
      </c>
      <c r="C349" s="252"/>
      <c r="D349" s="253" t="s">
        <v>1326</v>
      </c>
      <c r="E349" s="375">
        <f t="shared" si="3"/>
        <v>46053</v>
      </c>
      <c r="F349" s="253" t="s">
        <v>342</v>
      </c>
      <c r="G349" s="253" t="s">
        <v>344</v>
      </c>
      <c r="H349" s="253" t="s">
        <v>307</v>
      </c>
      <c r="I349" s="253" t="s">
        <v>344</v>
      </c>
      <c r="J349" s="253" t="s">
        <v>344</v>
      </c>
      <c r="K349" s="253" t="s">
        <v>1850</v>
      </c>
      <c r="L349" s="253" t="s">
        <v>1756</v>
      </c>
      <c r="M349" s="366">
        <v>150</v>
      </c>
      <c r="N349" s="366">
        <v>450</v>
      </c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 spans="1:26" ht="15.75" customHeight="1">
      <c r="A350" s="268"/>
      <c r="B350" s="268" t="str">
        <f t="shared" si="2"/>
        <v>Contract Labor</v>
      </c>
      <c r="C350" s="252"/>
      <c r="D350" s="253" t="s">
        <v>1753</v>
      </c>
      <c r="E350" s="375">
        <f t="shared" si="3"/>
        <v>46053</v>
      </c>
      <c r="F350" s="253" t="s">
        <v>342</v>
      </c>
      <c r="G350" s="253" t="s">
        <v>344</v>
      </c>
      <c r="H350" s="253" t="s">
        <v>313</v>
      </c>
      <c r="I350" s="253" t="s">
        <v>344</v>
      </c>
      <c r="J350" s="253" t="s">
        <v>344</v>
      </c>
      <c r="K350" s="253" t="s">
        <v>1851</v>
      </c>
      <c r="L350" s="253" t="s">
        <v>1756</v>
      </c>
      <c r="M350" s="366">
        <v>50</v>
      </c>
      <c r="N350" s="366">
        <v>500</v>
      </c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 spans="1:26" ht="15.75" customHeight="1">
      <c r="A351" s="268"/>
      <c r="B351" s="268" t="str">
        <f t="shared" si="2"/>
        <v>Contract Labor</v>
      </c>
      <c r="C351" s="252"/>
      <c r="D351" s="253" t="s">
        <v>1753</v>
      </c>
      <c r="E351" s="375">
        <f t="shared" si="3"/>
        <v>46053</v>
      </c>
      <c r="F351" s="253" t="s">
        <v>342</v>
      </c>
      <c r="G351" s="253" t="s">
        <v>344</v>
      </c>
      <c r="H351" s="253" t="s">
        <v>1754</v>
      </c>
      <c r="I351" s="253" t="s">
        <v>344</v>
      </c>
      <c r="J351" s="253" t="s">
        <v>344</v>
      </c>
      <c r="K351" s="253" t="s">
        <v>1852</v>
      </c>
      <c r="L351" s="253" t="s">
        <v>1756</v>
      </c>
      <c r="M351" s="366">
        <v>100</v>
      </c>
      <c r="N351" s="366">
        <v>600</v>
      </c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 spans="1:26" ht="15.75" customHeight="1">
      <c r="A352" s="268"/>
      <c r="B352" s="268" t="str">
        <f t="shared" si="2"/>
        <v>Contract Labor</v>
      </c>
      <c r="C352" s="252"/>
      <c r="D352" s="253" t="s">
        <v>1853</v>
      </c>
      <c r="E352" s="375">
        <f t="shared" si="3"/>
        <v>46053</v>
      </c>
      <c r="F352" s="253" t="s">
        <v>342</v>
      </c>
      <c r="G352" s="253" t="s">
        <v>344</v>
      </c>
      <c r="H352" s="253" t="s">
        <v>311</v>
      </c>
      <c r="I352" s="253" t="s">
        <v>344</v>
      </c>
      <c r="J352" s="253" t="s">
        <v>344</v>
      </c>
      <c r="K352" s="253" t="s">
        <v>1854</v>
      </c>
      <c r="L352" s="253" t="s">
        <v>1756</v>
      </c>
      <c r="M352" s="366">
        <v>149.47999999999999</v>
      </c>
      <c r="N352" s="366">
        <v>749.48</v>
      </c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 spans="1:26" ht="15.75" customHeight="1">
      <c r="A353" s="268"/>
      <c r="B353" s="268" t="str">
        <f t="shared" si="2"/>
        <v>Contract Labor</v>
      </c>
      <c r="C353" s="252"/>
      <c r="D353" s="253" t="s">
        <v>1853</v>
      </c>
      <c r="E353" s="375">
        <f t="shared" si="3"/>
        <v>46053</v>
      </c>
      <c r="F353" s="253" t="s">
        <v>342</v>
      </c>
      <c r="G353" s="253" t="s">
        <v>344</v>
      </c>
      <c r="H353" s="253" t="s">
        <v>310</v>
      </c>
      <c r="I353" s="253" t="s">
        <v>344</v>
      </c>
      <c r="J353" s="253" t="s">
        <v>344</v>
      </c>
      <c r="K353" s="253" t="s">
        <v>1855</v>
      </c>
      <c r="L353" s="253" t="s">
        <v>1756</v>
      </c>
      <c r="M353" s="366">
        <v>153.80000000000001</v>
      </c>
      <c r="N353" s="366">
        <v>903.28</v>
      </c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 spans="1:26" ht="15.75" customHeight="1">
      <c r="A354" s="268"/>
      <c r="B354" s="268" t="str">
        <f t="shared" si="2"/>
        <v>Contract Labor</v>
      </c>
      <c r="C354" s="252"/>
      <c r="D354" s="253" t="s">
        <v>1853</v>
      </c>
      <c r="E354" s="375">
        <f t="shared" si="3"/>
        <v>46053</v>
      </c>
      <c r="F354" s="253" t="s">
        <v>342</v>
      </c>
      <c r="G354" s="253" t="s">
        <v>344</v>
      </c>
      <c r="H354" s="253" t="s">
        <v>1856</v>
      </c>
      <c r="I354" s="253" t="s">
        <v>344</v>
      </c>
      <c r="J354" s="253" t="s">
        <v>344</v>
      </c>
      <c r="K354" s="253" t="s">
        <v>1857</v>
      </c>
      <c r="L354" s="253" t="s">
        <v>1756</v>
      </c>
      <c r="M354" s="366">
        <v>425</v>
      </c>
      <c r="N354" s="366">
        <v>1328.28</v>
      </c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 spans="1:26" ht="15.75" customHeight="1">
      <c r="A355" s="268"/>
      <c r="B355" s="268" t="str">
        <f t="shared" si="2"/>
        <v>Contract Labor</v>
      </c>
      <c r="C355" s="252"/>
      <c r="D355" s="253" t="s">
        <v>1853</v>
      </c>
      <c r="E355" s="375">
        <f t="shared" si="3"/>
        <v>46053</v>
      </c>
      <c r="F355" s="253" t="s">
        <v>342</v>
      </c>
      <c r="G355" s="253" t="s">
        <v>344</v>
      </c>
      <c r="H355" s="253" t="s">
        <v>278</v>
      </c>
      <c r="I355" s="253" t="s">
        <v>344</v>
      </c>
      <c r="J355" s="253" t="s">
        <v>344</v>
      </c>
      <c r="K355" s="253" t="s">
        <v>1858</v>
      </c>
      <c r="L355" s="253" t="s">
        <v>1756</v>
      </c>
      <c r="M355" s="366">
        <v>237</v>
      </c>
      <c r="N355" s="366">
        <v>1565.28</v>
      </c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 spans="1:26" ht="15.75" customHeight="1">
      <c r="A356" s="268"/>
      <c r="B356" s="268" t="str">
        <f t="shared" si="2"/>
        <v>Contract Labor</v>
      </c>
      <c r="C356" s="252"/>
      <c r="D356" s="253" t="s">
        <v>1853</v>
      </c>
      <c r="E356" s="375">
        <f t="shared" si="3"/>
        <v>46053</v>
      </c>
      <c r="F356" s="253" t="s">
        <v>342</v>
      </c>
      <c r="G356" s="253" t="s">
        <v>344</v>
      </c>
      <c r="H356" s="253" t="s">
        <v>312</v>
      </c>
      <c r="I356" s="253" t="s">
        <v>344</v>
      </c>
      <c r="J356" s="253" t="s">
        <v>344</v>
      </c>
      <c r="K356" s="253" t="s">
        <v>1859</v>
      </c>
      <c r="L356" s="253" t="s">
        <v>1756</v>
      </c>
      <c r="M356" s="366">
        <v>186.92</v>
      </c>
      <c r="N356" s="366">
        <v>1752.2</v>
      </c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 spans="1:26" ht="15.75" customHeight="1">
      <c r="A357" s="268"/>
      <c r="B357" s="268" t="str">
        <f t="shared" si="2"/>
        <v>Contract Labor</v>
      </c>
      <c r="C357" s="252"/>
      <c r="D357" s="253" t="s">
        <v>1333</v>
      </c>
      <c r="E357" s="375">
        <f t="shared" si="3"/>
        <v>46053</v>
      </c>
      <c r="F357" s="253" t="s">
        <v>342</v>
      </c>
      <c r="G357" s="253" t="s">
        <v>344</v>
      </c>
      <c r="H357" s="253" t="s">
        <v>1860</v>
      </c>
      <c r="I357" s="253" t="s">
        <v>344</v>
      </c>
      <c r="J357" s="253" t="s">
        <v>344</v>
      </c>
      <c r="K357" s="253" t="s">
        <v>1861</v>
      </c>
      <c r="L357" s="253" t="s">
        <v>1756</v>
      </c>
      <c r="M357" s="366">
        <v>183.72</v>
      </c>
      <c r="N357" s="366">
        <v>1935.92</v>
      </c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 spans="1:26" ht="15.75" customHeight="1">
      <c r="A358" s="268"/>
      <c r="B358" s="268" t="str">
        <f t="shared" si="2"/>
        <v>Contract Labor</v>
      </c>
      <c r="C358" s="252"/>
      <c r="D358" s="253" t="s">
        <v>1333</v>
      </c>
      <c r="E358" s="375">
        <f t="shared" si="3"/>
        <v>46053</v>
      </c>
      <c r="F358" s="253" t="s">
        <v>342</v>
      </c>
      <c r="G358" s="253" t="s">
        <v>344</v>
      </c>
      <c r="H358" s="253" t="s">
        <v>314</v>
      </c>
      <c r="I358" s="253" t="s">
        <v>344</v>
      </c>
      <c r="J358" s="253" t="s">
        <v>344</v>
      </c>
      <c r="K358" s="253" t="s">
        <v>1862</v>
      </c>
      <c r="L358" s="253" t="s">
        <v>1756</v>
      </c>
      <c r="M358" s="366">
        <v>147.4</v>
      </c>
      <c r="N358" s="366">
        <v>2083.3200000000002</v>
      </c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 spans="1:26" ht="15.75" customHeight="1">
      <c r="A359" s="268"/>
      <c r="B359" s="268" t="str">
        <f t="shared" si="2"/>
        <v>Contract Labor</v>
      </c>
      <c r="C359" s="252"/>
      <c r="D359" s="253" t="s">
        <v>1863</v>
      </c>
      <c r="E359" s="375">
        <f t="shared" si="3"/>
        <v>46053</v>
      </c>
      <c r="F359" s="253" t="s">
        <v>342</v>
      </c>
      <c r="G359" s="253" t="s">
        <v>344</v>
      </c>
      <c r="H359" s="253" t="s">
        <v>1864</v>
      </c>
      <c r="I359" s="253" t="s">
        <v>344</v>
      </c>
      <c r="J359" s="253" t="s">
        <v>344</v>
      </c>
      <c r="K359" s="253" t="s">
        <v>1865</v>
      </c>
      <c r="L359" s="253" t="s">
        <v>1756</v>
      </c>
      <c r="M359" s="366">
        <v>156.52000000000001</v>
      </c>
      <c r="N359" s="366">
        <v>2239.84</v>
      </c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 spans="1:26" ht="15.75" customHeight="1">
      <c r="A360" s="268"/>
      <c r="B360" s="268" t="str">
        <f t="shared" si="2"/>
        <v>Contract Labor</v>
      </c>
      <c r="C360" s="252"/>
      <c r="D360" s="253" t="s">
        <v>1866</v>
      </c>
      <c r="E360" s="375">
        <f t="shared" si="3"/>
        <v>46053</v>
      </c>
      <c r="F360" s="253" t="s">
        <v>342</v>
      </c>
      <c r="G360" s="253" t="s">
        <v>344</v>
      </c>
      <c r="H360" s="253" t="s">
        <v>307</v>
      </c>
      <c r="I360" s="253" t="s">
        <v>344</v>
      </c>
      <c r="J360" s="253" t="s">
        <v>344</v>
      </c>
      <c r="K360" s="253" t="s">
        <v>1867</v>
      </c>
      <c r="L360" s="253" t="s">
        <v>1756</v>
      </c>
      <c r="M360" s="366">
        <v>98.4</v>
      </c>
      <c r="N360" s="366">
        <v>2338.2400000000002</v>
      </c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 spans="1:26" ht="15.75" customHeight="1">
      <c r="A361" s="268"/>
      <c r="B361" s="268" t="str">
        <f t="shared" si="2"/>
        <v>Contract Labor</v>
      </c>
      <c r="C361" s="252"/>
      <c r="D361" s="253" t="s">
        <v>1868</v>
      </c>
      <c r="E361" s="375">
        <f t="shared" si="3"/>
        <v>46112</v>
      </c>
      <c r="F361" s="253" t="s">
        <v>342</v>
      </c>
      <c r="G361" s="253" t="s">
        <v>344</v>
      </c>
      <c r="H361" s="253" t="s">
        <v>1860</v>
      </c>
      <c r="I361" s="253" t="s">
        <v>344</v>
      </c>
      <c r="J361" s="253" t="s">
        <v>344</v>
      </c>
      <c r="K361" s="253" t="s">
        <v>1869</v>
      </c>
      <c r="L361" s="253" t="s">
        <v>1756</v>
      </c>
      <c r="M361" s="366">
        <v>185</v>
      </c>
      <c r="N361" s="366">
        <v>2523.2400000000002</v>
      </c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 spans="1:26" ht="15.75" customHeight="1">
      <c r="A362" s="268"/>
      <c r="B362" s="268" t="str">
        <f t="shared" si="2"/>
        <v>Contract Labor</v>
      </c>
      <c r="C362" s="252"/>
      <c r="D362" s="253" t="s">
        <v>1788</v>
      </c>
      <c r="E362" s="375">
        <f t="shared" si="3"/>
        <v>46112</v>
      </c>
      <c r="F362" s="253" t="s">
        <v>342</v>
      </c>
      <c r="G362" s="253" t="s">
        <v>344</v>
      </c>
      <c r="H362" s="253" t="s">
        <v>1848</v>
      </c>
      <c r="I362" s="253" t="s">
        <v>344</v>
      </c>
      <c r="J362" s="253" t="s">
        <v>344</v>
      </c>
      <c r="K362" s="253" t="s">
        <v>1870</v>
      </c>
      <c r="L362" s="253" t="s">
        <v>1756</v>
      </c>
      <c r="M362" s="366">
        <v>780</v>
      </c>
      <c r="N362" s="366">
        <v>3303.2400000000002</v>
      </c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 spans="1:26" ht="15.75" customHeight="1">
      <c r="A363" s="268"/>
      <c r="B363" s="268" t="str">
        <f t="shared" si="2"/>
        <v>Contract Labor</v>
      </c>
      <c r="C363" s="252"/>
      <c r="D363" s="253" t="s">
        <v>1791</v>
      </c>
      <c r="E363" s="375">
        <f t="shared" si="3"/>
        <v>46142</v>
      </c>
      <c r="F363" s="253" t="s">
        <v>342</v>
      </c>
      <c r="G363" s="253" t="s">
        <v>344</v>
      </c>
      <c r="H363" s="253" t="s">
        <v>1856</v>
      </c>
      <c r="I363" s="253" t="s">
        <v>344</v>
      </c>
      <c r="J363" s="253" t="s">
        <v>344</v>
      </c>
      <c r="K363" s="253" t="s">
        <v>1871</v>
      </c>
      <c r="L363" s="253" t="s">
        <v>1756</v>
      </c>
      <c r="M363" s="366">
        <v>225</v>
      </c>
      <c r="N363" s="366">
        <v>3528.2400000000002</v>
      </c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 spans="1:26" ht="15.75" customHeight="1">
      <c r="A364" s="268"/>
      <c r="B364" s="268" t="str">
        <f t="shared" si="2"/>
        <v>Contract Labor</v>
      </c>
      <c r="C364" s="252"/>
      <c r="D364" s="253" t="s">
        <v>1598</v>
      </c>
      <c r="E364" s="375">
        <f t="shared" si="3"/>
        <v>46142</v>
      </c>
      <c r="F364" s="253" t="s">
        <v>342</v>
      </c>
      <c r="G364" s="253" t="s">
        <v>344</v>
      </c>
      <c r="H364" s="253" t="s">
        <v>1860</v>
      </c>
      <c r="I364" s="253" t="s">
        <v>344</v>
      </c>
      <c r="J364" s="253" t="s">
        <v>344</v>
      </c>
      <c r="K364" s="253" t="s">
        <v>1872</v>
      </c>
      <c r="L364" s="253" t="s">
        <v>1756</v>
      </c>
      <c r="M364" s="366">
        <v>223.04</v>
      </c>
      <c r="N364" s="366">
        <v>3751.28</v>
      </c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 spans="1:26" ht="15.75" customHeight="1">
      <c r="A365" s="268"/>
      <c r="B365" s="268" t="str">
        <f t="shared" si="2"/>
        <v>Contract Labor</v>
      </c>
      <c r="C365" s="252"/>
      <c r="D365" s="253" t="s">
        <v>1598</v>
      </c>
      <c r="E365" s="375">
        <f t="shared" si="3"/>
        <v>46142</v>
      </c>
      <c r="F365" s="253" t="s">
        <v>342</v>
      </c>
      <c r="G365" s="253" t="s">
        <v>344</v>
      </c>
      <c r="H365" s="253" t="s">
        <v>311</v>
      </c>
      <c r="I365" s="253" t="s">
        <v>344</v>
      </c>
      <c r="J365" s="253" t="s">
        <v>344</v>
      </c>
      <c r="K365" s="253" t="s">
        <v>1873</v>
      </c>
      <c r="L365" s="253" t="s">
        <v>1756</v>
      </c>
      <c r="M365" s="366">
        <v>458.52</v>
      </c>
      <c r="N365" s="366">
        <v>4209.8</v>
      </c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 spans="1:26" ht="15.75" customHeight="1">
      <c r="A366" s="268"/>
      <c r="B366" s="268" t="str">
        <f t="shared" si="2"/>
        <v>Contract Labor</v>
      </c>
      <c r="C366" s="252"/>
      <c r="D366" s="253" t="s">
        <v>1598</v>
      </c>
      <c r="E366" s="375">
        <f t="shared" si="3"/>
        <v>46142</v>
      </c>
      <c r="F366" s="253" t="s">
        <v>342</v>
      </c>
      <c r="G366" s="253" t="s">
        <v>344</v>
      </c>
      <c r="H366" s="253" t="s">
        <v>310</v>
      </c>
      <c r="I366" s="253" t="s">
        <v>344</v>
      </c>
      <c r="J366" s="253" t="s">
        <v>344</v>
      </c>
      <c r="K366" s="253" t="s">
        <v>1874</v>
      </c>
      <c r="L366" s="253" t="s">
        <v>1756</v>
      </c>
      <c r="M366" s="366">
        <v>195.56</v>
      </c>
      <c r="N366" s="366">
        <v>4405.3600000000006</v>
      </c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 spans="1:26" ht="15.75" customHeight="1">
      <c r="A367" s="268"/>
      <c r="B367" s="268" t="str">
        <f t="shared" si="2"/>
        <v>Contract Labor</v>
      </c>
      <c r="C367" s="252"/>
      <c r="D367" s="253" t="s">
        <v>1875</v>
      </c>
      <c r="E367" s="375">
        <f t="shared" si="3"/>
        <v>46142</v>
      </c>
      <c r="F367" s="253" t="s">
        <v>342</v>
      </c>
      <c r="G367" s="253" t="s">
        <v>344</v>
      </c>
      <c r="H367" s="253" t="s">
        <v>306</v>
      </c>
      <c r="I367" s="253" t="s">
        <v>344</v>
      </c>
      <c r="J367" s="253" t="s">
        <v>344</v>
      </c>
      <c r="K367" s="253" t="s">
        <v>1876</v>
      </c>
      <c r="L367" s="253" t="s">
        <v>1756</v>
      </c>
      <c r="M367" s="366">
        <v>275.39999999999998</v>
      </c>
      <c r="N367" s="366">
        <v>4680.76</v>
      </c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 spans="1:26" ht="15.75" customHeight="1">
      <c r="A368" s="268"/>
      <c r="B368" s="268" t="str">
        <f t="shared" si="2"/>
        <v>Contract Labor</v>
      </c>
      <c r="C368" s="252"/>
      <c r="D368" s="253" t="s">
        <v>1875</v>
      </c>
      <c r="E368" s="375">
        <f t="shared" si="3"/>
        <v>46142</v>
      </c>
      <c r="F368" s="253" t="s">
        <v>342</v>
      </c>
      <c r="G368" s="253" t="s">
        <v>344</v>
      </c>
      <c r="H368" s="253" t="s">
        <v>307</v>
      </c>
      <c r="I368" s="253" t="s">
        <v>344</v>
      </c>
      <c r="J368" s="253" t="s">
        <v>344</v>
      </c>
      <c r="K368" s="253" t="s">
        <v>1877</v>
      </c>
      <c r="L368" s="253" t="s">
        <v>1756</v>
      </c>
      <c r="M368" s="366">
        <v>470.76</v>
      </c>
      <c r="N368" s="366">
        <v>5151.5200000000004</v>
      </c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 spans="1:26" ht="15.75" customHeight="1">
      <c r="A369" s="268"/>
      <c r="B369" s="268" t="str">
        <f t="shared" si="2"/>
        <v>Contract Labor</v>
      </c>
      <c r="C369" s="252"/>
      <c r="D369" s="253" t="s">
        <v>1875</v>
      </c>
      <c r="E369" s="375">
        <f t="shared" si="3"/>
        <v>46142</v>
      </c>
      <c r="F369" s="253" t="s">
        <v>342</v>
      </c>
      <c r="G369" s="253" t="s">
        <v>344</v>
      </c>
      <c r="H369" s="253" t="s">
        <v>321</v>
      </c>
      <c r="I369" s="253" t="s">
        <v>344</v>
      </c>
      <c r="J369" s="253" t="s">
        <v>344</v>
      </c>
      <c r="K369" s="253" t="s">
        <v>1878</v>
      </c>
      <c r="L369" s="253" t="s">
        <v>1756</v>
      </c>
      <c r="M369" s="366">
        <v>400</v>
      </c>
      <c r="N369" s="366">
        <v>5551.52</v>
      </c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 spans="1:26" ht="15.75" customHeight="1">
      <c r="A370" s="268"/>
      <c r="B370" s="268" t="str">
        <f t="shared" si="2"/>
        <v>Contract Labor</v>
      </c>
      <c r="C370" s="252"/>
      <c r="D370" s="253" t="s">
        <v>1875</v>
      </c>
      <c r="E370" s="375">
        <f t="shared" si="3"/>
        <v>46142</v>
      </c>
      <c r="F370" s="253" t="s">
        <v>342</v>
      </c>
      <c r="G370" s="253" t="s">
        <v>344</v>
      </c>
      <c r="H370" s="253" t="s">
        <v>312</v>
      </c>
      <c r="I370" s="253" t="s">
        <v>344</v>
      </c>
      <c r="J370" s="253" t="s">
        <v>344</v>
      </c>
      <c r="K370" s="253" t="s">
        <v>1879</v>
      </c>
      <c r="L370" s="253" t="s">
        <v>1756</v>
      </c>
      <c r="M370" s="366">
        <v>356.08</v>
      </c>
      <c r="N370" s="366">
        <v>5907.6</v>
      </c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 spans="1:26" ht="15.75" customHeight="1">
      <c r="A371" s="268"/>
      <c r="B371" s="268" t="str">
        <f t="shared" si="2"/>
        <v>Contract Labor</v>
      </c>
      <c r="C371" s="252"/>
      <c r="D371" s="253" t="s">
        <v>1625</v>
      </c>
      <c r="E371" s="375">
        <f t="shared" si="3"/>
        <v>46142</v>
      </c>
      <c r="F371" s="253" t="s">
        <v>342</v>
      </c>
      <c r="G371" s="253" t="s">
        <v>344</v>
      </c>
      <c r="H371" s="253" t="s">
        <v>314</v>
      </c>
      <c r="I371" s="253" t="s">
        <v>344</v>
      </c>
      <c r="J371" s="253" t="s">
        <v>344</v>
      </c>
      <c r="K371" s="253" t="s">
        <v>1880</v>
      </c>
      <c r="L371" s="253" t="s">
        <v>1756</v>
      </c>
      <c r="M371" s="366">
        <v>155.88</v>
      </c>
      <c r="N371" s="366">
        <v>6063.4800000000005</v>
      </c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 spans="1:26" ht="15.75" customHeight="1">
      <c r="A372" s="268"/>
      <c r="B372" s="268" t="str">
        <f t="shared" si="2"/>
        <v>Contract Labor</v>
      </c>
      <c r="C372" s="252"/>
      <c r="D372" s="253" t="s">
        <v>1625</v>
      </c>
      <c r="E372" s="375">
        <f t="shared" si="3"/>
        <v>46142</v>
      </c>
      <c r="F372" s="253" t="s">
        <v>342</v>
      </c>
      <c r="G372" s="253" t="s">
        <v>344</v>
      </c>
      <c r="H372" s="253" t="s">
        <v>313</v>
      </c>
      <c r="I372" s="253" t="s">
        <v>344</v>
      </c>
      <c r="J372" s="253" t="s">
        <v>344</v>
      </c>
      <c r="K372" s="253" t="s">
        <v>1881</v>
      </c>
      <c r="L372" s="253" t="s">
        <v>1756</v>
      </c>
      <c r="M372" s="366">
        <v>294.32</v>
      </c>
      <c r="N372" s="366">
        <v>6357.8</v>
      </c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 spans="1:26" ht="15.75" customHeight="1">
      <c r="A373" s="268"/>
      <c r="B373" s="268" t="str">
        <f t="shared" si="2"/>
        <v>Contract Labor</v>
      </c>
      <c r="C373" s="252"/>
      <c r="D373" s="253" t="s">
        <v>1797</v>
      </c>
      <c r="E373" s="375">
        <f t="shared" si="3"/>
        <v>46142</v>
      </c>
      <c r="F373" s="253" t="s">
        <v>342</v>
      </c>
      <c r="G373" s="253" t="s">
        <v>344</v>
      </c>
      <c r="H373" s="253" t="s">
        <v>320</v>
      </c>
      <c r="I373" s="253" t="s">
        <v>344</v>
      </c>
      <c r="J373" s="253" t="s">
        <v>344</v>
      </c>
      <c r="K373" s="253" t="s">
        <v>1882</v>
      </c>
      <c r="L373" s="253" t="s">
        <v>1756</v>
      </c>
      <c r="M373" s="366">
        <v>625</v>
      </c>
      <c r="N373" s="366">
        <v>6982.8</v>
      </c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 spans="1:26" ht="15.75" customHeight="1">
      <c r="A374" s="268"/>
      <c r="B374" s="268" t="str">
        <f t="shared" si="2"/>
        <v>Contract Labor</v>
      </c>
      <c r="C374" s="252"/>
      <c r="D374" s="253" t="s">
        <v>1797</v>
      </c>
      <c r="E374" s="375">
        <f t="shared" si="3"/>
        <v>46142</v>
      </c>
      <c r="F374" s="253" t="s">
        <v>342</v>
      </c>
      <c r="G374" s="253" t="s">
        <v>344</v>
      </c>
      <c r="H374" s="253" t="s">
        <v>1864</v>
      </c>
      <c r="I374" s="253" t="s">
        <v>344</v>
      </c>
      <c r="J374" s="253" t="s">
        <v>344</v>
      </c>
      <c r="K374" s="253" t="s">
        <v>1883</v>
      </c>
      <c r="L374" s="253" t="s">
        <v>1756</v>
      </c>
      <c r="M374" s="366">
        <v>472.88</v>
      </c>
      <c r="N374" s="366">
        <v>7455.68</v>
      </c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 spans="1:26" ht="15.75" customHeight="1">
      <c r="A375" s="268"/>
      <c r="B375" s="268" t="str">
        <f t="shared" si="2"/>
        <v>Contract Labor</v>
      </c>
      <c r="C375" s="252"/>
      <c r="D375" s="253" t="s">
        <v>1636</v>
      </c>
      <c r="E375" s="375">
        <f t="shared" si="3"/>
        <v>46142</v>
      </c>
      <c r="F375" s="253" t="s">
        <v>342</v>
      </c>
      <c r="G375" s="253" t="s">
        <v>344</v>
      </c>
      <c r="H375" s="253" t="s">
        <v>1884</v>
      </c>
      <c r="I375" s="253" t="s">
        <v>344</v>
      </c>
      <c r="J375" s="253" t="s">
        <v>344</v>
      </c>
      <c r="K375" s="253" t="s">
        <v>1885</v>
      </c>
      <c r="L375" s="253" t="s">
        <v>1756</v>
      </c>
      <c r="M375" s="366">
        <v>2275</v>
      </c>
      <c r="N375" s="366">
        <v>9730.68</v>
      </c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 spans="1:26" ht="15.75" customHeight="1">
      <c r="A376" s="268"/>
      <c r="B376" s="268" t="str">
        <f t="shared" si="2"/>
        <v>Contract Labor</v>
      </c>
      <c r="C376" s="252"/>
      <c r="D376" s="253" t="s">
        <v>1886</v>
      </c>
      <c r="E376" s="375">
        <f t="shared" si="3"/>
        <v>46142</v>
      </c>
      <c r="F376" s="253" t="s">
        <v>342</v>
      </c>
      <c r="G376" s="253" t="s">
        <v>344</v>
      </c>
      <c r="H376" s="253" t="s">
        <v>315</v>
      </c>
      <c r="I376" s="253" t="s">
        <v>344</v>
      </c>
      <c r="J376" s="253" t="s">
        <v>344</v>
      </c>
      <c r="K376" s="253" t="s">
        <v>1887</v>
      </c>
      <c r="L376" s="253" t="s">
        <v>1756</v>
      </c>
      <c r="M376" s="366">
        <v>290</v>
      </c>
      <c r="N376" s="366">
        <v>10020.68</v>
      </c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 spans="1:26" ht="15.75" customHeight="1">
      <c r="A377" s="268"/>
      <c r="B377" s="268" t="str">
        <f t="shared" si="2"/>
        <v>Contract Labor</v>
      </c>
      <c r="C377" s="252"/>
      <c r="D377" s="253" t="s">
        <v>1829</v>
      </c>
      <c r="E377" s="375">
        <f t="shared" si="3"/>
        <v>46142</v>
      </c>
      <c r="F377" s="253" t="s">
        <v>342</v>
      </c>
      <c r="G377" s="253" t="s">
        <v>344</v>
      </c>
      <c r="H377" s="253" t="s">
        <v>1888</v>
      </c>
      <c r="I377" s="253" t="s">
        <v>344</v>
      </c>
      <c r="J377" s="253" t="s">
        <v>344</v>
      </c>
      <c r="K377" s="253" t="s">
        <v>1889</v>
      </c>
      <c r="L377" s="253" t="s">
        <v>1756</v>
      </c>
      <c r="M377" s="366">
        <v>275</v>
      </c>
      <c r="N377" s="366">
        <v>10295.68</v>
      </c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 spans="1:26" ht="15.75" customHeight="1">
      <c r="A378" s="268"/>
      <c r="B378" s="268" t="str">
        <f t="shared" si="2"/>
        <v>Contract Labor</v>
      </c>
      <c r="C378" s="252"/>
      <c r="D378" s="253" t="s">
        <v>1697</v>
      </c>
      <c r="E378" s="375">
        <f t="shared" si="3"/>
        <v>46142</v>
      </c>
      <c r="F378" s="253" t="s">
        <v>342</v>
      </c>
      <c r="G378" s="253" t="s">
        <v>344</v>
      </c>
      <c r="H378" s="253" t="s">
        <v>1884</v>
      </c>
      <c r="I378" s="253" t="s">
        <v>344</v>
      </c>
      <c r="J378" s="253" t="s">
        <v>344</v>
      </c>
      <c r="K378" s="253" t="s">
        <v>1890</v>
      </c>
      <c r="L378" s="253" t="s">
        <v>1756</v>
      </c>
      <c r="M378" s="366">
        <v>1788</v>
      </c>
      <c r="N378" s="366">
        <v>12083.68</v>
      </c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 spans="1:26" ht="15.75" customHeight="1">
      <c r="A379" s="268"/>
      <c r="B379" s="268" t="str">
        <f t="shared" si="2"/>
        <v>Contract Labor</v>
      </c>
      <c r="C379" s="252"/>
      <c r="D379" s="253" t="s">
        <v>1891</v>
      </c>
      <c r="E379" s="375">
        <f t="shared" si="3"/>
        <v>46142</v>
      </c>
      <c r="F379" s="253" t="s">
        <v>342</v>
      </c>
      <c r="G379" s="253" t="s">
        <v>344</v>
      </c>
      <c r="H379" s="253" t="s">
        <v>1848</v>
      </c>
      <c r="I379" s="253" t="s">
        <v>344</v>
      </c>
      <c r="J379" s="253" t="s">
        <v>344</v>
      </c>
      <c r="K379" s="253" t="s">
        <v>1892</v>
      </c>
      <c r="L379" s="253" t="s">
        <v>1756</v>
      </c>
      <c r="M379" s="366">
        <v>540</v>
      </c>
      <c r="N379" s="366">
        <v>12623.68</v>
      </c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 spans="1:26" ht="15.75" customHeight="1">
      <c r="A380" s="268"/>
      <c r="B380" s="268" t="str">
        <f t="shared" si="2"/>
        <v>Contract Labor</v>
      </c>
      <c r="C380" s="252"/>
      <c r="D380" s="253" t="s">
        <v>1710</v>
      </c>
      <c r="E380" s="375">
        <f t="shared" si="3"/>
        <v>46173</v>
      </c>
      <c r="F380" s="253" t="s">
        <v>342</v>
      </c>
      <c r="G380" s="253" t="s">
        <v>344</v>
      </c>
      <c r="H380" s="253" t="s">
        <v>1860</v>
      </c>
      <c r="I380" s="253" t="s">
        <v>344</v>
      </c>
      <c r="J380" s="253" t="s">
        <v>344</v>
      </c>
      <c r="K380" s="253" t="s">
        <v>1893</v>
      </c>
      <c r="L380" s="253" t="s">
        <v>1756</v>
      </c>
      <c r="M380" s="366">
        <v>632.20000000000005</v>
      </c>
      <c r="N380" s="366">
        <v>13255.880000000001</v>
      </c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 spans="1:26" ht="15.75" customHeight="1">
      <c r="A381" s="268"/>
      <c r="B381" s="268" t="str">
        <f t="shared" si="2"/>
        <v>Contract Labor</v>
      </c>
      <c r="C381" s="252"/>
      <c r="D381" s="253" t="s">
        <v>1710</v>
      </c>
      <c r="E381" s="375">
        <f t="shared" si="3"/>
        <v>46173</v>
      </c>
      <c r="F381" s="253" t="s">
        <v>342</v>
      </c>
      <c r="G381" s="253" t="s">
        <v>344</v>
      </c>
      <c r="H381" s="253" t="s">
        <v>312</v>
      </c>
      <c r="I381" s="253" t="s">
        <v>344</v>
      </c>
      <c r="J381" s="253" t="s">
        <v>344</v>
      </c>
      <c r="K381" s="253" t="s">
        <v>1894</v>
      </c>
      <c r="L381" s="253" t="s">
        <v>1756</v>
      </c>
      <c r="M381" s="366">
        <v>704.2</v>
      </c>
      <c r="N381" s="366">
        <v>13960.080000000002</v>
      </c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 spans="1:26" ht="15.75" customHeight="1">
      <c r="A382" s="268"/>
      <c r="B382" s="268" t="str">
        <f t="shared" si="2"/>
        <v>Contract Labor</v>
      </c>
      <c r="C382" s="252"/>
      <c r="D382" s="253" t="s">
        <v>1710</v>
      </c>
      <c r="E382" s="375">
        <f t="shared" si="3"/>
        <v>46173</v>
      </c>
      <c r="F382" s="253" t="s">
        <v>342</v>
      </c>
      <c r="G382" s="253" t="s">
        <v>344</v>
      </c>
      <c r="H382" s="253" t="s">
        <v>321</v>
      </c>
      <c r="I382" s="253" t="s">
        <v>344</v>
      </c>
      <c r="J382" s="253" t="s">
        <v>344</v>
      </c>
      <c r="K382" s="253" t="s">
        <v>1895</v>
      </c>
      <c r="L382" s="253" t="s">
        <v>1756</v>
      </c>
      <c r="M382" s="366">
        <v>1000</v>
      </c>
      <c r="N382" s="366">
        <v>14960.080000000002</v>
      </c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 spans="1:26" ht="15.75" customHeight="1">
      <c r="A383" s="268"/>
      <c r="B383" s="268" t="str">
        <f t="shared" si="2"/>
        <v>Contract Labor</v>
      </c>
      <c r="C383" s="252"/>
      <c r="D383" s="253" t="s">
        <v>1809</v>
      </c>
      <c r="E383" s="375">
        <f t="shared" si="3"/>
        <v>46173</v>
      </c>
      <c r="F383" s="253" t="s">
        <v>342</v>
      </c>
      <c r="G383" s="253" t="s">
        <v>344</v>
      </c>
      <c r="H383" s="253" t="s">
        <v>320</v>
      </c>
      <c r="I383" s="253" t="s">
        <v>344</v>
      </c>
      <c r="J383" s="253" t="s">
        <v>344</v>
      </c>
      <c r="K383" s="253" t="s">
        <v>1896</v>
      </c>
      <c r="L383" s="253" t="s">
        <v>1756</v>
      </c>
      <c r="M383" s="366">
        <v>600</v>
      </c>
      <c r="N383" s="366">
        <v>15560.080000000002</v>
      </c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 spans="1:26" ht="15.75" customHeight="1">
      <c r="A384" s="268"/>
      <c r="B384" s="268" t="str">
        <f t="shared" si="2"/>
        <v>Contract Labor</v>
      </c>
      <c r="C384" s="252"/>
      <c r="D384" s="253" t="s">
        <v>1809</v>
      </c>
      <c r="E384" s="375">
        <f t="shared" si="3"/>
        <v>46173</v>
      </c>
      <c r="F384" s="253" t="s">
        <v>342</v>
      </c>
      <c r="G384" s="253" t="s">
        <v>344</v>
      </c>
      <c r="H384" s="253" t="s">
        <v>1864</v>
      </c>
      <c r="I384" s="253" t="s">
        <v>344</v>
      </c>
      <c r="J384" s="253" t="s">
        <v>344</v>
      </c>
      <c r="K384" s="253" t="s">
        <v>1897</v>
      </c>
      <c r="L384" s="253" t="s">
        <v>1756</v>
      </c>
      <c r="M384" s="366">
        <v>727.88</v>
      </c>
      <c r="N384" s="366">
        <v>16287.960000000001</v>
      </c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 spans="1:26" ht="15.75" customHeight="1">
      <c r="A385" s="268"/>
      <c r="B385" s="268" t="str">
        <f t="shared" si="2"/>
        <v>Contract Labor</v>
      </c>
      <c r="C385" s="252"/>
      <c r="D385" s="253" t="s">
        <v>1730</v>
      </c>
      <c r="E385" s="375">
        <f t="shared" si="3"/>
        <v>46173</v>
      </c>
      <c r="F385" s="253" t="s">
        <v>342</v>
      </c>
      <c r="G385" s="253" t="s">
        <v>344</v>
      </c>
      <c r="H385" s="253" t="s">
        <v>317</v>
      </c>
      <c r="I385" s="253" t="s">
        <v>344</v>
      </c>
      <c r="J385" s="253" t="s">
        <v>344</v>
      </c>
      <c r="K385" s="253" t="s">
        <v>1898</v>
      </c>
      <c r="L385" s="253" t="s">
        <v>1756</v>
      </c>
      <c r="M385" s="366">
        <v>282</v>
      </c>
      <c r="N385" s="366">
        <v>16569.96</v>
      </c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 spans="1:26" ht="15.75" customHeight="1">
      <c r="A386" s="268"/>
      <c r="B386" s="268" t="str">
        <f t="shared" si="2"/>
        <v>Contract Labor</v>
      </c>
      <c r="C386" s="252"/>
      <c r="D386" s="253" t="s">
        <v>1734</v>
      </c>
      <c r="E386" s="375">
        <f t="shared" si="3"/>
        <v>46173</v>
      </c>
      <c r="F386" s="253" t="s">
        <v>342</v>
      </c>
      <c r="G386" s="253" t="s">
        <v>344</v>
      </c>
      <c r="H386" s="253" t="s">
        <v>308</v>
      </c>
      <c r="I386" s="253" t="s">
        <v>344</v>
      </c>
      <c r="J386" s="253" t="s">
        <v>344</v>
      </c>
      <c r="K386" s="253" t="s">
        <v>1899</v>
      </c>
      <c r="L386" s="253" t="s">
        <v>1756</v>
      </c>
      <c r="M386" s="366">
        <v>180.96</v>
      </c>
      <c r="N386" s="366">
        <v>16750.919999999998</v>
      </c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 spans="1:26" ht="15.75" customHeight="1">
      <c r="A387" s="268"/>
      <c r="B387" s="268" t="str">
        <f t="shared" si="2"/>
        <v>Contract Labor</v>
      </c>
      <c r="C387" s="252"/>
      <c r="D387" s="253" t="s">
        <v>1734</v>
      </c>
      <c r="E387" s="375">
        <f t="shared" si="3"/>
        <v>46173</v>
      </c>
      <c r="F387" s="253" t="s">
        <v>342</v>
      </c>
      <c r="G387" s="253" t="s">
        <v>344</v>
      </c>
      <c r="H387" s="253" t="s">
        <v>307</v>
      </c>
      <c r="I387" s="253" t="s">
        <v>344</v>
      </c>
      <c r="J387" s="253" t="s">
        <v>344</v>
      </c>
      <c r="K387" s="253" t="s">
        <v>1900</v>
      </c>
      <c r="L387" s="253" t="s">
        <v>1756</v>
      </c>
      <c r="M387" s="366">
        <v>711.72</v>
      </c>
      <c r="N387" s="366">
        <v>17462.64</v>
      </c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 spans="1:26" ht="15.75" customHeight="1">
      <c r="A388" s="268"/>
      <c r="B388" s="268" t="str">
        <f t="shared" si="2"/>
        <v>Contract Labor</v>
      </c>
      <c r="C388" s="252"/>
      <c r="D388" s="253" t="s">
        <v>1737</v>
      </c>
      <c r="E388" s="375">
        <f t="shared" si="3"/>
        <v>46173</v>
      </c>
      <c r="F388" s="253" t="s">
        <v>342</v>
      </c>
      <c r="G388" s="253" t="s">
        <v>344</v>
      </c>
      <c r="H388" s="253" t="s">
        <v>344</v>
      </c>
      <c r="I388" s="253" t="s">
        <v>344</v>
      </c>
      <c r="J388" s="253" t="s">
        <v>344</v>
      </c>
      <c r="K388" s="253" t="s">
        <v>1901</v>
      </c>
      <c r="L388" s="253" t="s">
        <v>1756</v>
      </c>
      <c r="M388" s="366">
        <v>290</v>
      </c>
      <c r="N388" s="366">
        <v>17752.64</v>
      </c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 spans="1:26" ht="15.75" customHeight="1">
      <c r="A389" s="268"/>
      <c r="B389" s="268" t="str">
        <f t="shared" si="2"/>
        <v>Contract Labor</v>
      </c>
      <c r="C389" s="252"/>
      <c r="D389" s="253" t="s">
        <v>1737</v>
      </c>
      <c r="E389" s="375">
        <f t="shared" si="3"/>
        <v>46173</v>
      </c>
      <c r="F389" s="253" t="s">
        <v>342</v>
      </c>
      <c r="G389" s="253" t="s">
        <v>344</v>
      </c>
      <c r="H389" s="253" t="s">
        <v>310</v>
      </c>
      <c r="I389" s="253" t="s">
        <v>344</v>
      </c>
      <c r="J389" s="253" t="s">
        <v>344</v>
      </c>
      <c r="K389" s="253" t="s">
        <v>1902</v>
      </c>
      <c r="L389" s="253" t="s">
        <v>1756</v>
      </c>
      <c r="M389" s="366">
        <v>608.52</v>
      </c>
      <c r="N389" s="366">
        <v>18361.16</v>
      </c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 spans="1:26" ht="15.75" customHeight="1">
      <c r="A390" s="268"/>
      <c r="B390" s="268" t="str">
        <f t="shared" si="2"/>
        <v>Contract Labor</v>
      </c>
      <c r="C390" s="252"/>
      <c r="D390" s="253" t="s">
        <v>1737</v>
      </c>
      <c r="E390" s="375">
        <f t="shared" si="3"/>
        <v>46173</v>
      </c>
      <c r="F390" s="253" t="s">
        <v>342</v>
      </c>
      <c r="G390" s="253" t="s">
        <v>344</v>
      </c>
      <c r="H390" s="253" t="s">
        <v>313</v>
      </c>
      <c r="I390" s="253" t="s">
        <v>344</v>
      </c>
      <c r="J390" s="253" t="s">
        <v>344</v>
      </c>
      <c r="K390" s="253" t="s">
        <v>1903</v>
      </c>
      <c r="L390" s="253" t="s">
        <v>1756</v>
      </c>
      <c r="M390" s="366">
        <v>143.4</v>
      </c>
      <c r="N390" s="366">
        <v>18504.560000000001</v>
      </c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 spans="1:26" ht="15.75" customHeight="1">
      <c r="A391" s="268"/>
      <c r="B391" s="268" t="str">
        <f t="shared" si="2"/>
        <v>Contract Labor</v>
      </c>
      <c r="C391" s="252"/>
      <c r="D391" s="253" t="s">
        <v>1737</v>
      </c>
      <c r="E391" s="375">
        <f t="shared" si="3"/>
        <v>46173</v>
      </c>
      <c r="F391" s="253" t="s">
        <v>342</v>
      </c>
      <c r="G391" s="253" t="s">
        <v>344</v>
      </c>
      <c r="H391" s="253" t="s">
        <v>316</v>
      </c>
      <c r="I391" s="253" t="s">
        <v>344</v>
      </c>
      <c r="J391" s="253" t="s">
        <v>344</v>
      </c>
      <c r="K391" s="253" t="s">
        <v>1904</v>
      </c>
      <c r="L391" s="253" t="s">
        <v>1756</v>
      </c>
      <c r="M391" s="366">
        <v>282.60000000000002</v>
      </c>
      <c r="N391" s="366">
        <v>18787.16</v>
      </c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 spans="1:26" ht="15.75" customHeight="1">
      <c r="A392" s="268"/>
      <c r="B392" s="268" t="str">
        <f t="shared" si="2"/>
        <v>Contract Labor</v>
      </c>
      <c r="C392" s="252"/>
      <c r="D392" s="253" t="s">
        <v>1737</v>
      </c>
      <c r="E392" s="375">
        <f t="shared" si="3"/>
        <v>46173</v>
      </c>
      <c r="F392" s="253" t="s">
        <v>342</v>
      </c>
      <c r="G392" s="253" t="s">
        <v>344</v>
      </c>
      <c r="H392" s="253" t="s">
        <v>1905</v>
      </c>
      <c r="I392" s="253" t="s">
        <v>344</v>
      </c>
      <c r="J392" s="253" t="s">
        <v>344</v>
      </c>
      <c r="K392" s="253" t="s">
        <v>1906</v>
      </c>
      <c r="L392" s="253" t="s">
        <v>1756</v>
      </c>
      <c r="M392" s="366">
        <v>800</v>
      </c>
      <c r="N392" s="366">
        <v>19587.16</v>
      </c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 spans="1:26" ht="15.75" customHeight="1">
      <c r="A393" s="268"/>
      <c r="B393" s="268" t="str">
        <f t="shared" si="2"/>
        <v>Contract Labor</v>
      </c>
      <c r="C393" s="252"/>
      <c r="D393" s="253" t="s">
        <v>1737</v>
      </c>
      <c r="E393" s="375">
        <f t="shared" si="3"/>
        <v>46173</v>
      </c>
      <c r="F393" s="253" t="s">
        <v>342</v>
      </c>
      <c r="G393" s="253" t="s">
        <v>344</v>
      </c>
      <c r="H393" s="253" t="s">
        <v>1907</v>
      </c>
      <c r="I393" s="253" t="s">
        <v>344</v>
      </c>
      <c r="J393" s="253" t="s">
        <v>344</v>
      </c>
      <c r="K393" s="253" t="s">
        <v>1908</v>
      </c>
      <c r="L393" s="253" t="s">
        <v>1756</v>
      </c>
      <c r="M393" s="366">
        <v>145</v>
      </c>
      <c r="N393" s="366">
        <v>19732.16</v>
      </c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 spans="1:26" ht="15.75" customHeight="1">
      <c r="A394" s="268"/>
      <c r="B394" s="268" t="str">
        <f t="shared" si="2"/>
        <v>Contract Labor</v>
      </c>
      <c r="C394" s="252"/>
      <c r="D394" s="253" t="s">
        <v>1737</v>
      </c>
      <c r="E394" s="375">
        <f t="shared" si="3"/>
        <v>46173</v>
      </c>
      <c r="F394" s="253" t="s">
        <v>342</v>
      </c>
      <c r="G394" s="253" t="s">
        <v>344</v>
      </c>
      <c r="H394" s="253" t="s">
        <v>1909</v>
      </c>
      <c r="I394" s="253" t="s">
        <v>344</v>
      </c>
      <c r="J394" s="253" t="s">
        <v>344</v>
      </c>
      <c r="K394" s="253" t="s">
        <v>1910</v>
      </c>
      <c r="L394" s="253" t="s">
        <v>1756</v>
      </c>
      <c r="M394" s="366">
        <v>290</v>
      </c>
      <c r="N394" s="366">
        <v>20022.16</v>
      </c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 spans="1:26" ht="15.75" customHeight="1">
      <c r="A395" s="268"/>
      <c r="B395" s="268" t="str">
        <f t="shared" si="2"/>
        <v>Contract Labor</v>
      </c>
      <c r="C395" s="252"/>
      <c r="D395" s="253" t="s">
        <v>1911</v>
      </c>
      <c r="E395" s="375">
        <f t="shared" si="3"/>
        <v>46173</v>
      </c>
      <c r="F395" s="253" t="s">
        <v>342</v>
      </c>
      <c r="G395" s="253" t="s">
        <v>344</v>
      </c>
      <c r="H395" s="253" t="s">
        <v>344</v>
      </c>
      <c r="I395" s="253" t="s">
        <v>344</v>
      </c>
      <c r="J395" s="253" t="s">
        <v>344</v>
      </c>
      <c r="K395" s="253" t="s">
        <v>1912</v>
      </c>
      <c r="L395" s="253" t="s">
        <v>1756</v>
      </c>
      <c r="M395" s="366">
        <v>90</v>
      </c>
      <c r="N395" s="366">
        <v>20112.16</v>
      </c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 spans="1:26" ht="15.75" customHeight="1">
      <c r="A396" s="268"/>
      <c r="B396" s="268" t="str">
        <f t="shared" si="2"/>
        <v>Contract Labor</v>
      </c>
      <c r="C396" s="252"/>
      <c r="D396" s="253" t="s">
        <v>1911</v>
      </c>
      <c r="E396" s="375">
        <f t="shared" si="3"/>
        <v>46173</v>
      </c>
      <c r="F396" s="253" t="s">
        <v>342</v>
      </c>
      <c r="G396" s="253" t="s">
        <v>344</v>
      </c>
      <c r="H396" s="253" t="s">
        <v>1913</v>
      </c>
      <c r="I396" s="253" t="s">
        <v>344</v>
      </c>
      <c r="J396" s="253" t="s">
        <v>344</v>
      </c>
      <c r="K396" s="253" t="s">
        <v>1914</v>
      </c>
      <c r="L396" s="253" t="s">
        <v>1756</v>
      </c>
      <c r="M396" s="366">
        <v>240</v>
      </c>
      <c r="N396" s="366">
        <v>20352.16</v>
      </c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 spans="1:26" ht="15.75" customHeight="1">
      <c r="A397" s="268"/>
      <c r="B397" s="268" t="str">
        <f t="shared" si="2"/>
        <v>Contract Labor</v>
      </c>
      <c r="C397" s="252"/>
      <c r="D397" s="253" t="s">
        <v>1911</v>
      </c>
      <c r="E397" s="375">
        <f t="shared" si="3"/>
        <v>46173</v>
      </c>
      <c r="F397" s="253" t="s">
        <v>342</v>
      </c>
      <c r="G397" s="253" t="s">
        <v>344</v>
      </c>
      <c r="H397" s="253" t="s">
        <v>315</v>
      </c>
      <c r="I397" s="253" t="s">
        <v>344</v>
      </c>
      <c r="J397" s="253" t="s">
        <v>344</v>
      </c>
      <c r="K397" s="253" t="s">
        <v>1915</v>
      </c>
      <c r="L397" s="253" t="s">
        <v>1756</v>
      </c>
      <c r="M397" s="366">
        <v>267.12</v>
      </c>
      <c r="N397" s="366">
        <v>20619.28</v>
      </c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 spans="1:26" ht="15.75" customHeight="1">
      <c r="A398" s="268"/>
      <c r="B398" s="268" t="str">
        <f t="shared" si="2"/>
        <v>Contract Labor</v>
      </c>
      <c r="C398" s="252"/>
      <c r="D398" s="253" t="s">
        <v>1911</v>
      </c>
      <c r="E398" s="375">
        <f t="shared" si="3"/>
        <v>46173</v>
      </c>
      <c r="F398" s="253" t="s">
        <v>342</v>
      </c>
      <c r="G398" s="253" t="s">
        <v>344</v>
      </c>
      <c r="H398" s="253" t="s">
        <v>1913</v>
      </c>
      <c r="I398" s="253" t="s">
        <v>344</v>
      </c>
      <c r="J398" s="253" t="s">
        <v>344</v>
      </c>
      <c r="K398" s="253" t="s">
        <v>1916</v>
      </c>
      <c r="L398" s="253" t="s">
        <v>1756</v>
      </c>
      <c r="M398" s="366">
        <v>300</v>
      </c>
      <c r="N398" s="366">
        <v>20919.28</v>
      </c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 spans="1:26" ht="15.75" customHeight="1">
      <c r="A399" s="268"/>
      <c r="B399" s="268" t="str">
        <f t="shared" si="2"/>
        <v>Contract Labor</v>
      </c>
      <c r="C399" s="252"/>
      <c r="D399" s="253" t="s">
        <v>1917</v>
      </c>
      <c r="E399" s="375">
        <f t="shared" si="3"/>
        <v>46173</v>
      </c>
      <c r="F399" s="253" t="s">
        <v>342</v>
      </c>
      <c r="G399" s="253" t="s">
        <v>344</v>
      </c>
      <c r="H399" s="253" t="s">
        <v>319</v>
      </c>
      <c r="I399" s="253" t="s">
        <v>344</v>
      </c>
      <c r="J399" s="253" t="s">
        <v>344</v>
      </c>
      <c r="K399" s="253" t="s">
        <v>1918</v>
      </c>
      <c r="L399" s="253" t="s">
        <v>1756</v>
      </c>
      <c r="M399" s="366">
        <v>425</v>
      </c>
      <c r="N399" s="366">
        <v>21344.28</v>
      </c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 spans="1:26" ht="15.75" customHeight="1">
      <c r="A400" s="268"/>
      <c r="B400" s="268" t="str">
        <f t="shared" si="2"/>
        <v>Contract Labor</v>
      </c>
      <c r="C400" s="252"/>
      <c r="D400" s="253" t="s">
        <v>1917</v>
      </c>
      <c r="E400" s="375">
        <f t="shared" si="3"/>
        <v>46173</v>
      </c>
      <c r="F400" s="253" t="s">
        <v>342</v>
      </c>
      <c r="G400" s="253" t="s">
        <v>344</v>
      </c>
      <c r="H400" s="253" t="s">
        <v>314</v>
      </c>
      <c r="I400" s="253" t="s">
        <v>344</v>
      </c>
      <c r="J400" s="253" t="s">
        <v>344</v>
      </c>
      <c r="K400" s="253" t="s">
        <v>1919</v>
      </c>
      <c r="L400" s="253" t="s">
        <v>1756</v>
      </c>
      <c r="M400" s="366">
        <v>602.55999999999995</v>
      </c>
      <c r="N400" s="366">
        <v>21946.84</v>
      </c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 spans="1:26" ht="15.75" customHeight="1">
      <c r="A401" s="268"/>
      <c r="B401" s="268" t="str">
        <f t="shared" si="2"/>
        <v>Contract Labor</v>
      </c>
      <c r="C401" s="252"/>
      <c r="D401" s="253" t="s">
        <v>1917</v>
      </c>
      <c r="E401" s="375">
        <f t="shared" si="3"/>
        <v>46173</v>
      </c>
      <c r="F401" s="253" t="s">
        <v>342</v>
      </c>
      <c r="G401" s="253" t="s">
        <v>344</v>
      </c>
      <c r="H401" s="253" t="s">
        <v>319</v>
      </c>
      <c r="I401" s="253" t="s">
        <v>344</v>
      </c>
      <c r="J401" s="253" t="s">
        <v>344</v>
      </c>
      <c r="K401" s="253" t="s">
        <v>1920</v>
      </c>
      <c r="L401" s="253" t="s">
        <v>1756</v>
      </c>
      <c r="M401" s="366">
        <v>200</v>
      </c>
      <c r="N401" s="366">
        <v>22146.84</v>
      </c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 spans="1:26" ht="15.75" customHeight="1">
      <c r="A402" s="268"/>
      <c r="B402" s="268" t="str">
        <f t="shared" si="2"/>
        <v>Total for Contract Labor</v>
      </c>
      <c r="C402" s="367" t="s">
        <v>1921</v>
      </c>
      <c r="D402" s="252"/>
      <c r="E402" s="375">
        <f t="shared" si="3"/>
        <v>31</v>
      </c>
      <c r="F402" s="252"/>
      <c r="G402" s="252"/>
      <c r="H402" s="252"/>
      <c r="I402" s="252"/>
      <c r="J402" s="252"/>
      <c r="K402" s="252"/>
      <c r="L402" s="252"/>
      <c r="M402" s="368">
        <f>M347+M348+M349+M350+M351+M352+M353+M354+M355+M356+M357+M358+M359+M360+M361+M362+M363+M364+M365+M366+M367+M368+M369+M370+M371+M372+M373+M374+M375+M376+M377+M378+M379+M380+M381+M382+M383+M384+M385+M386+M387+M388+M389+M390+M391+M392+M393+M394+M395+M396+M397+M398+M399+M400+M401</f>
        <v>22146.84</v>
      </c>
      <c r="N402" s="252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 spans="1:26" ht="15.75" customHeight="1">
      <c r="A403" s="268"/>
      <c r="B403" s="268" t="str">
        <f t="shared" si="2"/>
        <v>Decorations</v>
      </c>
      <c r="C403" s="365" t="s">
        <v>1261</v>
      </c>
      <c r="D403" s="252"/>
      <c r="E403" s="375">
        <f t="shared" si="3"/>
        <v>31</v>
      </c>
      <c r="F403" s="252"/>
      <c r="G403" s="252"/>
      <c r="H403" s="252"/>
      <c r="I403" s="252"/>
      <c r="J403" s="252"/>
      <c r="K403" s="252"/>
      <c r="L403" s="252"/>
      <c r="M403" s="252"/>
      <c r="N403" s="252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 spans="1:26" ht="15.75" customHeight="1">
      <c r="A404" s="268"/>
      <c r="B404" s="268" t="str">
        <f t="shared" si="2"/>
        <v>Decorations</v>
      </c>
      <c r="C404" s="252"/>
      <c r="D404" s="253" t="s">
        <v>1422</v>
      </c>
      <c r="E404" s="375">
        <f t="shared" si="3"/>
        <v>46081</v>
      </c>
      <c r="F404" s="253" t="s">
        <v>342</v>
      </c>
      <c r="G404" s="253" t="s">
        <v>344</v>
      </c>
      <c r="H404" s="253" t="s">
        <v>1922</v>
      </c>
      <c r="I404" s="253" t="s">
        <v>344</v>
      </c>
      <c r="J404" s="253" t="s">
        <v>344</v>
      </c>
      <c r="K404" s="253" t="s">
        <v>1923</v>
      </c>
      <c r="L404" s="253" t="s">
        <v>1756</v>
      </c>
      <c r="M404" s="366">
        <v>66.62</v>
      </c>
      <c r="N404" s="366">
        <v>66.62</v>
      </c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 spans="1:26" ht="15.75" customHeight="1">
      <c r="A405" s="268"/>
      <c r="B405" s="268" t="str">
        <f t="shared" si="2"/>
        <v>Decorations</v>
      </c>
      <c r="C405" s="252"/>
      <c r="D405" s="253" t="s">
        <v>1924</v>
      </c>
      <c r="E405" s="375">
        <f t="shared" si="3"/>
        <v>46081</v>
      </c>
      <c r="F405" s="253" t="s">
        <v>342</v>
      </c>
      <c r="G405" s="253" t="s">
        <v>344</v>
      </c>
      <c r="H405" s="253" t="s">
        <v>1922</v>
      </c>
      <c r="I405" s="253" t="s">
        <v>344</v>
      </c>
      <c r="J405" s="253" t="s">
        <v>344</v>
      </c>
      <c r="K405" s="253" t="s">
        <v>1925</v>
      </c>
      <c r="L405" s="253" t="s">
        <v>1756</v>
      </c>
      <c r="M405" s="366">
        <v>156.09</v>
      </c>
      <c r="N405" s="366">
        <v>222.71</v>
      </c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 spans="1:26" ht="15.75" customHeight="1">
      <c r="A406" s="268"/>
      <c r="B406" s="268" t="str">
        <f t="shared" si="2"/>
        <v>Decorations</v>
      </c>
      <c r="C406" s="252"/>
      <c r="D406" s="253" t="s">
        <v>1507</v>
      </c>
      <c r="E406" s="375">
        <f t="shared" si="3"/>
        <v>46112</v>
      </c>
      <c r="F406" s="253" t="s">
        <v>342</v>
      </c>
      <c r="G406" s="253" t="s">
        <v>344</v>
      </c>
      <c r="H406" s="253" t="s">
        <v>1926</v>
      </c>
      <c r="I406" s="253" t="s">
        <v>344</v>
      </c>
      <c r="J406" s="253" t="s">
        <v>344</v>
      </c>
      <c r="K406" s="253" t="s">
        <v>1927</v>
      </c>
      <c r="L406" s="253" t="s">
        <v>1756</v>
      </c>
      <c r="M406" s="366">
        <v>138.19999999999999</v>
      </c>
      <c r="N406" s="366">
        <v>360.90999999999997</v>
      </c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 spans="1:26" ht="15.75" customHeight="1">
      <c r="A407" s="268"/>
      <c r="B407" s="268" t="str">
        <f t="shared" si="2"/>
        <v>Total for Decorations</v>
      </c>
      <c r="C407" s="367" t="s">
        <v>1928</v>
      </c>
      <c r="D407" s="252"/>
      <c r="E407" s="375">
        <f t="shared" si="3"/>
        <v>31</v>
      </c>
      <c r="F407" s="252"/>
      <c r="G407" s="252"/>
      <c r="H407" s="252"/>
      <c r="I407" s="252"/>
      <c r="J407" s="252"/>
      <c r="K407" s="252"/>
      <c r="L407" s="252"/>
      <c r="M407" s="368">
        <f>M404+M405+M406</f>
        <v>360.90999999999997</v>
      </c>
      <c r="N407" s="252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 spans="1:26" ht="15.75" customHeight="1">
      <c r="A408" s="268"/>
      <c r="B408" s="268" t="str">
        <f t="shared" si="2"/>
        <v>Floor Cleaning</v>
      </c>
      <c r="C408" s="365" t="s">
        <v>1265</v>
      </c>
      <c r="D408" s="252"/>
      <c r="E408" s="375">
        <f t="shared" si="3"/>
        <v>31</v>
      </c>
      <c r="F408" s="252"/>
      <c r="G408" s="252"/>
      <c r="H408" s="252"/>
      <c r="I408" s="252"/>
      <c r="J408" s="252"/>
      <c r="K408" s="252"/>
      <c r="L408" s="252"/>
      <c r="M408" s="252"/>
      <c r="N408" s="252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 spans="1:26" ht="15.75" customHeight="1">
      <c r="A409" s="268"/>
      <c r="B409" s="268" t="str">
        <f t="shared" si="2"/>
        <v>Floor Cleaning</v>
      </c>
      <c r="C409" s="252"/>
      <c r="D409" s="253" t="s">
        <v>1333</v>
      </c>
      <c r="E409" s="375">
        <f t="shared" si="3"/>
        <v>46053</v>
      </c>
      <c r="F409" s="253" t="s">
        <v>342</v>
      </c>
      <c r="G409" s="253" t="s">
        <v>344</v>
      </c>
      <c r="H409" s="253" t="s">
        <v>1929</v>
      </c>
      <c r="I409" s="253" t="s">
        <v>344</v>
      </c>
      <c r="J409" s="253" t="s">
        <v>344</v>
      </c>
      <c r="K409" s="253" t="s">
        <v>1930</v>
      </c>
      <c r="L409" s="253" t="s">
        <v>1756</v>
      </c>
      <c r="M409" s="366">
        <v>1500</v>
      </c>
      <c r="N409" s="366">
        <v>1500</v>
      </c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 spans="1:26" ht="15.75" customHeight="1">
      <c r="A410" s="268"/>
      <c r="B410" s="268" t="str">
        <f t="shared" si="2"/>
        <v>Floor Cleaning</v>
      </c>
      <c r="C410" s="252"/>
      <c r="D410" s="253" t="s">
        <v>1454</v>
      </c>
      <c r="E410" s="375">
        <f t="shared" si="3"/>
        <v>46081</v>
      </c>
      <c r="F410" s="253" t="s">
        <v>342</v>
      </c>
      <c r="G410" s="253" t="s">
        <v>344</v>
      </c>
      <c r="H410" s="253" t="s">
        <v>1929</v>
      </c>
      <c r="I410" s="253" t="s">
        <v>344</v>
      </c>
      <c r="J410" s="253" t="s">
        <v>344</v>
      </c>
      <c r="K410" s="253" t="s">
        <v>1931</v>
      </c>
      <c r="L410" s="253" t="s">
        <v>1756</v>
      </c>
      <c r="M410" s="366">
        <v>100</v>
      </c>
      <c r="N410" s="366">
        <v>1600</v>
      </c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 spans="1:26" ht="15.75" customHeight="1">
      <c r="A411" s="268"/>
      <c r="B411" s="268" t="str">
        <f t="shared" si="2"/>
        <v>Floor Cleaning</v>
      </c>
      <c r="C411" s="252"/>
      <c r="D411" s="253" t="s">
        <v>1598</v>
      </c>
      <c r="E411" s="375">
        <f t="shared" si="3"/>
        <v>46142</v>
      </c>
      <c r="F411" s="253" t="s">
        <v>342</v>
      </c>
      <c r="G411" s="253" t="s">
        <v>344</v>
      </c>
      <c r="H411" s="253" t="s">
        <v>1929</v>
      </c>
      <c r="I411" s="253" t="s">
        <v>344</v>
      </c>
      <c r="J411" s="253" t="s">
        <v>344</v>
      </c>
      <c r="K411" s="253" t="s">
        <v>1932</v>
      </c>
      <c r="L411" s="253" t="s">
        <v>1756</v>
      </c>
      <c r="M411" s="366">
        <v>500</v>
      </c>
      <c r="N411" s="366">
        <v>2100</v>
      </c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 spans="1:26" ht="15.75" customHeight="1">
      <c r="A412" s="268"/>
      <c r="B412" s="268" t="str">
        <f t="shared" si="2"/>
        <v>Total for Floor Cleaning</v>
      </c>
      <c r="C412" s="367" t="s">
        <v>1933</v>
      </c>
      <c r="D412" s="252"/>
      <c r="E412" s="375">
        <f t="shared" si="3"/>
        <v>31</v>
      </c>
      <c r="F412" s="252"/>
      <c r="G412" s="252"/>
      <c r="H412" s="252"/>
      <c r="I412" s="252"/>
      <c r="J412" s="252"/>
      <c r="K412" s="252"/>
      <c r="L412" s="252"/>
      <c r="M412" s="368">
        <f>M409+M410+M411</f>
        <v>2100</v>
      </c>
      <c r="N412" s="252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 spans="1:26" ht="15.75" customHeight="1">
      <c r="A413" s="268"/>
      <c r="B413" s="268" t="str">
        <f t="shared" si="2"/>
        <v>Payroll Expenses</v>
      </c>
      <c r="C413" s="365" t="s">
        <v>436</v>
      </c>
      <c r="D413" s="252"/>
      <c r="E413" s="375">
        <f t="shared" si="3"/>
        <v>31</v>
      </c>
      <c r="F413" s="252"/>
      <c r="G413" s="252"/>
      <c r="H413" s="252"/>
      <c r="I413" s="252"/>
      <c r="J413" s="252"/>
      <c r="K413" s="252"/>
      <c r="L413" s="252"/>
      <c r="M413" s="252"/>
      <c r="N413" s="252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 spans="1:26" ht="15.75" customHeight="1">
      <c r="A414" s="268"/>
      <c r="B414" s="268" t="str">
        <f t="shared" si="2"/>
        <v>Payroll Expenses</v>
      </c>
      <c r="C414" s="252"/>
      <c r="D414" s="253" t="s">
        <v>1321</v>
      </c>
      <c r="E414" s="375">
        <f t="shared" si="3"/>
        <v>46053</v>
      </c>
      <c r="F414" s="253" t="s">
        <v>342</v>
      </c>
      <c r="G414" s="253" t="s">
        <v>344</v>
      </c>
      <c r="H414" s="253" t="s">
        <v>1934</v>
      </c>
      <c r="I414" s="253" t="s">
        <v>344</v>
      </c>
      <c r="J414" s="253" t="s">
        <v>344</v>
      </c>
      <c r="K414" s="253" t="s">
        <v>1935</v>
      </c>
      <c r="L414" s="253" t="s">
        <v>1756</v>
      </c>
      <c r="M414" s="366">
        <v>4648.37</v>
      </c>
      <c r="N414" s="366">
        <v>4648.37</v>
      </c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 spans="1:26" ht="15.75" customHeight="1">
      <c r="A415" s="268"/>
      <c r="B415" s="268" t="str">
        <f t="shared" si="2"/>
        <v>Payroll Expenses</v>
      </c>
      <c r="C415" s="252"/>
      <c r="D415" s="253" t="s">
        <v>1847</v>
      </c>
      <c r="E415" s="375">
        <f t="shared" si="3"/>
        <v>46053</v>
      </c>
      <c r="F415" s="253" t="s">
        <v>342</v>
      </c>
      <c r="G415" s="253" t="s">
        <v>344</v>
      </c>
      <c r="H415" s="253" t="s">
        <v>1934</v>
      </c>
      <c r="I415" s="253" t="s">
        <v>344</v>
      </c>
      <c r="J415" s="253" t="s">
        <v>344</v>
      </c>
      <c r="K415" s="253" t="s">
        <v>1936</v>
      </c>
      <c r="L415" s="253" t="s">
        <v>1756</v>
      </c>
      <c r="M415" s="366">
        <v>664.08</v>
      </c>
      <c r="N415" s="366">
        <v>5312.45</v>
      </c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 spans="1:26" ht="15.75" customHeight="1">
      <c r="A416" s="268"/>
      <c r="B416" s="268" t="str">
        <f t="shared" si="2"/>
        <v>Payroll Expenses</v>
      </c>
      <c r="C416" s="252"/>
      <c r="D416" s="253" t="s">
        <v>1847</v>
      </c>
      <c r="E416" s="375">
        <f t="shared" si="3"/>
        <v>46053</v>
      </c>
      <c r="F416" s="253" t="s">
        <v>342</v>
      </c>
      <c r="G416" s="253" t="s">
        <v>344</v>
      </c>
      <c r="H416" s="253" t="s">
        <v>1934</v>
      </c>
      <c r="I416" s="253" t="s">
        <v>344</v>
      </c>
      <c r="J416" s="253" t="s">
        <v>344</v>
      </c>
      <c r="K416" s="253" t="s">
        <v>1937</v>
      </c>
      <c r="L416" s="253" t="s">
        <v>1756</v>
      </c>
      <c r="M416" s="366">
        <v>895.31</v>
      </c>
      <c r="N416" s="366">
        <v>6207.76</v>
      </c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 spans="1:26" ht="15.75" customHeight="1">
      <c r="A417" s="268"/>
      <c r="B417" s="268" t="str">
        <f t="shared" si="2"/>
        <v>Payroll Expenses</v>
      </c>
      <c r="C417" s="252"/>
      <c r="D417" s="253" t="s">
        <v>1326</v>
      </c>
      <c r="E417" s="375">
        <f t="shared" si="3"/>
        <v>46053</v>
      </c>
      <c r="F417" s="253" t="s">
        <v>342</v>
      </c>
      <c r="G417" s="253" t="s">
        <v>344</v>
      </c>
      <c r="H417" s="253" t="s">
        <v>1934</v>
      </c>
      <c r="I417" s="253" t="s">
        <v>344</v>
      </c>
      <c r="J417" s="253" t="s">
        <v>344</v>
      </c>
      <c r="K417" s="253" t="s">
        <v>1938</v>
      </c>
      <c r="L417" s="253" t="s">
        <v>1756</v>
      </c>
      <c r="M417" s="366">
        <v>197.5</v>
      </c>
      <c r="N417" s="366">
        <v>6405.26</v>
      </c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 spans="1:26" ht="15.75" customHeight="1">
      <c r="A418" s="268"/>
      <c r="B418" s="268" t="str">
        <f t="shared" si="2"/>
        <v>Payroll Expenses</v>
      </c>
      <c r="C418" s="252"/>
      <c r="D418" s="253" t="s">
        <v>1347</v>
      </c>
      <c r="E418" s="375">
        <f t="shared" si="3"/>
        <v>46053</v>
      </c>
      <c r="F418" s="253" t="s">
        <v>342</v>
      </c>
      <c r="G418" s="253" t="s">
        <v>344</v>
      </c>
      <c r="H418" s="253" t="s">
        <v>1934</v>
      </c>
      <c r="I418" s="253" t="s">
        <v>344</v>
      </c>
      <c r="J418" s="253" t="s">
        <v>344</v>
      </c>
      <c r="K418" s="253" t="s">
        <v>1935</v>
      </c>
      <c r="L418" s="253" t="s">
        <v>1756</v>
      </c>
      <c r="M418" s="366">
        <v>5721.33</v>
      </c>
      <c r="N418" s="366">
        <v>12126.59</v>
      </c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 spans="1:26" ht="15.75" customHeight="1">
      <c r="A419" s="268"/>
      <c r="B419" s="268" t="str">
        <f t="shared" si="2"/>
        <v>Payroll Expenses</v>
      </c>
      <c r="C419" s="252"/>
      <c r="D419" s="253" t="s">
        <v>1347</v>
      </c>
      <c r="E419" s="375">
        <f t="shared" si="3"/>
        <v>46053</v>
      </c>
      <c r="F419" s="253" t="s">
        <v>342</v>
      </c>
      <c r="G419" s="253" t="s">
        <v>344</v>
      </c>
      <c r="H419" s="253" t="s">
        <v>1934</v>
      </c>
      <c r="I419" s="253" t="s">
        <v>344</v>
      </c>
      <c r="J419" s="253" t="s">
        <v>344</v>
      </c>
      <c r="K419" s="253" t="s">
        <v>1936</v>
      </c>
      <c r="L419" s="253" t="s">
        <v>1756</v>
      </c>
      <c r="M419" s="366">
        <v>808.4</v>
      </c>
      <c r="N419" s="366">
        <v>12934.99</v>
      </c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 spans="1:26" ht="15.75" customHeight="1">
      <c r="A420" s="268"/>
      <c r="B420" s="268" t="str">
        <f t="shared" si="2"/>
        <v>Payroll Expenses</v>
      </c>
      <c r="C420" s="252"/>
      <c r="D420" s="253" t="s">
        <v>1763</v>
      </c>
      <c r="E420" s="375">
        <f t="shared" si="3"/>
        <v>46053</v>
      </c>
      <c r="F420" s="253" t="s">
        <v>342</v>
      </c>
      <c r="G420" s="253" t="s">
        <v>344</v>
      </c>
      <c r="H420" s="253" t="s">
        <v>1934</v>
      </c>
      <c r="I420" s="253" t="s">
        <v>344</v>
      </c>
      <c r="J420" s="253" t="s">
        <v>344</v>
      </c>
      <c r="K420" s="253" t="s">
        <v>1938</v>
      </c>
      <c r="L420" s="253" t="s">
        <v>1756</v>
      </c>
      <c r="M420" s="366">
        <v>103.75</v>
      </c>
      <c r="N420" s="366">
        <v>13038.74</v>
      </c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 spans="1:26" ht="15.75" customHeight="1">
      <c r="A421" s="268"/>
      <c r="B421" s="268" t="str">
        <f t="shared" si="2"/>
        <v>Payroll Expenses</v>
      </c>
      <c r="C421" s="252"/>
      <c r="D421" s="253" t="s">
        <v>1763</v>
      </c>
      <c r="E421" s="375">
        <f t="shared" si="3"/>
        <v>46053</v>
      </c>
      <c r="F421" s="253" t="s">
        <v>342</v>
      </c>
      <c r="G421" s="253" t="s">
        <v>344</v>
      </c>
      <c r="H421" s="253" t="s">
        <v>1934</v>
      </c>
      <c r="I421" s="253" t="s">
        <v>344</v>
      </c>
      <c r="J421" s="253" t="s">
        <v>344</v>
      </c>
      <c r="K421" s="253" t="s">
        <v>1939</v>
      </c>
      <c r="L421" s="253" t="s">
        <v>1756</v>
      </c>
      <c r="M421" s="366">
        <v>169.71</v>
      </c>
      <c r="N421" s="366">
        <v>13208.449999999999</v>
      </c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 spans="1:26" ht="15.75" customHeight="1">
      <c r="A422" s="268"/>
      <c r="B422" s="268" t="str">
        <f t="shared" si="2"/>
        <v>Payroll Expenses</v>
      </c>
      <c r="C422" s="252"/>
      <c r="D422" s="253" t="s">
        <v>1866</v>
      </c>
      <c r="E422" s="375">
        <f t="shared" si="3"/>
        <v>46053</v>
      </c>
      <c r="F422" s="253" t="s">
        <v>342</v>
      </c>
      <c r="G422" s="253" t="s">
        <v>344</v>
      </c>
      <c r="H422" s="253" t="s">
        <v>1934</v>
      </c>
      <c r="I422" s="253" t="s">
        <v>344</v>
      </c>
      <c r="J422" s="253" t="s">
        <v>344</v>
      </c>
      <c r="K422" s="253" t="s">
        <v>1935</v>
      </c>
      <c r="L422" s="253" t="s">
        <v>1756</v>
      </c>
      <c r="M422" s="366">
        <v>5602.83</v>
      </c>
      <c r="N422" s="366">
        <v>18811.28</v>
      </c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 spans="1:26" ht="15.75" customHeight="1">
      <c r="A423" s="268"/>
      <c r="B423" s="268" t="str">
        <f t="shared" si="2"/>
        <v>Payroll Expenses</v>
      </c>
      <c r="C423" s="252"/>
      <c r="D423" s="253" t="s">
        <v>1866</v>
      </c>
      <c r="E423" s="375">
        <f t="shared" si="3"/>
        <v>46053</v>
      </c>
      <c r="F423" s="253" t="s">
        <v>342</v>
      </c>
      <c r="G423" s="253" t="s">
        <v>344</v>
      </c>
      <c r="H423" s="253" t="s">
        <v>1934</v>
      </c>
      <c r="I423" s="253" t="s">
        <v>344</v>
      </c>
      <c r="J423" s="253" t="s">
        <v>344</v>
      </c>
      <c r="K423" s="253" t="s">
        <v>1936</v>
      </c>
      <c r="L423" s="253" t="s">
        <v>1756</v>
      </c>
      <c r="M423" s="366">
        <v>780.19</v>
      </c>
      <c r="N423" s="366">
        <v>19591.469999999998</v>
      </c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 spans="1:26" ht="15.75" customHeight="1">
      <c r="A424" s="268"/>
      <c r="B424" s="268" t="str">
        <f t="shared" si="2"/>
        <v>Payroll Expenses</v>
      </c>
      <c r="C424" s="252"/>
      <c r="D424" s="253" t="s">
        <v>1940</v>
      </c>
      <c r="E424" s="375">
        <f t="shared" si="3"/>
        <v>46053</v>
      </c>
      <c r="F424" s="253" t="s">
        <v>342</v>
      </c>
      <c r="G424" s="253" t="s">
        <v>344</v>
      </c>
      <c r="H424" s="253" t="s">
        <v>1934</v>
      </c>
      <c r="I424" s="253" t="s">
        <v>344</v>
      </c>
      <c r="J424" s="253" t="s">
        <v>344</v>
      </c>
      <c r="K424" s="253" t="s">
        <v>1938</v>
      </c>
      <c r="L424" s="253" t="s">
        <v>1756</v>
      </c>
      <c r="M424" s="366">
        <v>89.75</v>
      </c>
      <c r="N424" s="366">
        <v>19681.219999999998</v>
      </c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 spans="1:26" ht="15.75" customHeight="1">
      <c r="A425" s="268"/>
      <c r="B425" s="268" t="str">
        <f t="shared" si="2"/>
        <v>Payroll Expenses</v>
      </c>
      <c r="C425" s="252"/>
      <c r="D425" s="253" t="s">
        <v>1941</v>
      </c>
      <c r="E425" s="375">
        <f t="shared" si="3"/>
        <v>46081</v>
      </c>
      <c r="F425" s="253" t="s">
        <v>342</v>
      </c>
      <c r="G425" s="253" t="s">
        <v>344</v>
      </c>
      <c r="H425" s="253" t="s">
        <v>1934</v>
      </c>
      <c r="I425" s="253" t="s">
        <v>344</v>
      </c>
      <c r="J425" s="253" t="s">
        <v>344</v>
      </c>
      <c r="K425" s="253" t="s">
        <v>1937</v>
      </c>
      <c r="L425" s="253" t="s">
        <v>1756</v>
      </c>
      <c r="M425" s="366">
        <v>895.31</v>
      </c>
      <c r="N425" s="366">
        <v>20576.53</v>
      </c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 spans="1:26" ht="15.75" customHeight="1">
      <c r="A426" s="268"/>
      <c r="B426" s="268" t="str">
        <f t="shared" si="2"/>
        <v>Payroll Expenses</v>
      </c>
      <c r="C426" s="252"/>
      <c r="D426" s="253" t="s">
        <v>1942</v>
      </c>
      <c r="E426" s="375">
        <f t="shared" si="3"/>
        <v>46081</v>
      </c>
      <c r="F426" s="253" t="s">
        <v>342</v>
      </c>
      <c r="G426" s="253" t="s">
        <v>344</v>
      </c>
      <c r="H426" s="253" t="s">
        <v>1934</v>
      </c>
      <c r="I426" s="253" t="s">
        <v>344</v>
      </c>
      <c r="J426" s="253" t="s">
        <v>344</v>
      </c>
      <c r="K426" s="253" t="s">
        <v>1935</v>
      </c>
      <c r="L426" s="253" t="s">
        <v>1756</v>
      </c>
      <c r="M426" s="366">
        <v>8107.09</v>
      </c>
      <c r="N426" s="366">
        <v>28683.62</v>
      </c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 spans="1:26" ht="15.75" customHeight="1">
      <c r="A427" s="268"/>
      <c r="B427" s="268" t="str">
        <f t="shared" si="2"/>
        <v>Payroll Expenses</v>
      </c>
      <c r="C427" s="252"/>
      <c r="D427" s="253" t="s">
        <v>1942</v>
      </c>
      <c r="E427" s="375">
        <f t="shared" si="3"/>
        <v>46081</v>
      </c>
      <c r="F427" s="253" t="s">
        <v>342</v>
      </c>
      <c r="G427" s="253" t="s">
        <v>344</v>
      </c>
      <c r="H427" s="253" t="s">
        <v>1934</v>
      </c>
      <c r="I427" s="253" t="s">
        <v>344</v>
      </c>
      <c r="J427" s="253" t="s">
        <v>344</v>
      </c>
      <c r="K427" s="253" t="s">
        <v>1936</v>
      </c>
      <c r="L427" s="253" t="s">
        <v>1756</v>
      </c>
      <c r="M427" s="366">
        <v>1551.4</v>
      </c>
      <c r="N427" s="366">
        <v>30235.02</v>
      </c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 spans="1:26" ht="15.75" customHeight="1">
      <c r="A428" s="268"/>
      <c r="B428" s="268" t="str">
        <f t="shared" si="2"/>
        <v>Payroll Expenses</v>
      </c>
      <c r="C428" s="252"/>
      <c r="D428" s="253" t="s">
        <v>1772</v>
      </c>
      <c r="E428" s="375">
        <f t="shared" si="3"/>
        <v>46081</v>
      </c>
      <c r="F428" s="253" t="s">
        <v>342</v>
      </c>
      <c r="G428" s="253" t="s">
        <v>344</v>
      </c>
      <c r="H428" s="253" t="s">
        <v>1934</v>
      </c>
      <c r="I428" s="253" t="s">
        <v>344</v>
      </c>
      <c r="J428" s="253" t="s">
        <v>344</v>
      </c>
      <c r="K428" s="253" t="s">
        <v>1937</v>
      </c>
      <c r="L428" s="253" t="s">
        <v>1756</v>
      </c>
      <c r="M428" s="366">
        <v>227.5</v>
      </c>
      <c r="N428" s="366">
        <v>30462.52</v>
      </c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 spans="1:26" ht="15.75" customHeight="1">
      <c r="A429" s="268"/>
      <c r="B429" s="268" t="str">
        <f t="shared" si="2"/>
        <v>Payroll Expenses</v>
      </c>
      <c r="C429" s="252"/>
      <c r="D429" s="253" t="s">
        <v>1772</v>
      </c>
      <c r="E429" s="375">
        <f t="shared" si="3"/>
        <v>46081</v>
      </c>
      <c r="F429" s="253" t="s">
        <v>342</v>
      </c>
      <c r="G429" s="253" t="s">
        <v>344</v>
      </c>
      <c r="H429" s="253" t="s">
        <v>1934</v>
      </c>
      <c r="I429" s="253" t="s">
        <v>344</v>
      </c>
      <c r="J429" s="253" t="s">
        <v>344</v>
      </c>
      <c r="K429" s="253" t="s">
        <v>1939</v>
      </c>
      <c r="L429" s="253" t="s">
        <v>1756</v>
      </c>
      <c r="M429" s="366">
        <v>199.71</v>
      </c>
      <c r="N429" s="366">
        <v>30662.23</v>
      </c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 spans="1:26" ht="15.75" customHeight="1">
      <c r="A430" s="268"/>
      <c r="B430" s="268" t="str">
        <f t="shared" si="2"/>
        <v>Payroll Expenses</v>
      </c>
      <c r="C430" s="252"/>
      <c r="D430" s="253" t="s">
        <v>1772</v>
      </c>
      <c r="E430" s="375">
        <f t="shared" si="3"/>
        <v>46081</v>
      </c>
      <c r="F430" s="253" t="s">
        <v>342</v>
      </c>
      <c r="G430" s="253" t="s">
        <v>344</v>
      </c>
      <c r="H430" s="253" t="s">
        <v>1934</v>
      </c>
      <c r="I430" s="253" t="s">
        <v>344</v>
      </c>
      <c r="J430" s="253" t="s">
        <v>344</v>
      </c>
      <c r="K430" s="253" t="s">
        <v>1938</v>
      </c>
      <c r="L430" s="253" t="s">
        <v>1756</v>
      </c>
      <c r="M430" s="366">
        <v>100.19</v>
      </c>
      <c r="N430" s="366">
        <v>30762.42</v>
      </c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 spans="1:26" ht="15.75" customHeight="1">
      <c r="A431" s="268"/>
      <c r="B431" s="268" t="str">
        <f t="shared" si="2"/>
        <v>Payroll Expenses</v>
      </c>
      <c r="C431" s="252"/>
      <c r="D431" s="253" t="s">
        <v>1943</v>
      </c>
      <c r="E431" s="375">
        <f t="shared" si="3"/>
        <v>46081</v>
      </c>
      <c r="F431" s="253" t="s">
        <v>342</v>
      </c>
      <c r="G431" s="253" t="s">
        <v>344</v>
      </c>
      <c r="H431" s="253" t="s">
        <v>1934</v>
      </c>
      <c r="I431" s="253" t="s">
        <v>344</v>
      </c>
      <c r="J431" s="253" t="s">
        <v>344</v>
      </c>
      <c r="K431" s="253" t="s">
        <v>1936</v>
      </c>
      <c r="L431" s="253" t="s">
        <v>1756</v>
      </c>
      <c r="M431" s="366">
        <v>1764.56</v>
      </c>
      <c r="N431" s="366">
        <v>32526.98</v>
      </c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 spans="1:26" ht="15.75" customHeight="1">
      <c r="A432" s="268"/>
      <c r="B432" s="268" t="str">
        <f t="shared" si="2"/>
        <v>Payroll Expenses</v>
      </c>
      <c r="C432" s="252"/>
      <c r="D432" s="253" t="s">
        <v>1943</v>
      </c>
      <c r="E432" s="375">
        <f t="shared" si="3"/>
        <v>46081</v>
      </c>
      <c r="F432" s="253" t="s">
        <v>342</v>
      </c>
      <c r="G432" s="253" t="s">
        <v>344</v>
      </c>
      <c r="H432" s="253" t="s">
        <v>1934</v>
      </c>
      <c r="I432" s="253" t="s">
        <v>344</v>
      </c>
      <c r="J432" s="253" t="s">
        <v>344</v>
      </c>
      <c r="K432" s="253" t="s">
        <v>1935</v>
      </c>
      <c r="L432" s="253" t="s">
        <v>1756</v>
      </c>
      <c r="M432" s="366">
        <v>9050.27</v>
      </c>
      <c r="N432" s="366">
        <v>41577.25</v>
      </c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 spans="1:26" ht="15.75" customHeight="1">
      <c r="A433" s="268"/>
      <c r="B433" s="268" t="str">
        <f t="shared" si="2"/>
        <v>Payroll Expenses</v>
      </c>
      <c r="C433" s="252"/>
      <c r="D433" s="253" t="s">
        <v>1944</v>
      </c>
      <c r="E433" s="375">
        <f t="shared" si="3"/>
        <v>46081</v>
      </c>
      <c r="F433" s="253" t="s">
        <v>342</v>
      </c>
      <c r="G433" s="253" t="s">
        <v>344</v>
      </c>
      <c r="H433" s="253" t="s">
        <v>1934</v>
      </c>
      <c r="I433" s="253" t="s">
        <v>344</v>
      </c>
      <c r="J433" s="253" t="s">
        <v>344</v>
      </c>
      <c r="K433" s="253" t="s">
        <v>1938</v>
      </c>
      <c r="L433" s="253" t="s">
        <v>1756</v>
      </c>
      <c r="M433" s="366">
        <v>97.45</v>
      </c>
      <c r="N433" s="366">
        <v>41674.699999999997</v>
      </c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 spans="1:26" ht="15.75" customHeight="1">
      <c r="A434" s="268"/>
      <c r="B434" s="268" t="str">
        <f t="shared" si="2"/>
        <v>Payroll Expenses</v>
      </c>
      <c r="C434" s="252"/>
      <c r="D434" s="253" t="s">
        <v>1944</v>
      </c>
      <c r="E434" s="375">
        <f t="shared" si="3"/>
        <v>46081</v>
      </c>
      <c r="F434" s="253" t="s">
        <v>342</v>
      </c>
      <c r="G434" s="253" t="s">
        <v>344</v>
      </c>
      <c r="H434" s="253" t="s">
        <v>1934</v>
      </c>
      <c r="I434" s="253" t="s">
        <v>344</v>
      </c>
      <c r="J434" s="253" t="s">
        <v>344</v>
      </c>
      <c r="K434" s="253" t="s">
        <v>1937</v>
      </c>
      <c r="L434" s="253" t="s">
        <v>1756</v>
      </c>
      <c r="M434" s="366">
        <v>227.5</v>
      </c>
      <c r="N434" s="366">
        <v>41902.199999999997</v>
      </c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 spans="1:26" ht="15.75" customHeight="1">
      <c r="A435" s="268"/>
      <c r="B435" s="268" t="str">
        <f t="shared" si="2"/>
        <v>Payroll Expenses</v>
      </c>
      <c r="C435" s="252"/>
      <c r="D435" s="253" t="s">
        <v>1483</v>
      </c>
      <c r="E435" s="375">
        <f t="shared" si="3"/>
        <v>46112</v>
      </c>
      <c r="F435" s="253" t="s">
        <v>342</v>
      </c>
      <c r="G435" s="253" t="s">
        <v>344</v>
      </c>
      <c r="H435" s="253" t="s">
        <v>1934</v>
      </c>
      <c r="I435" s="253" t="s">
        <v>344</v>
      </c>
      <c r="J435" s="253" t="s">
        <v>344</v>
      </c>
      <c r="K435" s="253" t="s">
        <v>1937</v>
      </c>
      <c r="L435" s="253" t="s">
        <v>1756</v>
      </c>
      <c r="M435" s="366">
        <v>895.31</v>
      </c>
      <c r="N435" s="366">
        <v>42797.509999999995</v>
      </c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 spans="1:26" ht="15.75" customHeight="1">
      <c r="A436" s="268"/>
      <c r="B436" s="268" t="str">
        <f t="shared" si="2"/>
        <v>Payroll Expenses</v>
      </c>
      <c r="C436" s="252"/>
      <c r="D436" s="253" t="s">
        <v>1776</v>
      </c>
      <c r="E436" s="375">
        <f t="shared" si="3"/>
        <v>46112</v>
      </c>
      <c r="F436" s="253" t="s">
        <v>342</v>
      </c>
      <c r="G436" s="253" t="s">
        <v>344</v>
      </c>
      <c r="H436" s="253" t="s">
        <v>1934</v>
      </c>
      <c r="I436" s="253" t="s">
        <v>344</v>
      </c>
      <c r="J436" s="253" t="s">
        <v>344</v>
      </c>
      <c r="K436" s="253" t="s">
        <v>1936</v>
      </c>
      <c r="L436" s="253" t="s">
        <v>1756</v>
      </c>
      <c r="M436" s="366">
        <v>1752.42</v>
      </c>
      <c r="N436" s="366">
        <v>44549.929999999993</v>
      </c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 spans="1:26" ht="15.75" customHeight="1">
      <c r="A437" s="268"/>
      <c r="B437" s="268" t="str">
        <f t="shared" si="2"/>
        <v>Payroll Expenses</v>
      </c>
      <c r="C437" s="252"/>
      <c r="D437" s="253" t="s">
        <v>1776</v>
      </c>
      <c r="E437" s="375">
        <f t="shared" si="3"/>
        <v>46112</v>
      </c>
      <c r="F437" s="253" t="s">
        <v>342</v>
      </c>
      <c r="G437" s="253" t="s">
        <v>344</v>
      </c>
      <c r="H437" s="253" t="s">
        <v>1934</v>
      </c>
      <c r="I437" s="253" t="s">
        <v>344</v>
      </c>
      <c r="J437" s="253" t="s">
        <v>344</v>
      </c>
      <c r="K437" s="253" t="s">
        <v>1935</v>
      </c>
      <c r="L437" s="253" t="s">
        <v>1756</v>
      </c>
      <c r="M437" s="366">
        <v>10483.950000000001</v>
      </c>
      <c r="N437" s="366">
        <v>55033.87999999999</v>
      </c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 spans="1:26" ht="15.75" customHeight="1">
      <c r="A438" s="268"/>
      <c r="B438" s="268" t="str">
        <f t="shared" si="2"/>
        <v>Payroll Expenses</v>
      </c>
      <c r="C438" s="252"/>
      <c r="D438" s="253" t="s">
        <v>1779</v>
      </c>
      <c r="E438" s="375">
        <f t="shared" si="3"/>
        <v>46112</v>
      </c>
      <c r="F438" s="253" t="s">
        <v>342</v>
      </c>
      <c r="G438" s="253" t="s">
        <v>344</v>
      </c>
      <c r="H438" s="253" t="s">
        <v>1934</v>
      </c>
      <c r="I438" s="253" t="s">
        <v>344</v>
      </c>
      <c r="J438" s="253" t="s">
        <v>344</v>
      </c>
      <c r="K438" s="253" t="s">
        <v>1937</v>
      </c>
      <c r="L438" s="253" t="s">
        <v>1756</v>
      </c>
      <c r="M438" s="366">
        <v>227.5</v>
      </c>
      <c r="N438" s="366">
        <v>55261.37999999999</v>
      </c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 spans="1:26" ht="15.75" customHeight="1">
      <c r="A439" s="268"/>
      <c r="B439" s="268" t="str">
        <f t="shared" si="2"/>
        <v>Payroll Expenses</v>
      </c>
      <c r="C439" s="252"/>
      <c r="D439" s="253" t="s">
        <v>1779</v>
      </c>
      <c r="E439" s="375">
        <f t="shared" si="3"/>
        <v>46112</v>
      </c>
      <c r="F439" s="253" t="s">
        <v>342</v>
      </c>
      <c r="G439" s="253" t="s">
        <v>344</v>
      </c>
      <c r="H439" s="253" t="s">
        <v>1934</v>
      </c>
      <c r="I439" s="253" t="s">
        <v>344</v>
      </c>
      <c r="J439" s="253" t="s">
        <v>344</v>
      </c>
      <c r="K439" s="253" t="s">
        <v>1939</v>
      </c>
      <c r="L439" s="253" t="s">
        <v>1756</v>
      </c>
      <c r="M439" s="366">
        <v>169.71</v>
      </c>
      <c r="N439" s="366">
        <v>55431.089999999989</v>
      </c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 spans="1:26" ht="15.75" customHeight="1">
      <c r="A440" s="268"/>
      <c r="B440" s="268" t="str">
        <f t="shared" si="2"/>
        <v>Payroll Expenses</v>
      </c>
      <c r="C440" s="252"/>
      <c r="D440" s="253" t="s">
        <v>1779</v>
      </c>
      <c r="E440" s="375">
        <f t="shared" si="3"/>
        <v>46112</v>
      </c>
      <c r="F440" s="253" t="s">
        <v>342</v>
      </c>
      <c r="G440" s="253" t="s">
        <v>344</v>
      </c>
      <c r="H440" s="253" t="s">
        <v>1934</v>
      </c>
      <c r="I440" s="253" t="s">
        <v>344</v>
      </c>
      <c r="J440" s="253" t="s">
        <v>344</v>
      </c>
      <c r="K440" s="253" t="s">
        <v>1938</v>
      </c>
      <c r="L440" s="253" t="s">
        <v>1756</v>
      </c>
      <c r="M440" s="366">
        <v>97.45</v>
      </c>
      <c r="N440" s="366">
        <v>55528.539999999986</v>
      </c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 spans="1:26" ht="15.75" customHeight="1">
      <c r="A441" s="268"/>
      <c r="B441" s="268" t="str">
        <f t="shared" si="2"/>
        <v>Payroll Expenses</v>
      </c>
      <c r="C441" s="252"/>
      <c r="D441" s="253" t="s">
        <v>1571</v>
      </c>
      <c r="E441" s="375">
        <f t="shared" si="3"/>
        <v>46112</v>
      </c>
      <c r="F441" s="253" t="s">
        <v>342</v>
      </c>
      <c r="G441" s="253" t="s">
        <v>344</v>
      </c>
      <c r="H441" s="253" t="s">
        <v>1934</v>
      </c>
      <c r="I441" s="253" t="s">
        <v>344</v>
      </c>
      <c r="J441" s="253" t="s">
        <v>344</v>
      </c>
      <c r="K441" s="253" t="s">
        <v>1936</v>
      </c>
      <c r="L441" s="253" t="s">
        <v>1756</v>
      </c>
      <c r="M441" s="366">
        <v>1814.35</v>
      </c>
      <c r="N441" s="366">
        <v>57342.889999999985</v>
      </c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 spans="1:26" ht="15.75" customHeight="1">
      <c r="A442" s="268"/>
      <c r="B442" s="268" t="str">
        <f t="shared" si="2"/>
        <v>Payroll Expenses</v>
      </c>
      <c r="C442" s="252"/>
      <c r="D442" s="253" t="s">
        <v>1571</v>
      </c>
      <c r="E442" s="375">
        <f t="shared" si="3"/>
        <v>46112</v>
      </c>
      <c r="F442" s="253" t="s">
        <v>342</v>
      </c>
      <c r="G442" s="253" t="s">
        <v>344</v>
      </c>
      <c r="H442" s="253" t="s">
        <v>1934</v>
      </c>
      <c r="I442" s="253" t="s">
        <v>344</v>
      </c>
      <c r="J442" s="253" t="s">
        <v>344</v>
      </c>
      <c r="K442" s="253" t="s">
        <v>1935</v>
      </c>
      <c r="L442" s="253" t="s">
        <v>1756</v>
      </c>
      <c r="M442" s="366">
        <v>9939.1200000000008</v>
      </c>
      <c r="N442" s="366">
        <v>67282.00999999998</v>
      </c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 spans="1:26" ht="15.75" customHeight="1">
      <c r="A443" s="268"/>
      <c r="B443" s="268" t="str">
        <f t="shared" si="2"/>
        <v>Payroll Expenses</v>
      </c>
      <c r="C443" s="252"/>
      <c r="D443" s="253" t="s">
        <v>1836</v>
      </c>
      <c r="E443" s="375">
        <f t="shared" si="3"/>
        <v>46112</v>
      </c>
      <c r="F443" s="253" t="s">
        <v>342</v>
      </c>
      <c r="G443" s="253" t="s">
        <v>344</v>
      </c>
      <c r="H443" s="253" t="s">
        <v>1934</v>
      </c>
      <c r="I443" s="253" t="s">
        <v>344</v>
      </c>
      <c r="J443" s="253" t="s">
        <v>344</v>
      </c>
      <c r="K443" s="253" t="s">
        <v>1937</v>
      </c>
      <c r="L443" s="253" t="s">
        <v>1756</v>
      </c>
      <c r="M443" s="366">
        <v>227.5</v>
      </c>
      <c r="N443" s="366">
        <v>67509.50999999998</v>
      </c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 spans="1:26" ht="15.75" customHeight="1">
      <c r="A444" s="268"/>
      <c r="B444" s="268" t="str">
        <f t="shared" si="2"/>
        <v>Payroll Expenses</v>
      </c>
      <c r="C444" s="252"/>
      <c r="D444" s="253" t="s">
        <v>1836</v>
      </c>
      <c r="E444" s="375">
        <f t="shared" si="3"/>
        <v>46112</v>
      </c>
      <c r="F444" s="253" t="s">
        <v>342</v>
      </c>
      <c r="G444" s="253" t="s">
        <v>344</v>
      </c>
      <c r="H444" s="253" t="s">
        <v>1934</v>
      </c>
      <c r="I444" s="253" t="s">
        <v>344</v>
      </c>
      <c r="J444" s="253" t="s">
        <v>344</v>
      </c>
      <c r="K444" s="253" t="s">
        <v>1938</v>
      </c>
      <c r="L444" s="253" t="s">
        <v>1756</v>
      </c>
      <c r="M444" s="366">
        <v>97.45</v>
      </c>
      <c r="N444" s="366">
        <v>67606.959999999977</v>
      </c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 spans="1:26" ht="15.75" customHeight="1">
      <c r="A445" s="268"/>
      <c r="B445" s="268" t="str">
        <f t="shared" si="2"/>
        <v>Payroll Expenses</v>
      </c>
      <c r="C445" s="252"/>
      <c r="D445" s="253" t="s">
        <v>1593</v>
      </c>
      <c r="E445" s="375">
        <f t="shared" si="3"/>
        <v>46142</v>
      </c>
      <c r="F445" s="253" t="s">
        <v>342</v>
      </c>
      <c r="G445" s="253" t="s">
        <v>344</v>
      </c>
      <c r="H445" s="253" t="s">
        <v>1934</v>
      </c>
      <c r="I445" s="253" t="s">
        <v>344</v>
      </c>
      <c r="J445" s="253" t="s">
        <v>344</v>
      </c>
      <c r="K445" s="253" t="s">
        <v>1937</v>
      </c>
      <c r="L445" s="253" t="s">
        <v>1756</v>
      </c>
      <c r="M445" s="366">
        <v>895.31</v>
      </c>
      <c r="N445" s="366">
        <v>68502.269999999975</v>
      </c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 spans="1:26" ht="15.75" customHeight="1">
      <c r="A446" s="268"/>
      <c r="B446" s="268" t="str">
        <f t="shared" si="2"/>
        <v>Payroll Expenses</v>
      </c>
      <c r="C446" s="252"/>
      <c r="D446" s="253" t="s">
        <v>1797</v>
      </c>
      <c r="E446" s="375">
        <f t="shared" si="3"/>
        <v>46142</v>
      </c>
      <c r="F446" s="253" t="s">
        <v>342</v>
      </c>
      <c r="G446" s="253" t="s">
        <v>344</v>
      </c>
      <c r="H446" s="253" t="s">
        <v>1934</v>
      </c>
      <c r="I446" s="253" t="s">
        <v>344</v>
      </c>
      <c r="J446" s="253" t="s">
        <v>344</v>
      </c>
      <c r="K446" s="253" t="s">
        <v>1935</v>
      </c>
      <c r="L446" s="253" t="s">
        <v>1756</v>
      </c>
      <c r="M446" s="366">
        <v>11879.83</v>
      </c>
      <c r="N446" s="366">
        <v>80382.099999999977</v>
      </c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 spans="1:26" ht="15.75" customHeight="1">
      <c r="A447" s="268"/>
      <c r="B447" s="268" t="str">
        <f t="shared" si="2"/>
        <v>Payroll Expenses</v>
      </c>
      <c r="C447" s="252"/>
      <c r="D447" s="253" t="s">
        <v>1797</v>
      </c>
      <c r="E447" s="375">
        <f t="shared" si="3"/>
        <v>46142</v>
      </c>
      <c r="F447" s="253" t="s">
        <v>342</v>
      </c>
      <c r="G447" s="253" t="s">
        <v>344</v>
      </c>
      <c r="H447" s="253" t="s">
        <v>1934</v>
      </c>
      <c r="I447" s="253" t="s">
        <v>344</v>
      </c>
      <c r="J447" s="253" t="s">
        <v>344</v>
      </c>
      <c r="K447" s="253" t="s">
        <v>1936</v>
      </c>
      <c r="L447" s="253" t="s">
        <v>1756</v>
      </c>
      <c r="M447" s="366">
        <v>1774.58</v>
      </c>
      <c r="N447" s="366">
        <v>82156.679999999978</v>
      </c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 spans="1:26" ht="15.75" customHeight="1">
      <c r="A448" s="268"/>
      <c r="B448" s="268" t="str">
        <f t="shared" si="2"/>
        <v>Payroll Expenses</v>
      </c>
      <c r="C448" s="252"/>
      <c r="D448" s="253" t="s">
        <v>1636</v>
      </c>
      <c r="E448" s="375">
        <f t="shared" si="3"/>
        <v>46142</v>
      </c>
      <c r="F448" s="253" t="s">
        <v>342</v>
      </c>
      <c r="G448" s="253" t="s">
        <v>344</v>
      </c>
      <c r="H448" s="253" t="s">
        <v>1934</v>
      </c>
      <c r="I448" s="253" t="s">
        <v>344</v>
      </c>
      <c r="J448" s="253" t="s">
        <v>344</v>
      </c>
      <c r="K448" s="253" t="s">
        <v>1939</v>
      </c>
      <c r="L448" s="253" t="s">
        <v>1756</v>
      </c>
      <c r="M448" s="366">
        <v>179.71</v>
      </c>
      <c r="N448" s="366">
        <v>82336.389999999985</v>
      </c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 spans="1:26" ht="15.75" customHeight="1">
      <c r="A449" s="268"/>
      <c r="B449" s="268" t="str">
        <f t="shared" si="2"/>
        <v>Payroll Expenses</v>
      </c>
      <c r="C449" s="252"/>
      <c r="D449" s="253" t="s">
        <v>1636</v>
      </c>
      <c r="E449" s="375">
        <f t="shared" si="3"/>
        <v>46142</v>
      </c>
      <c r="F449" s="253" t="s">
        <v>342</v>
      </c>
      <c r="G449" s="253" t="s">
        <v>344</v>
      </c>
      <c r="H449" s="253" t="s">
        <v>1934</v>
      </c>
      <c r="I449" s="253" t="s">
        <v>344</v>
      </c>
      <c r="J449" s="253" t="s">
        <v>344</v>
      </c>
      <c r="K449" s="253" t="s">
        <v>1938</v>
      </c>
      <c r="L449" s="253" t="s">
        <v>1756</v>
      </c>
      <c r="M449" s="366">
        <v>103.7</v>
      </c>
      <c r="N449" s="366">
        <v>82440.089999999982</v>
      </c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 spans="1:26" ht="15.75" customHeight="1">
      <c r="A450" s="268"/>
      <c r="B450" s="268" t="str">
        <f t="shared" si="2"/>
        <v>Payroll Expenses</v>
      </c>
      <c r="C450" s="252"/>
      <c r="D450" s="253" t="s">
        <v>1636</v>
      </c>
      <c r="E450" s="375">
        <f t="shared" si="3"/>
        <v>46142</v>
      </c>
      <c r="F450" s="253" t="s">
        <v>342</v>
      </c>
      <c r="G450" s="253" t="s">
        <v>344</v>
      </c>
      <c r="H450" s="253" t="s">
        <v>1934</v>
      </c>
      <c r="I450" s="253" t="s">
        <v>344</v>
      </c>
      <c r="J450" s="253" t="s">
        <v>344</v>
      </c>
      <c r="K450" s="253" t="s">
        <v>1937</v>
      </c>
      <c r="L450" s="253" t="s">
        <v>1756</v>
      </c>
      <c r="M450" s="366">
        <v>325.45</v>
      </c>
      <c r="N450" s="366">
        <v>82765.539999999979</v>
      </c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 spans="1:26" ht="15.75" customHeight="1">
      <c r="A451" s="268"/>
      <c r="B451" s="268" t="str">
        <f t="shared" si="2"/>
        <v>Payroll Expenses</v>
      </c>
      <c r="C451" s="252"/>
      <c r="D451" s="253" t="s">
        <v>1646</v>
      </c>
      <c r="E451" s="375">
        <f t="shared" si="3"/>
        <v>46142</v>
      </c>
      <c r="F451" s="253" t="s">
        <v>342</v>
      </c>
      <c r="G451" s="253" t="s">
        <v>344</v>
      </c>
      <c r="H451" s="253" t="s">
        <v>1934</v>
      </c>
      <c r="I451" s="253" t="s">
        <v>344</v>
      </c>
      <c r="J451" s="253" t="s">
        <v>344</v>
      </c>
      <c r="K451" s="253" t="s">
        <v>1936</v>
      </c>
      <c r="L451" s="253" t="s">
        <v>1756</v>
      </c>
      <c r="M451" s="366">
        <v>0.01</v>
      </c>
      <c r="N451" s="366">
        <v>82765.549999999974</v>
      </c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 spans="1:26" ht="15.75" customHeight="1">
      <c r="A452" s="268"/>
      <c r="B452" s="268" t="str">
        <f t="shared" si="2"/>
        <v>Payroll Expenses</v>
      </c>
      <c r="C452" s="252"/>
      <c r="D452" s="253" t="s">
        <v>1682</v>
      </c>
      <c r="E452" s="375">
        <f t="shared" si="3"/>
        <v>46142</v>
      </c>
      <c r="F452" s="253" t="s">
        <v>342</v>
      </c>
      <c r="G452" s="253" t="s">
        <v>344</v>
      </c>
      <c r="H452" s="253" t="s">
        <v>1934</v>
      </c>
      <c r="I452" s="253" t="s">
        <v>344</v>
      </c>
      <c r="J452" s="253" t="s">
        <v>344</v>
      </c>
      <c r="K452" s="253" t="s">
        <v>1936</v>
      </c>
      <c r="L452" s="253" t="s">
        <v>1756</v>
      </c>
      <c r="M452" s="366">
        <v>1913.9</v>
      </c>
      <c r="N452" s="366">
        <v>84679.449999999968</v>
      </c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 spans="1:26" ht="15.75" customHeight="1">
      <c r="A453" s="268"/>
      <c r="B453" s="268" t="str">
        <f t="shared" si="2"/>
        <v>Payroll Expenses</v>
      </c>
      <c r="C453" s="252"/>
      <c r="D453" s="253" t="s">
        <v>1682</v>
      </c>
      <c r="E453" s="375">
        <f t="shared" si="3"/>
        <v>46142</v>
      </c>
      <c r="F453" s="253" t="s">
        <v>342</v>
      </c>
      <c r="G453" s="253" t="s">
        <v>344</v>
      </c>
      <c r="H453" s="253" t="s">
        <v>1934</v>
      </c>
      <c r="I453" s="253" t="s">
        <v>344</v>
      </c>
      <c r="J453" s="253" t="s">
        <v>344</v>
      </c>
      <c r="K453" s="253" t="s">
        <v>1935</v>
      </c>
      <c r="L453" s="253" t="s">
        <v>1756</v>
      </c>
      <c r="M453" s="366">
        <v>11882.65</v>
      </c>
      <c r="N453" s="366">
        <v>96562.099999999962</v>
      </c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 spans="1:26" ht="15.75" customHeight="1">
      <c r="A454" s="268"/>
      <c r="B454" s="268" t="str">
        <f t="shared" si="2"/>
        <v>Payroll Expenses</v>
      </c>
      <c r="C454" s="252"/>
      <c r="D454" s="253" t="s">
        <v>1945</v>
      </c>
      <c r="E454" s="375">
        <f t="shared" si="3"/>
        <v>46142</v>
      </c>
      <c r="F454" s="253" t="s">
        <v>342</v>
      </c>
      <c r="G454" s="253" t="s">
        <v>344</v>
      </c>
      <c r="H454" s="253" t="s">
        <v>1934</v>
      </c>
      <c r="I454" s="253" t="s">
        <v>344</v>
      </c>
      <c r="J454" s="253" t="s">
        <v>344</v>
      </c>
      <c r="K454" s="253" t="s">
        <v>1937</v>
      </c>
      <c r="L454" s="253" t="s">
        <v>1756</v>
      </c>
      <c r="M454" s="366">
        <v>325.83999999999997</v>
      </c>
      <c r="N454" s="366">
        <v>96887.939999999959</v>
      </c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 spans="1:26" ht="15.75" customHeight="1">
      <c r="A455" s="268"/>
      <c r="B455" s="268" t="str">
        <f t="shared" si="2"/>
        <v>Payroll Expenses</v>
      </c>
      <c r="C455" s="252"/>
      <c r="D455" s="253" t="s">
        <v>1945</v>
      </c>
      <c r="E455" s="375">
        <f t="shared" si="3"/>
        <v>46142</v>
      </c>
      <c r="F455" s="253" t="s">
        <v>342</v>
      </c>
      <c r="G455" s="253" t="s">
        <v>344</v>
      </c>
      <c r="H455" s="253" t="s">
        <v>1934</v>
      </c>
      <c r="I455" s="253" t="s">
        <v>344</v>
      </c>
      <c r="J455" s="253" t="s">
        <v>344</v>
      </c>
      <c r="K455" s="253" t="s">
        <v>1938</v>
      </c>
      <c r="L455" s="253" t="s">
        <v>1756</v>
      </c>
      <c r="M455" s="366">
        <v>103.7</v>
      </c>
      <c r="N455" s="366">
        <v>96991.639999999956</v>
      </c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 spans="1:26" ht="15.75" customHeight="1">
      <c r="A456" s="268"/>
      <c r="B456" s="268" t="str">
        <f t="shared" si="2"/>
        <v>Payroll Expenses</v>
      </c>
      <c r="C456" s="252"/>
      <c r="D456" s="253" t="s">
        <v>1710</v>
      </c>
      <c r="E456" s="375">
        <f t="shared" si="3"/>
        <v>46173</v>
      </c>
      <c r="F456" s="253" t="s">
        <v>342</v>
      </c>
      <c r="G456" s="253" t="s">
        <v>344</v>
      </c>
      <c r="H456" s="253" t="s">
        <v>1934</v>
      </c>
      <c r="I456" s="253" t="s">
        <v>344</v>
      </c>
      <c r="J456" s="253" t="s">
        <v>344</v>
      </c>
      <c r="K456" s="253" t="s">
        <v>1937</v>
      </c>
      <c r="L456" s="253" t="s">
        <v>1756</v>
      </c>
      <c r="M456" s="366">
        <v>895.31</v>
      </c>
      <c r="N456" s="366">
        <v>97886.949999999953</v>
      </c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 spans="1:26" ht="15.75" customHeight="1">
      <c r="A457" s="268"/>
      <c r="B457" s="268" t="str">
        <f t="shared" si="2"/>
        <v>Payroll Expenses</v>
      </c>
      <c r="C457" s="252"/>
      <c r="D457" s="253" t="s">
        <v>1730</v>
      </c>
      <c r="E457" s="375">
        <f t="shared" si="3"/>
        <v>46173</v>
      </c>
      <c r="F457" s="253" t="s">
        <v>342</v>
      </c>
      <c r="G457" s="253" t="s">
        <v>344</v>
      </c>
      <c r="H457" s="253" t="s">
        <v>1934</v>
      </c>
      <c r="I457" s="253" t="s">
        <v>344</v>
      </c>
      <c r="J457" s="253" t="s">
        <v>344</v>
      </c>
      <c r="K457" s="253" t="s">
        <v>1936</v>
      </c>
      <c r="L457" s="253" t="s">
        <v>1756</v>
      </c>
      <c r="M457" s="366">
        <v>1836.51</v>
      </c>
      <c r="N457" s="366">
        <v>99723.459999999948</v>
      </c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 spans="1:26" ht="15.75" customHeight="1">
      <c r="A458" s="268"/>
      <c r="B458" s="268" t="str">
        <f t="shared" si="2"/>
        <v>Payroll Expenses</v>
      </c>
      <c r="C458" s="252"/>
      <c r="D458" s="253" t="s">
        <v>1730</v>
      </c>
      <c r="E458" s="375">
        <f t="shared" si="3"/>
        <v>46173</v>
      </c>
      <c r="F458" s="253" t="s">
        <v>342</v>
      </c>
      <c r="G458" s="253" t="s">
        <v>344</v>
      </c>
      <c r="H458" s="253" t="s">
        <v>1934</v>
      </c>
      <c r="I458" s="253" t="s">
        <v>344</v>
      </c>
      <c r="J458" s="253" t="s">
        <v>344</v>
      </c>
      <c r="K458" s="253" t="s">
        <v>1935</v>
      </c>
      <c r="L458" s="253" t="s">
        <v>1756</v>
      </c>
      <c r="M458" s="366">
        <v>10489.51</v>
      </c>
      <c r="N458" s="366">
        <v>110212.96999999994</v>
      </c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 spans="1:26" ht="15.75" customHeight="1">
      <c r="A459" s="268"/>
      <c r="B459" s="268" t="str">
        <f t="shared" si="2"/>
        <v>Payroll Expenses</v>
      </c>
      <c r="C459" s="252"/>
      <c r="D459" s="253" t="s">
        <v>1734</v>
      </c>
      <c r="E459" s="375">
        <f t="shared" si="3"/>
        <v>46173</v>
      </c>
      <c r="F459" s="253" t="s">
        <v>342</v>
      </c>
      <c r="G459" s="253" t="s">
        <v>344</v>
      </c>
      <c r="H459" s="253" t="s">
        <v>1934</v>
      </c>
      <c r="I459" s="253" t="s">
        <v>344</v>
      </c>
      <c r="J459" s="253" t="s">
        <v>344</v>
      </c>
      <c r="K459" s="253" t="s">
        <v>1937</v>
      </c>
      <c r="L459" s="253" t="s">
        <v>1756</v>
      </c>
      <c r="M459" s="366">
        <v>322.58999999999997</v>
      </c>
      <c r="N459" s="366">
        <v>110535.55999999994</v>
      </c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 spans="1:26" ht="15.75" customHeight="1">
      <c r="A460" s="268"/>
      <c r="B460" s="268" t="str">
        <f t="shared" si="2"/>
        <v>Payroll Expenses</v>
      </c>
      <c r="C460" s="252"/>
      <c r="D460" s="253" t="s">
        <v>1734</v>
      </c>
      <c r="E460" s="375">
        <f t="shared" si="3"/>
        <v>46173</v>
      </c>
      <c r="F460" s="253" t="s">
        <v>342</v>
      </c>
      <c r="G460" s="253" t="s">
        <v>344</v>
      </c>
      <c r="H460" s="253" t="s">
        <v>1934</v>
      </c>
      <c r="I460" s="253" t="s">
        <v>344</v>
      </c>
      <c r="J460" s="253" t="s">
        <v>344</v>
      </c>
      <c r="K460" s="253" t="s">
        <v>1938</v>
      </c>
      <c r="L460" s="253" t="s">
        <v>1756</v>
      </c>
      <c r="M460" s="366">
        <v>103.7</v>
      </c>
      <c r="N460" s="366">
        <v>110639.25999999994</v>
      </c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 spans="1:26" ht="15.75" customHeight="1">
      <c r="A461" s="268"/>
      <c r="B461" s="268" t="str">
        <f t="shared" si="2"/>
        <v>Total for Payroll Expenses</v>
      </c>
      <c r="C461" s="367" t="s">
        <v>1946</v>
      </c>
      <c r="D461" s="252"/>
      <c r="E461" s="375">
        <f t="shared" si="3"/>
        <v>31</v>
      </c>
      <c r="F461" s="252"/>
      <c r="G461" s="252"/>
      <c r="H461" s="252"/>
      <c r="I461" s="252"/>
      <c r="J461" s="252"/>
      <c r="K461" s="252"/>
      <c r="L461" s="252"/>
      <c r="M461" s="368">
        <f>M414+M415+M416+M417+M418+M419+M420+M421+M422+M423+M424+M425+M426+M427+M428+M429+M430+M431+M432+M433+M434+M435+M436+M437+M438+M439+M440+M441+M442+M443+M444+M445+M446+M447+M448+M449+M450+M451+M452+M453+M454+M455+M456+M457+M458+M459+M460</f>
        <v>110639.25999999994</v>
      </c>
      <c r="N461" s="252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 spans="1:26" ht="15.75" customHeight="1">
      <c r="A462" s="268"/>
      <c r="B462" s="268" t="str">
        <f t="shared" si="2"/>
        <v>Professional Fees</v>
      </c>
      <c r="C462" s="365" t="s">
        <v>441</v>
      </c>
      <c r="D462" s="252"/>
      <c r="E462" s="375">
        <f t="shared" si="3"/>
        <v>31</v>
      </c>
      <c r="F462" s="252"/>
      <c r="G462" s="252"/>
      <c r="H462" s="252"/>
      <c r="I462" s="252"/>
      <c r="J462" s="252"/>
      <c r="K462" s="252"/>
      <c r="L462" s="252"/>
      <c r="M462" s="252"/>
      <c r="N462" s="252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 spans="1:26" ht="15.75" customHeight="1">
      <c r="A463" s="268"/>
      <c r="B463" s="268" t="str">
        <f t="shared" si="2"/>
        <v>Professional Fees</v>
      </c>
      <c r="C463" s="252"/>
      <c r="D463" s="253" t="s">
        <v>1763</v>
      </c>
      <c r="E463" s="375">
        <f t="shared" si="3"/>
        <v>46053</v>
      </c>
      <c r="F463" s="253" t="s">
        <v>342</v>
      </c>
      <c r="G463" s="253" t="s">
        <v>344</v>
      </c>
      <c r="H463" s="253" t="s">
        <v>1947</v>
      </c>
      <c r="I463" s="253" t="s">
        <v>344</v>
      </c>
      <c r="J463" s="253" t="s">
        <v>344</v>
      </c>
      <c r="K463" s="253" t="s">
        <v>1948</v>
      </c>
      <c r="L463" s="253" t="s">
        <v>1756</v>
      </c>
      <c r="M463" s="366">
        <v>291.63</v>
      </c>
      <c r="N463" s="366">
        <v>291.63</v>
      </c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 spans="1:26" ht="15.75" customHeight="1">
      <c r="A464" s="268"/>
      <c r="B464" s="268" t="str">
        <f t="shared" si="2"/>
        <v>Professional Fees</v>
      </c>
      <c r="C464" s="252"/>
      <c r="D464" s="253" t="s">
        <v>1502</v>
      </c>
      <c r="E464" s="375">
        <f t="shared" si="3"/>
        <v>46112</v>
      </c>
      <c r="F464" s="253" t="s">
        <v>342</v>
      </c>
      <c r="G464" s="253" t="s">
        <v>344</v>
      </c>
      <c r="H464" s="253" t="s">
        <v>344</v>
      </c>
      <c r="I464" s="253" t="s">
        <v>344</v>
      </c>
      <c r="J464" s="253" t="s">
        <v>344</v>
      </c>
      <c r="K464" s="253" t="s">
        <v>1949</v>
      </c>
      <c r="L464" s="253" t="s">
        <v>1756</v>
      </c>
      <c r="M464" s="366">
        <v>957.5</v>
      </c>
      <c r="N464" s="366">
        <v>1249.1300000000001</v>
      </c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 spans="1:26" ht="15.75" customHeight="1">
      <c r="A465" s="268"/>
      <c r="B465" s="268" t="str">
        <f t="shared" si="2"/>
        <v>Professional Fees</v>
      </c>
      <c r="C465" s="252"/>
      <c r="D465" s="253" t="s">
        <v>1625</v>
      </c>
      <c r="E465" s="375">
        <f t="shared" si="3"/>
        <v>46142</v>
      </c>
      <c r="F465" s="253" t="s">
        <v>342</v>
      </c>
      <c r="G465" s="253" t="s">
        <v>344</v>
      </c>
      <c r="H465" s="253" t="s">
        <v>1947</v>
      </c>
      <c r="I465" s="253" t="s">
        <v>344</v>
      </c>
      <c r="J465" s="253" t="s">
        <v>344</v>
      </c>
      <c r="K465" s="253" t="s">
        <v>1950</v>
      </c>
      <c r="L465" s="253" t="s">
        <v>1756</v>
      </c>
      <c r="M465" s="366">
        <v>225</v>
      </c>
      <c r="N465" s="366">
        <v>1474.13</v>
      </c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 spans="1:26" ht="15.75" customHeight="1">
      <c r="A466" s="268"/>
      <c r="B466" s="268" t="str">
        <f t="shared" si="2"/>
        <v>Professional Fees</v>
      </c>
      <c r="C466" s="252"/>
      <c r="D466" s="253" t="s">
        <v>1625</v>
      </c>
      <c r="E466" s="375">
        <f t="shared" si="3"/>
        <v>46142</v>
      </c>
      <c r="F466" s="253" t="s">
        <v>342</v>
      </c>
      <c r="G466" s="253" t="s">
        <v>344</v>
      </c>
      <c r="H466" s="253" t="s">
        <v>1947</v>
      </c>
      <c r="I466" s="253" t="s">
        <v>344</v>
      </c>
      <c r="J466" s="253" t="s">
        <v>344</v>
      </c>
      <c r="K466" s="253" t="s">
        <v>1951</v>
      </c>
      <c r="L466" s="253" t="s">
        <v>1756</v>
      </c>
      <c r="M466" s="366">
        <v>3.25</v>
      </c>
      <c r="N466" s="366">
        <v>1477.38</v>
      </c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 spans="1:26" ht="15.75" customHeight="1">
      <c r="A467" s="268"/>
      <c r="B467" s="268" t="str">
        <f t="shared" si="2"/>
        <v>Professional Fees</v>
      </c>
      <c r="C467" s="252"/>
      <c r="D467" s="253" t="s">
        <v>1917</v>
      </c>
      <c r="E467" s="375">
        <f t="shared" si="3"/>
        <v>46173</v>
      </c>
      <c r="F467" s="253" t="s">
        <v>342</v>
      </c>
      <c r="G467" s="253" t="s">
        <v>344</v>
      </c>
      <c r="H467" s="253" t="s">
        <v>1947</v>
      </c>
      <c r="I467" s="253" t="s">
        <v>344</v>
      </c>
      <c r="J467" s="253" t="s">
        <v>344</v>
      </c>
      <c r="K467" s="253" t="s">
        <v>1952</v>
      </c>
      <c r="L467" s="253" t="s">
        <v>1756</v>
      </c>
      <c r="M467" s="366">
        <v>450</v>
      </c>
      <c r="N467" s="366">
        <v>1927.38</v>
      </c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 spans="1:26" ht="15.75" customHeight="1">
      <c r="A468" s="268"/>
      <c r="B468" s="268" t="str">
        <f t="shared" si="2"/>
        <v>Total for Professional Fees</v>
      </c>
      <c r="C468" s="367" t="s">
        <v>1953</v>
      </c>
      <c r="D468" s="252"/>
      <c r="E468" s="375">
        <f t="shared" si="3"/>
        <v>31</v>
      </c>
      <c r="F468" s="252"/>
      <c r="G468" s="252"/>
      <c r="H468" s="252"/>
      <c r="I468" s="252"/>
      <c r="J468" s="252"/>
      <c r="K468" s="252"/>
      <c r="L468" s="252"/>
      <c r="M468" s="368">
        <f>M463+M464+M465+M466+M467</f>
        <v>1927.38</v>
      </c>
      <c r="N468" s="252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 spans="1:26" ht="15.75" customHeight="1">
      <c r="A469" s="268"/>
      <c r="B469" s="268" t="str">
        <f t="shared" si="2"/>
        <v>Property Taxes</v>
      </c>
      <c r="C469" s="365" t="s">
        <v>1279</v>
      </c>
      <c r="D469" s="252"/>
      <c r="E469" s="375">
        <f t="shared" si="3"/>
        <v>31</v>
      </c>
      <c r="F469" s="252"/>
      <c r="G469" s="252"/>
      <c r="H469" s="252"/>
      <c r="I469" s="252"/>
      <c r="J469" s="252"/>
      <c r="K469" s="252"/>
      <c r="L469" s="252"/>
      <c r="M469" s="252"/>
      <c r="N469" s="252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 spans="1:26" ht="15.75" customHeight="1">
      <c r="A470" s="268"/>
      <c r="B470" s="268" t="str">
        <f t="shared" si="2"/>
        <v>Property Taxes</v>
      </c>
      <c r="C470" s="252"/>
      <c r="D470" s="253" t="s">
        <v>1483</v>
      </c>
      <c r="E470" s="375">
        <f t="shared" si="3"/>
        <v>46112</v>
      </c>
      <c r="F470" s="253" t="s">
        <v>342</v>
      </c>
      <c r="G470" s="253" t="s">
        <v>344</v>
      </c>
      <c r="H470" s="253" t="s">
        <v>1954</v>
      </c>
      <c r="I470" s="253" t="s">
        <v>344</v>
      </c>
      <c r="J470" s="253" t="s">
        <v>344</v>
      </c>
      <c r="K470" s="253" t="s">
        <v>1955</v>
      </c>
      <c r="L470" s="253" t="s">
        <v>1756</v>
      </c>
      <c r="M470" s="366">
        <v>6618</v>
      </c>
      <c r="N470" s="366">
        <v>6618</v>
      </c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 spans="1:26" ht="15.75" customHeight="1">
      <c r="A471" s="268"/>
      <c r="B471" s="268" t="str">
        <f t="shared" si="2"/>
        <v>Total for Property Taxes</v>
      </c>
      <c r="C471" s="367" t="s">
        <v>1956</v>
      </c>
      <c r="D471" s="252"/>
      <c r="E471" s="375">
        <f t="shared" si="3"/>
        <v>31</v>
      </c>
      <c r="F471" s="252"/>
      <c r="G471" s="252"/>
      <c r="H471" s="252"/>
      <c r="I471" s="252"/>
      <c r="J471" s="252"/>
      <c r="K471" s="252"/>
      <c r="L471" s="252"/>
      <c r="M471" s="368">
        <f>M470</f>
        <v>6618</v>
      </c>
      <c r="N471" s="252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 spans="1:26" ht="15.75" customHeight="1">
      <c r="A472" s="268"/>
      <c r="B472" s="268" t="str">
        <f t="shared" si="2"/>
        <v>Refund</v>
      </c>
      <c r="C472" s="365" t="s">
        <v>456</v>
      </c>
      <c r="D472" s="252"/>
      <c r="E472" s="375">
        <f t="shared" si="3"/>
        <v>31</v>
      </c>
      <c r="F472" s="252"/>
      <c r="G472" s="252"/>
      <c r="H472" s="252"/>
      <c r="I472" s="252"/>
      <c r="J472" s="252"/>
      <c r="K472" s="252"/>
      <c r="L472" s="252"/>
      <c r="M472" s="252"/>
      <c r="N472" s="252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 spans="1:26" ht="15.75" customHeight="1">
      <c r="A473" s="268"/>
      <c r="B473" s="268" t="str">
        <f t="shared" si="2"/>
        <v>Refund</v>
      </c>
      <c r="C473" s="252"/>
      <c r="D473" s="253" t="s">
        <v>1941</v>
      </c>
      <c r="E473" s="375">
        <f t="shared" si="3"/>
        <v>46081</v>
      </c>
      <c r="F473" s="253" t="s">
        <v>342</v>
      </c>
      <c r="G473" s="253" t="s">
        <v>344</v>
      </c>
      <c r="H473" s="253" t="s">
        <v>344</v>
      </c>
      <c r="I473" s="253" t="s">
        <v>344</v>
      </c>
      <c r="J473" s="253" t="s">
        <v>344</v>
      </c>
      <c r="K473" s="253" t="s">
        <v>1957</v>
      </c>
      <c r="L473" s="253" t="s">
        <v>1756</v>
      </c>
      <c r="M473" s="366">
        <v>266.89999999999998</v>
      </c>
      <c r="N473" s="366">
        <v>266.89999999999998</v>
      </c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 spans="1:26" ht="15.75" customHeight="1">
      <c r="A474" s="268"/>
      <c r="B474" s="268" t="str">
        <f t="shared" si="2"/>
        <v>Refund</v>
      </c>
      <c r="C474" s="252"/>
      <c r="D474" s="253" t="s">
        <v>1452</v>
      </c>
      <c r="E474" s="375">
        <f t="shared" si="3"/>
        <v>46081</v>
      </c>
      <c r="F474" s="253" t="s">
        <v>342</v>
      </c>
      <c r="G474" s="253" t="s">
        <v>344</v>
      </c>
      <c r="H474" s="253" t="s">
        <v>1958</v>
      </c>
      <c r="I474" s="253" t="s">
        <v>344</v>
      </c>
      <c r="J474" s="253" t="s">
        <v>344</v>
      </c>
      <c r="K474" s="253" t="s">
        <v>1959</v>
      </c>
      <c r="L474" s="253" t="s">
        <v>1756</v>
      </c>
      <c r="M474" s="366">
        <v>5700</v>
      </c>
      <c r="N474" s="366">
        <v>5966.9</v>
      </c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 spans="1:26" ht="15.75" customHeight="1">
      <c r="A475" s="268"/>
      <c r="B475" s="268" t="str">
        <f t="shared" si="2"/>
        <v>Refund</v>
      </c>
      <c r="C475" s="252"/>
      <c r="D475" s="253" t="s">
        <v>1868</v>
      </c>
      <c r="E475" s="375">
        <f t="shared" si="3"/>
        <v>46112</v>
      </c>
      <c r="F475" s="253" t="s">
        <v>342</v>
      </c>
      <c r="G475" s="253" t="s">
        <v>344</v>
      </c>
      <c r="H475" s="253" t="s">
        <v>1960</v>
      </c>
      <c r="I475" s="253" t="s">
        <v>344</v>
      </c>
      <c r="J475" s="253" t="s">
        <v>344</v>
      </c>
      <c r="K475" s="253" t="s">
        <v>1961</v>
      </c>
      <c r="L475" s="253" t="s">
        <v>1756</v>
      </c>
      <c r="M475" s="366">
        <v>3400</v>
      </c>
      <c r="N475" s="366">
        <v>9366.9</v>
      </c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 spans="1:26" ht="15.75" customHeight="1">
      <c r="A476" s="268"/>
      <c r="B476" s="268" t="str">
        <f t="shared" si="2"/>
        <v>Refund</v>
      </c>
      <c r="C476" s="252"/>
      <c r="D476" s="253" t="s">
        <v>1707</v>
      </c>
      <c r="E476" s="375">
        <f t="shared" si="3"/>
        <v>46142</v>
      </c>
      <c r="F476" s="253" t="s">
        <v>342</v>
      </c>
      <c r="G476" s="253" t="s">
        <v>344</v>
      </c>
      <c r="H476" s="253" t="s">
        <v>344</v>
      </c>
      <c r="I476" s="253" t="s">
        <v>344</v>
      </c>
      <c r="J476" s="253" t="s">
        <v>344</v>
      </c>
      <c r="K476" s="253" t="s">
        <v>1962</v>
      </c>
      <c r="L476" s="253" t="s">
        <v>1756</v>
      </c>
      <c r="M476" s="366">
        <v>485.25</v>
      </c>
      <c r="N476" s="366">
        <v>9852.15</v>
      </c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 spans="1:26" ht="15.75" customHeight="1">
      <c r="A477" s="268"/>
      <c r="B477" s="268" t="str">
        <f t="shared" si="2"/>
        <v>Refund</v>
      </c>
      <c r="C477" s="252"/>
      <c r="D477" s="253" t="s">
        <v>1707</v>
      </c>
      <c r="E477" s="375">
        <f t="shared" si="3"/>
        <v>46142</v>
      </c>
      <c r="F477" s="253" t="s">
        <v>342</v>
      </c>
      <c r="G477" s="253" t="s">
        <v>344</v>
      </c>
      <c r="H477" s="253" t="s">
        <v>344</v>
      </c>
      <c r="I477" s="253" t="s">
        <v>344</v>
      </c>
      <c r="J477" s="253" t="s">
        <v>344</v>
      </c>
      <c r="K477" s="253" t="s">
        <v>1963</v>
      </c>
      <c r="L477" s="253" t="s">
        <v>1756</v>
      </c>
      <c r="M477" s="366">
        <v>724.41</v>
      </c>
      <c r="N477" s="366">
        <v>10576.56</v>
      </c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 spans="1:26" ht="15.75" customHeight="1">
      <c r="A478" s="268"/>
      <c r="B478" s="268" t="str">
        <f t="shared" si="2"/>
        <v>Refund</v>
      </c>
      <c r="C478" s="252"/>
      <c r="D478" s="253" t="s">
        <v>1707</v>
      </c>
      <c r="E478" s="375">
        <f t="shared" si="3"/>
        <v>46142</v>
      </c>
      <c r="F478" s="253" t="s">
        <v>342</v>
      </c>
      <c r="G478" s="253" t="s">
        <v>344</v>
      </c>
      <c r="H478" s="253" t="s">
        <v>344</v>
      </c>
      <c r="I478" s="253" t="s">
        <v>344</v>
      </c>
      <c r="J478" s="253" t="s">
        <v>344</v>
      </c>
      <c r="K478" s="253" t="s">
        <v>1964</v>
      </c>
      <c r="L478" s="253" t="s">
        <v>1756</v>
      </c>
      <c r="M478" s="366">
        <v>699.78</v>
      </c>
      <c r="N478" s="366">
        <v>11276.34</v>
      </c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 spans="1:26" ht="15.75" customHeight="1">
      <c r="A479" s="268"/>
      <c r="B479" s="268" t="str">
        <f t="shared" si="2"/>
        <v>Refund</v>
      </c>
      <c r="C479" s="252"/>
      <c r="D479" s="253" t="s">
        <v>1917</v>
      </c>
      <c r="E479" s="375">
        <f t="shared" si="3"/>
        <v>46173</v>
      </c>
      <c r="F479" s="253" t="s">
        <v>342</v>
      </c>
      <c r="G479" s="253" t="s">
        <v>344</v>
      </c>
      <c r="H479" s="253" t="s">
        <v>344</v>
      </c>
      <c r="I479" s="253" t="s">
        <v>344</v>
      </c>
      <c r="J479" s="253" t="s">
        <v>344</v>
      </c>
      <c r="K479" s="253" t="s">
        <v>1965</v>
      </c>
      <c r="L479" s="253" t="s">
        <v>1756</v>
      </c>
      <c r="M479" s="366">
        <v>1213.55</v>
      </c>
      <c r="N479" s="366">
        <v>12489.89</v>
      </c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 spans="1:26" ht="15.75" customHeight="1">
      <c r="A480" s="268"/>
      <c r="B480" s="268" t="str">
        <f t="shared" si="2"/>
        <v>Total for Refund</v>
      </c>
      <c r="C480" s="367" t="s">
        <v>1966</v>
      </c>
      <c r="D480" s="252"/>
      <c r="E480" s="375">
        <f t="shared" si="3"/>
        <v>31</v>
      </c>
      <c r="F480" s="252"/>
      <c r="G480" s="252"/>
      <c r="H480" s="252"/>
      <c r="I480" s="252"/>
      <c r="J480" s="252"/>
      <c r="K480" s="252"/>
      <c r="L480" s="252"/>
      <c r="M480" s="368">
        <f>M473+M474+M475+M476+M477+M478+M479</f>
        <v>12489.89</v>
      </c>
      <c r="N480" s="252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 spans="1:26" ht="15.75" customHeight="1">
      <c r="A481" s="268"/>
      <c r="B481" s="268" t="str">
        <f t="shared" si="2"/>
        <v>Rent or Lease of Buildings</v>
      </c>
      <c r="C481" s="365" t="s">
        <v>447</v>
      </c>
      <c r="D481" s="252"/>
      <c r="E481" s="375">
        <f t="shared" si="3"/>
        <v>31</v>
      </c>
      <c r="F481" s="252"/>
      <c r="G481" s="252"/>
      <c r="H481" s="252"/>
      <c r="I481" s="252"/>
      <c r="J481" s="252"/>
      <c r="K481" s="252"/>
      <c r="L481" s="252"/>
      <c r="M481" s="252"/>
      <c r="N481" s="252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 spans="1:26" ht="15.75" customHeight="1">
      <c r="A482" s="268"/>
      <c r="B482" s="268" t="str">
        <f t="shared" si="2"/>
        <v>Rent or Lease of Buildings</v>
      </c>
      <c r="C482" s="252"/>
      <c r="D482" s="253" t="s">
        <v>1321</v>
      </c>
      <c r="E482" s="375">
        <f t="shared" si="3"/>
        <v>46053</v>
      </c>
      <c r="F482" s="253" t="s">
        <v>342</v>
      </c>
      <c r="G482" s="253" t="s">
        <v>344</v>
      </c>
      <c r="H482" s="253" t="s">
        <v>344</v>
      </c>
      <c r="I482" s="253" t="s">
        <v>344</v>
      </c>
      <c r="J482" s="253" t="s">
        <v>344</v>
      </c>
      <c r="K482" s="253" t="s">
        <v>1967</v>
      </c>
      <c r="L482" s="253" t="s">
        <v>1756</v>
      </c>
      <c r="M482" s="366">
        <v>15500</v>
      </c>
      <c r="N482" s="366">
        <v>15500</v>
      </c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 spans="1:26" ht="15.75" customHeight="1">
      <c r="A483" s="268"/>
      <c r="B483" s="268" t="str">
        <f t="shared" si="2"/>
        <v>Rent or Lease of Buildings</v>
      </c>
      <c r="C483" s="252"/>
      <c r="D483" s="253" t="s">
        <v>1968</v>
      </c>
      <c r="E483" s="375">
        <f t="shared" si="3"/>
        <v>46081</v>
      </c>
      <c r="F483" s="253" t="s">
        <v>342</v>
      </c>
      <c r="G483" s="253" t="s">
        <v>344</v>
      </c>
      <c r="H483" s="253" t="s">
        <v>344</v>
      </c>
      <c r="I483" s="253" t="s">
        <v>344</v>
      </c>
      <c r="J483" s="253" t="s">
        <v>344</v>
      </c>
      <c r="K483" s="253" t="s">
        <v>1967</v>
      </c>
      <c r="L483" s="253" t="s">
        <v>1756</v>
      </c>
      <c r="M483" s="366">
        <v>15500</v>
      </c>
      <c r="N483" s="366">
        <v>31000</v>
      </c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 spans="1:26" ht="15.75" customHeight="1">
      <c r="A484" s="268"/>
      <c r="B484" s="268" t="str">
        <f t="shared" si="2"/>
        <v>Rent or Lease of Buildings</v>
      </c>
      <c r="C484" s="252"/>
      <c r="D484" s="253" t="s">
        <v>1507</v>
      </c>
      <c r="E484" s="375">
        <f t="shared" si="3"/>
        <v>46112</v>
      </c>
      <c r="F484" s="253" t="s">
        <v>342</v>
      </c>
      <c r="G484" s="253" t="s">
        <v>344</v>
      </c>
      <c r="H484" s="253" t="s">
        <v>344</v>
      </c>
      <c r="I484" s="253" t="s">
        <v>344</v>
      </c>
      <c r="J484" s="253" t="s">
        <v>344</v>
      </c>
      <c r="K484" s="253" t="s">
        <v>1967</v>
      </c>
      <c r="L484" s="253" t="s">
        <v>1756</v>
      </c>
      <c r="M484" s="366">
        <v>15500</v>
      </c>
      <c r="N484" s="366">
        <v>46500</v>
      </c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 spans="1:26" ht="15.75" customHeight="1">
      <c r="A485" s="268"/>
      <c r="B485" s="268" t="str">
        <f t="shared" si="2"/>
        <v>Rent or Lease of Buildings</v>
      </c>
      <c r="C485" s="252"/>
      <c r="D485" s="253" t="s">
        <v>1516</v>
      </c>
      <c r="E485" s="375">
        <f t="shared" si="3"/>
        <v>46112</v>
      </c>
      <c r="F485" s="253" t="s">
        <v>643</v>
      </c>
      <c r="G485" s="253" t="s">
        <v>344</v>
      </c>
      <c r="H485" s="253" t="s">
        <v>344</v>
      </c>
      <c r="I485" s="253" t="s">
        <v>344</v>
      </c>
      <c r="J485" s="253" t="s">
        <v>344</v>
      </c>
      <c r="K485" s="253" t="s">
        <v>1969</v>
      </c>
      <c r="L485" s="253" t="s">
        <v>1756</v>
      </c>
      <c r="M485" s="366">
        <v>-1730</v>
      </c>
      <c r="N485" s="366">
        <v>44770</v>
      </c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 spans="1:26" ht="15.75" customHeight="1">
      <c r="A486" s="268"/>
      <c r="B486" s="268" t="str">
        <f t="shared" si="2"/>
        <v>Rent or Lease of Buildings</v>
      </c>
      <c r="C486" s="252"/>
      <c r="D486" s="253" t="s">
        <v>1593</v>
      </c>
      <c r="E486" s="375">
        <f t="shared" si="3"/>
        <v>46142</v>
      </c>
      <c r="F486" s="253" t="s">
        <v>342</v>
      </c>
      <c r="G486" s="253" t="s">
        <v>344</v>
      </c>
      <c r="H486" s="253" t="s">
        <v>1970</v>
      </c>
      <c r="I486" s="253" t="s">
        <v>344</v>
      </c>
      <c r="J486" s="253" t="s">
        <v>344</v>
      </c>
      <c r="K486" s="253" t="s">
        <v>1967</v>
      </c>
      <c r="L486" s="253" t="s">
        <v>1756</v>
      </c>
      <c r="M486" s="366">
        <v>15500</v>
      </c>
      <c r="N486" s="366">
        <v>60270</v>
      </c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 spans="1:26" ht="15.75" customHeight="1">
      <c r="A487" s="268"/>
      <c r="B487" s="268" t="str">
        <f t="shared" si="2"/>
        <v>Rent or Lease of Buildings</v>
      </c>
      <c r="C487" s="252"/>
      <c r="D487" s="253" t="s">
        <v>1710</v>
      </c>
      <c r="E487" s="375">
        <f t="shared" si="3"/>
        <v>46173</v>
      </c>
      <c r="F487" s="253" t="s">
        <v>342</v>
      </c>
      <c r="G487" s="253" t="s">
        <v>344</v>
      </c>
      <c r="H487" s="253" t="s">
        <v>344</v>
      </c>
      <c r="I487" s="253" t="s">
        <v>344</v>
      </c>
      <c r="J487" s="253" t="s">
        <v>344</v>
      </c>
      <c r="K487" s="253" t="s">
        <v>1967</v>
      </c>
      <c r="L487" s="253" t="s">
        <v>1756</v>
      </c>
      <c r="M487" s="366">
        <v>15500</v>
      </c>
      <c r="N487" s="366">
        <v>75770</v>
      </c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 spans="1:26" ht="15.75" customHeight="1">
      <c r="A488" s="268"/>
      <c r="B488" s="268" t="str">
        <f t="shared" si="2"/>
        <v>Rent or Lease of Buildings</v>
      </c>
      <c r="C488" s="252"/>
      <c r="D488" s="253" t="s">
        <v>1917</v>
      </c>
      <c r="E488" s="375">
        <f t="shared" si="3"/>
        <v>46173</v>
      </c>
      <c r="F488" s="253" t="s">
        <v>342</v>
      </c>
      <c r="G488" s="253" t="s">
        <v>344</v>
      </c>
      <c r="H488" s="253" t="s">
        <v>344</v>
      </c>
      <c r="I488" s="253" t="s">
        <v>344</v>
      </c>
      <c r="J488" s="253" t="s">
        <v>344</v>
      </c>
      <c r="K488" s="253" t="s">
        <v>1967</v>
      </c>
      <c r="L488" s="253" t="s">
        <v>1756</v>
      </c>
      <c r="M488" s="366">
        <v>15500</v>
      </c>
      <c r="N488" s="366">
        <v>91270</v>
      </c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 spans="1:26" ht="15.75" customHeight="1">
      <c r="A489" s="268"/>
      <c r="B489" s="268" t="str">
        <f t="shared" si="2"/>
        <v>Total for Rent or Lease of Buildings</v>
      </c>
      <c r="C489" s="367" t="s">
        <v>1971</v>
      </c>
      <c r="D489" s="252"/>
      <c r="E489" s="375">
        <f t="shared" si="3"/>
        <v>31</v>
      </c>
      <c r="F489" s="252"/>
      <c r="G489" s="252"/>
      <c r="H489" s="252"/>
      <c r="I489" s="252"/>
      <c r="J489" s="252"/>
      <c r="K489" s="252"/>
      <c r="L489" s="252"/>
      <c r="M489" s="368">
        <f>M482+M483+M484+M485+M486+M487+M488</f>
        <v>91270</v>
      </c>
      <c r="N489" s="252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 spans="1:26" ht="15.75" customHeight="1">
      <c r="A490" s="268"/>
      <c r="B490" s="268" t="str">
        <f t="shared" si="2"/>
        <v>Repairs and Maintenance</v>
      </c>
      <c r="C490" s="365" t="s">
        <v>466</v>
      </c>
      <c r="D490" s="252"/>
      <c r="E490" s="375">
        <f t="shared" si="3"/>
        <v>31</v>
      </c>
      <c r="F490" s="252"/>
      <c r="G490" s="252"/>
      <c r="H490" s="252"/>
      <c r="I490" s="252"/>
      <c r="J490" s="252"/>
      <c r="K490" s="252"/>
      <c r="L490" s="252"/>
      <c r="M490" s="252"/>
      <c r="N490" s="252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 spans="1:26" ht="15.75" customHeight="1">
      <c r="A491" s="376" t="s">
        <v>1820</v>
      </c>
      <c r="B491" s="268" t="str">
        <f t="shared" si="2"/>
        <v>Repairs and Maintenance</v>
      </c>
      <c r="C491" s="252"/>
      <c r="D491" s="253" t="s">
        <v>1333</v>
      </c>
      <c r="E491" s="375">
        <f t="shared" si="3"/>
        <v>46053</v>
      </c>
      <c r="F491" s="253" t="s">
        <v>342</v>
      </c>
      <c r="G491" s="253" t="s">
        <v>344</v>
      </c>
      <c r="H491" s="253" t="s">
        <v>465</v>
      </c>
      <c r="I491" s="253" t="s">
        <v>344</v>
      </c>
      <c r="J491" s="253" t="s">
        <v>344</v>
      </c>
      <c r="K491" s="253" t="s">
        <v>1972</v>
      </c>
      <c r="L491" s="253" t="s">
        <v>1756</v>
      </c>
      <c r="M491" s="366">
        <v>15.72</v>
      </c>
      <c r="N491" s="366">
        <v>15.72</v>
      </c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 spans="1:26" ht="15.75" customHeight="1">
      <c r="A492" s="376" t="s">
        <v>1820</v>
      </c>
      <c r="B492" s="268" t="str">
        <f t="shared" si="2"/>
        <v>Repairs and Maintenance</v>
      </c>
      <c r="C492" s="252"/>
      <c r="D492" s="253" t="s">
        <v>1333</v>
      </c>
      <c r="E492" s="375">
        <f t="shared" si="3"/>
        <v>46053</v>
      </c>
      <c r="F492" s="253" t="s">
        <v>342</v>
      </c>
      <c r="G492" s="253" t="s">
        <v>344</v>
      </c>
      <c r="H492" s="253" t="s">
        <v>1973</v>
      </c>
      <c r="I492" s="253" t="s">
        <v>344</v>
      </c>
      <c r="J492" s="253" t="s">
        <v>344</v>
      </c>
      <c r="K492" s="253" t="s">
        <v>1974</v>
      </c>
      <c r="L492" s="253" t="s">
        <v>1756</v>
      </c>
      <c r="M492" s="366">
        <v>900</v>
      </c>
      <c r="N492" s="366">
        <v>915.72</v>
      </c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 spans="1:26" ht="15.75" customHeight="1">
      <c r="A493" s="376" t="s">
        <v>1820</v>
      </c>
      <c r="B493" s="268" t="str">
        <f t="shared" si="2"/>
        <v>Repairs and Maintenance</v>
      </c>
      <c r="C493" s="252"/>
      <c r="D493" s="253" t="s">
        <v>1763</v>
      </c>
      <c r="E493" s="375">
        <f t="shared" si="3"/>
        <v>46053</v>
      </c>
      <c r="F493" s="253" t="s">
        <v>342</v>
      </c>
      <c r="G493" s="253" t="s">
        <v>344</v>
      </c>
      <c r="H493" s="253" t="s">
        <v>1975</v>
      </c>
      <c r="I493" s="253" t="s">
        <v>344</v>
      </c>
      <c r="J493" s="253" t="s">
        <v>344</v>
      </c>
      <c r="K493" s="253" t="s">
        <v>1976</v>
      </c>
      <c r="L493" s="253" t="s">
        <v>1756</v>
      </c>
      <c r="M493" s="366">
        <v>497.71</v>
      </c>
      <c r="N493" s="366">
        <v>1413.43</v>
      </c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 spans="1:26" ht="15.75" customHeight="1">
      <c r="A494" s="376" t="s">
        <v>1820</v>
      </c>
      <c r="B494" s="268" t="str">
        <f t="shared" si="2"/>
        <v>Repairs and Maintenance</v>
      </c>
      <c r="C494" s="252"/>
      <c r="D494" s="253" t="s">
        <v>1766</v>
      </c>
      <c r="E494" s="375">
        <f t="shared" si="3"/>
        <v>46053</v>
      </c>
      <c r="F494" s="253" t="s">
        <v>342</v>
      </c>
      <c r="G494" s="253" t="s">
        <v>344</v>
      </c>
      <c r="H494" s="253" t="s">
        <v>1977</v>
      </c>
      <c r="I494" s="253" t="s">
        <v>344</v>
      </c>
      <c r="J494" s="253" t="s">
        <v>344</v>
      </c>
      <c r="K494" s="253" t="s">
        <v>1978</v>
      </c>
      <c r="L494" s="253" t="s">
        <v>1756</v>
      </c>
      <c r="M494" s="366">
        <v>164.62</v>
      </c>
      <c r="N494" s="366">
        <v>1578.0500000000002</v>
      </c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 spans="1:26" ht="15.75" customHeight="1">
      <c r="A495" s="376" t="s">
        <v>1820</v>
      </c>
      <c r="B495" s="268" t="str">
        <f t="shared" si="2"/>
        <v>Repairs and Maintenance</v>
      </c>
      <c r="C495" s="252"/>
      <c r="D495" s="253" t="s">
        <v>1941</v>
      </c>
      <c r="E495" s="375">
        <f t="shared" si="3"/>
        <v>46081</v>
      </c>
      <c r="F495" s="253" t="s">
        <v>342</v>
      </c>
      <c r="G495" s="253" t="s">
        <v>344</v>
      </c>
      <c r="H495" s="253" t="s">
        <v>1979</v>
      </c>
      <c r="I495" s="253" t="s">
        <v>344</v>
      </c>
      <c r="J495" s="253" t="s">
        <v>344</v>
      </c>
      <c r="K495" s="253" t="s">
        <v>1980</v>
      </c>
      <c r="L495" s="253" t="s">
        <v>1756</v>
      </c>
      <c r="M495" s="366">
        <v>1200</v>
      </c>
      <c r="N495" s="366">
        <v>2778.05</v>
      </c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 spans="1:26" ht="15.75" customHeight="1">
      <c r="A496" s="376" t="s">
        <v>1820</v>
      </c>
      <c r="B496" s="268" t="str">
        <f t="shared" si="2"/>
        <v>Repairs and Maintenance</v>
      </c>
      <c r="C496" s="252"/>
      <c r="D496" s="253" t="s">
        <v>1942</v>
      </c>
      <c r="E496" s="375">
        <f t="shared" si="3"/>
        <v>46081</v>
      </c>
      <c r="F496" s="253" t="s">
        <v>342</v>
      </c>
      <c r="G496" s="253" t="s">
        <v>344</v>
      </c>
      <c r="H496" s="253" t="s">
        <v>1981</v>
      </c>
      <c r="I496" s="253" t="s">
        <v>344</v>
      </c>
      <c r="J496" s="253" t="s">
        <v>344</v>
      </c>
      <c r="K496" s="253" t="s">
        <v>1982</v>
      </c>
      <c r="L496" s="253" t="s">
        <v>1756</v>
      </c>
      <c r="M496" s="366">
        <v>2075</v>
      </c>
      <c r="N496" s="366">
        <v>4853.05</v>
      </c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 spans="1:26" ht="15.75" customHeight="1">
      <c r="A497" s="376" t="s">
        <v>1820</v>
      </c>
      <c r="B497" s="268" t="str">
        <f t="shared" si="2"/>
        <v>Repairs and Maintenance</v>
      </c>
      <c r="C497" s="252"/>
      <c r="D497" s="253" t="s">
        <v>1430</v>
      </c>
      <c r="E497" s="375">
        <f t="shared" si="3"/>
        <v>46081</v>
      </c>
      <c r="F497" s="253" t="s">
        <v>342</v>
      </c>
      <c r="G497" s="253" t="s">
        <v>344</v>
      </c>
      <c r="H497" s="253" t="s">
        <v>1979</v>
      </c>
      <c r="I497" s="253" t="s">
        <v>344</v>
      </c>
      <c r="J497" s="253" t="s">
        <v>344</v>
      </c>
      <c r="K497" s="253" t="s">
        <v>1983</v>
      </c>
      <c r="L497" s="253" t="s">
        <v>1756</v>
      </c>
      <c r="M497" s="366">
        <v>1200</v>
      </c>
      <c r="N497" s="366">
        <v>6053.05</v>
      </c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 spans="1:26" ht="15.75" customHeight="1">
      <c r="A498" s="376" t="s">
        <v>1820</v>
      </c>
      <c r="B498" s="268" t="str">
        <f t="shared" si="2"/>
        <v>Repairs and Maintenance</v>
      </c>
      <c r="C498" s="252"/>
      <c r="D498" s="253" t="s">
        <v>1924</v>
      </c>
      <c r="E498" s="375">
        <f t="shared" si="3"/>
        <v>46081</v>
      </c>
      <c r="F498" s="253" t="s">
        <v>342</v>
      </c>
      <c r="G498" s="253" t="s">
        <v>344</v>
      </c>
      <c r="H498" s="253" t="s">
        <v>1977</v>
      </c>
      <c r="I498" s="253" t="s">
        <v>344</v>
      </c>
      <c r="J498" s="253" t="s">
        <v>344</v>
      </c>
      <c r="K498" s="253" t="s">
        <v>1984</v>
      </c>
      <c r="L498" s="253" t="s">
        <v>1756</v>
      </c>
      <c r="M498" s="366">
        <v>154.75</v>
      </c>
      <c r="N498" s="366">
        <v>6207.8</v>
      </c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 spans="1:26" ht="15.75" customHeight="1">
      <c r="A499" s="376" t="s">
        <v>1820</v>
      </c>
      <c r="B499" s="268" t="str">
        <f t="shared" si="2"/>
        <v>Repairs and Maintenance</v>
      </c>
      <c r="C499" s="252"/>
      <c r="D499" s="253" t="s">
        <v>1452</v>
      </c>
      <c r="E499" s="375">
        <f t="shared" si="3"/>
        <v>46081</v>
      </c>
      <c r="F499" s="253" t="s">
        <v>342</v>
      </c>
      <c r="G499" s="253" t="s">
        <v>344</v>
      </c>
      <c r="H499" s="253" t="s">
        <v>1985</v>
      </c>
      <c r="I499" s="253" t="s">
        <v>344</v>
      </c>
      <c r="J499" s="253" t="s">
        <v>344</v>
      </c>
      <c r="K499" s="253" t="s">
        <v>1986</v>
      </c>
      <c r="L499" s="253" t="s">
        <v>1756</v>
      </c>
      <c r="M499" s="366">
        <v>7000</v>
      </c>
      <c r="N499" s="366">
        <v>13207.8</v>
      </c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 spans="1:26" ht="15.75" customHeight="1">
      <c r="A500" s="376" t="s">
        <v>1820</v>
      </c>
      <c r="B500" s="268" t="str">
        <f t="shared" si="2"/>
        <v>Repairs and Maintenance</v>
      </c>
      <c r="C500" s="252"/>
      <c r="D500" s="253" t="s">
        <v>1466</v>
      </c>
      <c r="E500" s="375">
        <f t="shared" si="3"/>
        <v>46081</v>
      </c>
      <c r="F500" s="253" t="s">
        <v>342</v>
      </c>
      <c r="G500" s="253" t="s">
        <v>344</v>
      </c>
      <c r="H500" s="253" t="s">
        <v>1987</v>
      </c>
      <c r="I500" s="253" t="s">
        <v>344</v>
      </c>
      <c r="J500" s="253" t="s">
        <v>344</v>
      </c>
      <c r="K500" s="253" t="s">
        <v>1988</v>
      </c>
      <c r="L500" s="253" t="s">
        <v>1756</v>
      </c>
      <c r="M500" s="366">
        <v>4450</v>
      </c>
      <c r="N500" s="366">
        <v>17657.8</v>
      </c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 spans="1:26" ht="15.75" customHeight="1">
      <c r="A501" s="376" t="s">
        <v>1820</v>
      </c>
      <c r="B501" s="268" t="str">
        <f t="shared" si="2"/>
        <v>Repairs and Maintenance</v>
      </c>
      <c r="C501" s="252"/>
      <c r="D501" s="253" t="s">
        <v>1483</v>
      </c>
      <c r="E501" s="375">
        <f t="shared" si="3"/>
        <v>46112</v>
      </c>
      <c r="F501" s="253" t="s">
        <v>342</v>
      </c>
      <c r="G501" s="253" t="s">
        <v>344</v>
      </c>
      <c r="H501" s="253" t="s">
        <v>1989</v>
      </c>
      <c r="I501" s="253" t="s">
        <v>344</v>
      </c>
      <c r="J501" s="253" t="s">
        <v>344</v>
      </c>
      <c r="K501" s="253" t="s">
        <v>1990</v>
      </c>
      <c r="L501" s="253" t="s">
        <v>1756</v>
      </c>
      <c r="M501" s="366">
        <v>1083.27</v>
      </c>
      <c r="N501" s="366">
        <v>18741.07</v>
      </c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 spans="1:26" ht="15.75" customHeight="1">
      <c r="A502" s="376" t="s">
        <v>1820</v>
      </c>
      <c r="B502" s="268" t="str">
        <f t="shared" si="2"/>
        <v>Repairs and Maintenance</v>
      </c>
      <c r="C502" s="252"/>
      <c r="D502" s="253" t="s">
        <v>1483</v>
      </c>
      <c r="E502" s="375">
        <f t="shared" si="3"/>
        <v>46112</v>
      </c>
      <c r="F502" s="253" t="s">
        <v>342</v>
      </c>
      <c r="G502" s="253" t="s">
        <v>344</v>
      </c>
      <c r="H502" s="253" t="s">
        <v>1975</v>
      </c>
      <c r="I502" s="253" t="s">
        <v>344</v>
      </c>
      <c r="J502" s="253" t="s">
        <v>344</v>
      </c>
      <c r="K502" s="253" t="s">
        <v>1991</v>
      </c>
      <c r="L502" s="253" t="s">
        <v>1756</v>
      </c>
      <c r="M502" s="366">
        <v>686.78</v>
      </c>
      <c r="N502" s="366">
        <v>19427.849999999999</v>
      </c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 spans="1:26" ht="15.75" customHeight="1">
      <c r="A503" s="376" t="s">
        <v>1820</v>
      </c>
      <c r="B503" s="268" t="str">
        <f t="shared" si="2"/>
        <v>Repairs and Maintenance</v>
      </c>
      <c r="C503" s="252"/>
      <c r="D503" s="253" t="s">
        <v>1868</v>
      </c>
      <c r="E503" s="375">
        <f t="shared" si="3"/>
        <v>46112</v>
      </c>
      <c r="F503" s="253" t="s">
        <v>342</v>
      </c>
      <c r="G503" s="253" t="s">
        <v>344</v>
      </c>
      <c r="H503" s="253" t="s">
        <v>1985</v>
      </c>
      <c r="I503" s="253" t="s">
        <v>344</v>
      </c>
      <c r="J503" s="253" t="s">
        <v>344</v>
      </c>
      <c r="K503" s="253" t="s">
        <v>1992</v>
      </c>
      <c r="L503" s="253" t="s">
        <v>1756</v>
      </c>
      <c r="M503" s="366">
        <v>5000</v>
      </c>
      <c r="N503" s="366">
        <v>24427.85</v>
      </c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 spans="1:26" ht="15.75" customHeight="1">
      <c r="A504" s="376" t="s">
        <v>1820</v>
      </c>
      <c r="B504" s="268" t="str">
        <f t="shared" si="2"/>
        <v>Repairs and Maintenance</v>
      </c>
      <c r="C504" s="252"/>
      <c r="D504" s="253" t="s">
        <v>1550</v>
      </c>
      <c r="E504" s="375">
        <f t="shared" si="3"/>
        <v>46112</v>
      </c>
      <c r="F504" s="253" t="s">
        <v>342</v>
      </c>
      <c r="G504" s="253" t="s">
        <v>344</v>
      </c>
      <c r="H504" s="253" t="s">
        <v>503</v>
      </c>
      <c r="I504" s="253" t="s">
        <v>344</v>
      </c>
      <c r="J504" s="253" t="s">
        <v>344</v>
      </c>
      <c r="K504" s="253" t="s">
        <v>1993</v>
      </c>
      <c r="L504" s="253" t="s">
        <v>1756</v>
      </c>
      <c r="M504" s="366">
        <v>7043.56</v>
      </c>
      <c r="N504" s="366">
        <v>31471.41</v>
      </c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 spans="1:26" ht="15.75" customHeight="1">
      <c r="A505" s="376" t="s">
        <v>1820</v>
      </c>
      <c r="B505" s="268" t="str">
        <f t="shared" si="2"/>
        <v>Repairs and Maintenance</v>
      </c>
      <c r="C505" s="252"/>
      <c r="D505" s="253" t="s">
        <v>1659</v>
      </c>
      <c r="E505" s="375">
        <f t="shared" si="3"/>
        <v>46142</v>
      </c>
      <c r="F505" s="253" t="s">
        <v>342</v>
      </c>
      <c r="G505" s="253" t="s">
        <v>344</v>
      </c>
      <c r="H505" s="253" t="s">
        <v>1977</v>
      </c>
      <c r="I505" s="253" t="s">
        <v>344</v>
      </c>
      <c r="J505" s="253" t="s">
        <v>344</v>
      </c>
      <c r="K505" s="253" t="s">
        <v>1994</v>
      </c>
      <c r="L505" s="253" t="s">
        <v>1756</v>
      </c>
      <c r="M505" s="366">
        <v>173.25</v>
      </c>
      <c r="N505" s="366">
        <v>31644.66</v>
      </c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 spans="1:26" ht="15.75" customHeight="1">
      <c r="A506" s="376" t="s">
        <v>1820</v>
      </c>
      <c r="B506" s="268" t="str">
        <f t="shared" si="2"/>
        <v>Repairs and Maintenance</v>
      </c>
      <c r="C506" s="252"/>
      <c r="D506" s="253" t="s">
        <v>1945</v>
      </c>
      <c r="E506" s="375">
        <f t="shared" si="3"/>
        <v>46142</v>
      </c>
      <c r="F506" s="253" t="s">
        <v>342</v>
      </c>
      <c r="G506" s="253" t="s">
        <v>344</v>
      </c>
      <c r="H506" s="253" t="s">
        <v>469</v>
      </c>
      <c r="I506" s="253" t="s">
        <v>344</v>
      </c>
      <c r="J506" s="253" t="s">
        <v>344</v>
      </c>
      <c r="K506" s="253" t="s">
        <v>1995</v>
      </c>
      <c r="L506" s="253" t="s">
        <v>1756</v>
      </c>
      <c r="M506" s="366">
        <v>115.75</v>
      </c>
      <c r="N506" s="366">
        <v>31760.41</v>
      </c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 spans="1:26" ht="15.75" customHeight="1">
      <c r="A507" s="376" t="s">
        <v>1820</v>
      </c>
      <c r="B507" s="268" t="str">
        <f t="shared" si="2"/>
        <v>Repairs and Maintenance</v>
      </c>
      <c r="C507" s="252"/>
      <c r="D507" s="253" t="s">
        <v>1842</v>
      </c>
      <c r="E507" s="375">
        <f t="shared" si="3"/>
        <v>46173</v>
      </c>
      <c r="F507" s="253" t="s">
        <v>342</v>
      </c>
      <c r="G507" s="253" t="s">
        <v>344</v>
      </c>
      <c r="H507" s="253" t="s">
        <v>492</v>
      </c>
      <c r="I507" s="253" t="s">
        <v>344</v>
      </c>
      <c r="J507" s="253" t="s">
        <v>344</v>
      </c>
      <c r="K507" s="253" t="s">
        <v>1996</v>
      </c>
      <c r="L507" s="253" t="s">
        <v>1756</v>
      </c>
      <c r="M507" s="366">
        <v>5300</v>
      </c>
      <c r="N507" s="366">
        <v>37060.410000000003</v>
      </c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 spans="1:26" ht="15.75" customHeight="1">
      <c r="A508" s="376" t="s">
        <v>1820</v>
      </c>
      <c r="B508" s="268" t="str">
        <f t="shared" si="2"/>
        <v>Repairs and Maintenance</v>
      </c>
      <c r="C508" s="252"/>
      <c r="D508" s="253" t="s">
        <v>1737</v>
      </c>
      <c r="E508" s="375">
        <f t="shared" si="3"/>
        <v>46173</v>
      </c>
      <c r="F508" s="253" t="s">
        <v>342</v>
      </c>
      <c r="G508" s="253" t="s">
        <v>344</v>
      </c>
      <c r="H508" s="253" t="s">
        <v>1975</v>
      </c>
      <c r="I508" s="253" t="s">
        <v>344</v>
      </c>
      <c r="J508" s="253" t="s">
        <v>344</v>
      </c>
      <c r="K508" s="253" t="s">
        <v>1997</v>
      </c>
      <c r="L508" s="253" t="s">
        <v>1756</v>
      </c>
      <c r="M508" s="366">
        <v>428.92</v>
      </c>
      <c r="N508" s="366">
        <v>37489.33</v>
      </c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 spans="1:26" ht="15.75" customHeight="1">
      <c r="A509" s="268"/>
      <c r="B509" s="268" t="str">
        <f t="shared" si="2"/>
        <v>Total for Repairs and Maintenance</v>
      </c>
      <c r="C509" s="367" t="s">
        <v>1998</v>
      </c>
      <c r="D509" s="252"/>
      <c r="E509" s="375">
        <f t="shared" si="3"/>
        <v>31</v>
      </c>
      <c r="F509" s="252"/>
      <c r="G509" s="252"/>
      <c r="H509" s="252"/>
      <c r="I509" s="252"/>
      <c r="J509" s="252"/>
      <c r="K509" s="252"/>
      <c r="L509" s="252"/>
      <c r="M509" s="368">
        <f>M491+M492+M493+M494+M495+M496+M497+M498+M499+M500+M501+M502+M503+M504+M505+M506+M507+M508</f>
        <v>37489.33</v>
      </c>
      <c r="N509" s="252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 spans="1:26" ht="15.75" customHeight="1">
      <c r="A510" s="268"/>
      <c r="B510" s="268" t="str">
        <f t="shared" si="2"/>
        <v>Supplies</v>
      </c>
      <c r="C510" s="365" t="s">
        <v>1288</v>
      </c>
      <c r="D510" s="252"/>
      <c r="E510" s="375">
        <f t="shared" si="3"/>
        <v>31</v>
      </c>
      <c r="F510" s="252"/>
      <c r="G510" s="252"/>
      <c r="H510" s="252"/>
      <c r="I510" s="252"/>
      <c r="J510" s="252"/>
      <c r="K510" s="252"/>
      <c r="L510" s="252"/>
      <c r="M510" s="252"/>
      <c r="N510" s="252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 spans="1:26" ht="15.75" customHeight="1">
      <c r="A511" s="268"/>
      <c r="B511" s="268" t="str">
        <f t="shared" si="2"/>
        <v>Supplies</v>
      </c>
      <c r="C511" s="252"/>
      <c r="D511" s="253" t="s">
        <v>1853</v>
      </c>
      <c r="E511" s="375">
        <f t="shared" si="3"/>
        <v>46053</v>
      </c>
      <c r="F511" s="253" t="s">
        <v>342</v>
      </c>
      <c r="G511" s="253" t="s">
        <v>344</v>
      </c>
      <c r="H511" s="253" t="s">
        <v>344</v>
      </c>
      <c r="I511" s="253" t="s">
        <v>344</v>
      </c>
      <c r="J511" s="253" t="s">
        <v>344</v>
      </c>
      <c r="K511" s="253" t="s">
        <v>1999</v>
      </c>
      <c r="L511" s="253" t="s">
        <v>1756</v>
      </c>
      <c r="M511" s="366">
        <v>156.44999999999999</v>
      </c>
      <c r="N511" s="366">
        <v>156.44999999999999</v>
      </c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 spans="1:26" ht="15.75" customHeight="1">
      <c r="A512" s="268"/>
      <c r="B512" s="268" t="str">
        <f t="shared" si="2"/>
        <v>Supplies</v>
      </c>
      <c r="C512" s="252"/>
      <c r="D512" s="253" t="s">
        <v>1403</v>
      </c>
      <c r="E512" s="375">
        <f t="shared" si="3"/>
        <v>46081</v>
      </c>
      <c r="F512" s="253" t="s">
        <v>342</v>
      </c>
      <c r="G512" s="253" t="s">
        <v>344</v>
      </c>
      <c r="H512" s="253" t="s">
        <v>2000</v>
      </c>
      <c r="I512" s="253" t="s">
        <v>344</v>
      </c>
      <c r="J512" s="253" t="s">
        <v>344</v>
      </c>
      <c r="K512" s="253" t="s">
        <v>2001</v>
      </c>
      <c r="L512" s="253" t="s">
        <v>1756</v>
      </c>
      <c r="M512" s="366">
        <v>57.6</v>
      </c>
      <c r="N512" s="366">
        <v>214.04999999999998</v>
      </c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 spans="1:26" ht="15.75" customHeight="1">
      <c r="A513" s="268"/>
      <c r="B513" s="268" t="str">
        <f t="shared" si="2"/>
        <v>Supplies</v>
      </c>
      <c r="C513" s="252"/>
      <c r="D513" s="253" t="s">
        <v>1769</v>
      </c>
      <c r="E513" s="375">
        <f t="shared" si="3"/>
        <v>46081</v>
      </c>
      <c r="F513" s="253" t="s">
        <v>342</v>
      </c>
      <c r="G513" s="253" t="s">
        <v>344</v>
      </c>
      <c r="H513" s="253" t="s">
        <v>344</v>
      </c>
      <c r="I513" s="253" t="s">
        <v>344</v>
      </c>
      <c r="J513" s="253" t="s">
        <v>344</v>
      </c>
      <c r="K513" s="253" t="s">
        <v>2002</v>
      </c>
      <c r="L513" s="253" t="s">
        <v>1756</v>
      </c>
      <c r="M513" s="366">
        <v>80.849999999999994</v>
      </c>
      <c r="N513" s="366">
        <v>294.89999999999998</v>
      </c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 spans="1:26" ht="15.75" customHeight="1">
      <c r="A514" s="268"/>
      <c r="B514" s="268" t="str">
        <f t="shared" si="2"/>
        <v>Supplies</v>
      </c>
      <c r="C514" s="252"/>
      <c r="D514" s="253" t="s">
        <v>1924</v>
      </c>
      <c r="E514" s="375">
        <f t="shared" si="3"/>
        <v>46081</v>
      </c>
      <c r="F514" s="253" t="s">
        <v>342</v>
      </c>
      <c r="G514" s="253" t="s">
        <v>344</v>
      </c>
      <c r="H514" s="253" t="s">
        <v>2000</v>
      </c>
      <c r="I514" s="253" t="s">
        <v>344</v>
      </c>
      <c r="J514" s="253" t="s">
        <v>344</v>
      </c>
      <c r="K514" s="253" t="s">
        <v>2003</v>
      </c>
      <c r="L514" s="253" t="s">
        <v>1756</v>
      </c>
      <c r="M514" s="366">
        <v>62.52</v>
      </c>
      <c r="N514" s="366">
        <v>357.41999999999996</v>
      </c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 spans="1:26" ht="15.75" customHeight="1">
      <c r="A515" s="268"/>
      <c r="B515" s="268" t="str">
        <f t="shared" si="2"/>
        <v>Supplies</v>
      </c>
      <c r="C515" s="252"/>
      <c r="D515" s="253" t="s">
        <v>1924</v>
      </c>
      <c r="E515" s="375">
        <f t="shared" si="3"/>
        <v>46081</v>
      </c>
      <c r="F515" s="253" t="s">
        <v>342</v>
      </c>
      <c r="G515" s="253" t="s">
        <v>344</v>
      </c>
      <c r="H515" s="253" t="s">
        <v>344</v>
      </c>
      <c r="I515" s="253" t="s">
        <v>344</v>
      </c>
      <c r="J515" s="253" t="s">
        <v>344</v>
      </c>
      <c r="K515" s="253" t="s">
        <v>2004</v>
      </c>
      <c r="L515" s="253" t="s">
        <v>1756</v>
      </c>
      <c r="M515" s="366">
        <v>175.75</v>
      </c>
      <c r="N515" s="366">
        <v>533.16999999999996</v>
      </c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 spans="1:26" ht="15.75" customHeight="1">
      <c r="A516" s="268"/>
      <c r="B516" s="268" t="str">
        <f t="shared" si="2"/>
        <v>Supplies</v>
      </c>
      <c r="C516" s="252"/>
      <c r="D516" s="253" t="s">
        <v>1554</v>
      </c>
      <c r="E516" s="375">
        <f t="shared" si="3"/>
        <v>46112</v>
      </c>
      <c r="F516" s="253" t="s">
        <v>342</v>
      </c>
      <c r="G516" s="253" t="s">
        <v>344</v>
      </c>
      <c r="H516" s="253" t="s">
        <v>1975</v>
      </c>
      <c r="I516" s="253" t="s">
        <v>344</v>
      </c>
      <c r="J516" s="253" t="s">
        <v>344</v>
      </c>
      <c r="K516" s="253" t="s">
        <v>2005</v>
      </c>
      <c r="L516" s="253" t="s">
        <v>1756</v>
      </c>
      <c r="M516" s="366">
        <v>388.27</v>
      </c>
      <c r="N516" s="366">
        <v>921.43999999999994</v>
      </c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 spans="1:26" ht="15.75" customHeight="1">
      <c r="A517" s="268"/>
      <c r="B517" s="268" t="str">
        <f t="shared" si="2"/>
        <v>Supplies</v>
      </c>
      <c r="C517" s="252"/>
      <c r="D517" s="253" t="s">
        <v>1836</v>
      </c>
      <c r="E517" s="375">
        <f t="shared" si="3"/>
        <v>46112</v>
      </c>
      <c r="F517" s="253" t="s">
        <v>342</v>
      </c>
      <c r="G517" s="253" t="s">
        <v>344</v>
      </c>
      <c r="H517" s="253" t="s">
        <v>2006</v>
      </c>
      <c r="I517" s="253" t="s">
        <v>344</v>
      </c>
      <c r="J517" s="253" t="s">
        <v>344</v>
      </c>
      <c r="K517" s="253" t="s">
        <v>2007</v>
      </c>
      <c r="L517" s="253" t="s">
        <v>1756</v>
      </c>
      <c r="M517" s="366">
        <v>84.53</v>
      </c>
      <c r="N517" s="366">
        <v>1005.9699999999999</v>
      </c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 spans="1:26" ht="15.75" customHeight="1">
      <c r="A518" s="268"/>
      <c r="B518" s="268" t="str">
        <f t="shared" ref="B518:B570" si="4">IF(ISBLANK(C518),B517,C518)</f>
        <v>Supplies</v>
      </c>
      <c r="C518" s="252"/>
      <c r="D518" s="253" t="s">
        <v>1593</v>
      </c>
      <c r="E518" s="375">
        <f t="shared" si="3"/>
        <v>46142</v>
      </c>
      <c r="F518" s="253" t="s">
        <v>342</v>
      </c>
      <c r="G518" s="253" t="s">
        <v>344</v>
      </c>
      <c r="H518" s="253" t="s">
        <v>2000</v>
      </c>
      <c r="I518" s="253" t="s">
        <v>344</v>
      </c>
      <c r="J518" s="253" t="s">
        <v>344</v>
      </c>
      <c r="K518" s="253" t="s">
        <v>2008</v>
      </c>
      <c r="L518" s="253" t="s">
        <v>1756</v>
      </c>
      <c r="M518" s="366">
        <v>53.71</v>
      </c>
      <c r="N518" s="366">
        <v>1059.6799999999998</v>
      </c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 spans="1:26" ht="15.75" customHeight="1">
      <c r="A519" s="268"/>
      <c r="B519" s="268" t="str">
        <f t="shared" si="4"/>
        <v>Supplies</v>
      </c>
      <c r="C519" s="252"/>
      <c r="D519" s="253" t="s">
        <v>1656</v>
      </c>
      <c r="E519" s="375">
        <f t="shared" ref="E519:E564" si="5">EOMONTH(D519,0)</f>
        <v>46142</v>
      </c>
      <c r="F519" s="253" t="s">
        <v>342</v>
      </c>
      <c r="G519" s="253" t="s">
        <v>344</v>
      </c>
      <c r="H519" s="253" t="s">
        <v>2000</v>
      </c>
      <c r="I519" s="253" t="s">
        <v>344</v>
      </c>
      <c r="J519" s="253" t="s">
        <v>344</v>
      </c>
      <c r="K519" s="253" t="s">
        <v>2009</v>
      </c>
      <c r="L519" s="253" t="s">
        <v>1756</v>
      </c>
      <c r="M519" s="366">
        <v>164.46</v>
      </c>
      <c r="N519" s="366">
        <v>1224.1399999999999</v>
      </c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 spans="1:26" ht="15.75" customHeight="1">
      <c r="A520" s="268"/>
      <c r="B520" s="268" t="str">
        <f t="shared" si="4"/>
        <v>Supplies</v>
      </c>
      <c r="C520" s="252"/>
      <c r="D520" s="253" t="s">
        <v>1734</v>
      </c>
      <c r="E520" s="375">
        <f t="shared" si="5"/>
        <v>46173</v>
      </c>
      <c r="F520" s="253" t="s">
        <v>342</v>
      </c>
      <c r="G520" s="253" t="s">
        <v>344</v>
      </c>
      <c r="H520" s="253" t="s">
        <v>344</v>
      </c>
      <c r="I520" s="253" t="s">
        <v>344</v>
      </c>
      <c r="J520" s="253" t="s">
        <v>344</v>
      </c>
      <c r="K520" s="253" t="s">
        <v>2010</v>
      </c>
      <c r="L520" s="253" t="s">
        <v>1756</v>
      </c>
      <c r="M520" s="366">
        <v>191.09</v>
      </c>
      <c r="N520" s="366">
        <v>1415.2299999999998</v>
      </c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 spans="1:26" ht="15.75" customHeight="1">
      <c r="A521" s="268"/>
      <c r="B521" s="268" t="str">
        <f t="shared" si="4"/>
        <v>Total for Supplies</v>
      </c>
      <c r="C521" s="367" t="s">
        <v>2011</v>
      </c>
      <c r="D521" s="252"/>
      <c r="E521" s="375">
        <f t="shared" si="5"/>
        <v>31</v>
      </c>
      <c r="F521" s="252"/>
      <c r="G521" s="252"/>
      <c r="H521" s="252"/>
      <c r="I521" s="252"/>
      <c r="J521" s="252"/>
      <c r="K521" s="252"/>
      <c r="L521" s="252"/>
      <c r="M521" s="368">
        <f>M511+M512+M513+M514+M515+M516+M517+M518+M519+M520</f>
        <v>1415.2299999999998</v>
      </c>
      <c r="N521" s="252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 spans="1:26" ht="15.75" customHeight="1">
      <c r="A522" s="268"/>
      <c r="B522" s="268" t="str">
        <f t="shared" si="4"/>
        <v>Telephone Expense</v>
      </c>
      <c r="C522" s="365" t="s">
        <v>1289</v>
      </c>
      <c r="D522" s="252"/>
      <c r="E522" s="375">
        <f t="shared" si="5"/>
        <v>31</v>
      </c>
      <c r="F522" s="252"/>
      <c r="G522" s="252"/>
      <c r="H522" s="252"/>
      <c r="I522" s="252"/>
      <c r="J522" s="252"/>
      <c r="K522" s="252"/>
      <c r="L522" s="252"/>
      <c r="M522" s="252"/>
      <c r="N522" s="252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 spans="1:26" ht="15.75" customHeight="1">
      <c r="A523" s="268"/>
      <c r="B523" s="268" t="str">
        <f t="shared" si="4"/>
        <v>Telephone Expense</v>
      </c>
      <c r="C523" s="252"/>
      <c r="D523" s="253" t="s">
        <v>1821</v>
      </c>
      <c r="E523" s="375">
        <f t="shared" si="5"/>
        <v>46053</v>
      </c>
      <c r="F523" s="253" t="s">
        <v>342</v>
      </c>
      <c r="G523" s="253" t="s">
        <v>344</v>
      </c>
      <c r="H523" s="253" t="s">
        <v>2012</v>
      </c>
      <c r="I523" s="253" t="s">
        <v>344</v>
      </c>
      <c r="J523" s="253" t="s">
        <v>344</v>
      </c>
      <c r="K523" s="253" t="s">
        <v>2013</v>
      </c>
      <c r="L523" s="253" t="s">
        <v>1756</v>
      </c>
      <c r="M523" s="366">
        <v>525.39</v>
      </c>
      <c r="N523" s="366">
        <v>525.39</v>
      </c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 spans="1:26" ht="15.75" customHeight="1">
      <c r="A524" s="268"/>
      <c r="B524" s="268" t="str">
        <f t="shared" si="4"/>
        <v>Telephone Expense</v>
      </c>
      <c r="C524" s="252"/>
      <c r="D524" s="253" t="s">
        <v>1430</v>
      </c>
      <c r="E524" s="375">
        <f t="shared" si="5"/>
        <v>46081</v>
      </c>
      <c r="F524" s="253" t="s">
        <v>342</v>
      </c>
      <c r="G524" s="253" t="s">
        <v>344</v>
      </c>
      <c r="H524" s="253" t="s">
        <v>2012</v>
      </c>
      <c r="I524" s="253" t="s">
        <v>344</v>
      </c>
      <c r="J524" s="253" t="s">
        <v>344</v>
      </c>
      <c r="K524" s="253" t="s">
        <v>2013</v>
      </c>
      <c r="L524" s="253" t="s">
        <v>1756</v>
      </c>
      <c r="M524" s="366">
        <v>477.96</v>
      </c>
      <c r="N524" s="366">
        <v>1003.3499999999999</v>
      </c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 spans="1:26" ht="15.75" customHeight="1">
      <c r="A525" s="268"/>
      <c r="B525" s="268" t="str">
        <f t="shared" si="4"/>
        <v>Telephone Expense</v>
      </c>
      <c r="C525" s="252"/>
      <c r="D525" s="253" t="s">
        <v>2014</v>
      </c>
      <c r="E525" s="375">
        <f t="shared" si="5"/>
        <v>46112</v>
      </c>
      <c r="F525" s="253" t="s">
        <v>342</v>
      </c>
      <c r="G525" s="253" t="s">
        <v>344</v>
      </c>
      <c r="H525" s="253" t="s">
        <v>2012</v>
      </c>
      <c r="I525" s="253" t="s">
        <v>344</v>
      </c>
      <c r="J525" s="253" t="s">
        <v>344</v>
      </c>
      <c r="K525" s="253" t="s">
        <v>2013</v>
      </c>
      <c r="L525" s="253" t="s">
        <v>1756</v>
      </c>
      <c r="M525" s="366">
        <v>693.52</v>
      </c>
      <c r="N525" s="366">
        <v>1696.87</v>
      </c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 spans="1:26" ht="15.75" customHeight="1">
      <c r="A526" s="268"/>
      <c r="B526" s="268" t="str">
        <f t="shared" si="4"/>
        <v>Telephone Expense</v>
      </c>
      <c r="C526" s="252"/>
      <c r="D526" s="253" t="s">
        <v>1829</v>
      </c>
      <c r="E526" s="375">
        <f t="shared" si="5"/>
        <v>46142</v>
      </c>
      <c r="F526" s="253" t="s">
        <v>342</v>
      </c>
      <c r="G526" s="253" t="s">
        <v>344</v>
      </c>
      <c r="H526" s="253" t="s">
        <v>2012</v>
      </c>
      <c r="I526" s="253" t="s">
        <v>344</v>
      </c>
      <c r="J526" s="253" t="s">
        <v>344</v>
      </c>
      <c r="K526" s="253" t="s">
        <v>2013</v>
      </c>
      <c r="L526" s="253" t="s">
        <v>1756</v>
      </c>
      <c r="M526" s="366">
        <v>570.91999999999996</v>
      </c>
      <c r="N526" s="366">
        <v>2267.79</v>
      </c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 spans="1:26" ht="15.75" customHeight="1">
      <c r="A527" s="268"/>
      <c r="B527" s="268" t="str">
        <f t="shared" si="4"/>
        <v>Total for Telephone Expense</v>
      </c>
      <c r="C527" s="367" t="s">
        <v>2015</v>
      </c>
      <c r="D527" s="252"/>
      <c r="E527" s="375">
        <f t="shared" si="5"/>
        <v>31</v>
      </c>
      <c r="F527" s="252"/>
      <c r="G527" s="252"/>
      <c r="H527" s="252"/>
      <c r="I527" s="252"/>
      <c r="J527" s="252"/>
      <c r="K527" s="252"/>
      <c r="L527" s="252"/>
      <c r="M527" s="368">
        <f>M523+M524+M525+M526</f>
        <v>2267.79</v>
      </c>
      <c r="N527" s="252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 spans="1:26" ht="15.75" customHeight="1">
      <c r="A528" s="268"/>
      <c r="B528" s="268" t="str">
        <f t="shared" si="4"/>
        <v>Trash Service</v>
      </c>
      <c r="C528" s="365" t="s">
        <v>1290</v>
      </c>
      <c r="D528" s="252"/>
      <c r="E528" s="375">
        <f t="shared" si="5"/>
        <v>31</v>
      </c>
      <c r="F528" s="252"/>
      <c r="G528" s="252"/>
      <c r="H528" s="252"/>
      <c r="I528" s="252"/>
      <c r="J528" s="252"/>
      <c r="K528" s="252"/>
      <c r="L528" s="252"/>
      <c r="M528" s="252"/>
      <c r="N528" s="252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 spans="1:26" ht="15.75" customHeight="1">
      <c r="A529" s="268"/>
      <c r="B529" s="268" t="str">
        <f t="shared" si="4"/>
        <v>Trash Service</v>
      </c>
      <c r="C529" s="252"/>
      <c r="D529" s="253" t="s">
        <v>1886</v>
      </c>
      <c r="E529" s="375">
        <f t="shared" si="5"/>
        <v>46142</v>
      </c>
      <c r="F529" s="253" t="s">
        <v>342</v>
      </c>
      <c r="G529" s="253" t="s">
        <v>344</v>
      </c>
      <c r="H529" s="253" t="s">
        <v>2016</v>
      </c>
      <c r="I529" s="253" t="s">
        <v>344</v>
      </c>
      <c r="J529" s="253" t="s">
        <v>344</v>
      </c>
      <c r="K529" s="253" t="s">
        <v>2017</v>
      </c>
      <c r="L529" s="253" t="s">
        <v>1756</v>
      </c>
      <c r="M529" s="366">
        <v>25.84</v>
      </c>
      <c r="N529" s="366">
        <v>25.84</v>
      </c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 spans="1:26" ht="15.75" customHeight="1">
      <c r="A530" s="268"/>
      <c r="B530" s="268" t="str">
        <f t="shared" si="4"/>
        <v>Trash Service</v>
      </c>
      <c r="C530" s="252"/>
      <c r="D530" s="253" t="s">
        <v>1707</v>
      </c>
      <c r="E530" s="375">
        <f t="shared" si="5"/>
        <v>46142</v>
      </c>
      <c r="F530" s="253" t="s">
        <v>342</v>
      </c>
      <c r="G530" s="253" t="s">
        <v>344</v>
      </c>
      <c r="H530" s="253" t="s">
        <v>2016</v>
      </c>
      <c r="I530" s="253" t="s">
        <v>344</v>
      </c>
      <c r="J530" s="253" t="s">
        <v>344</v>
      </c>
      <c r="K530" s="253" t="s">
        <v>2018</v>
      </c>
      <c r="L530" s="253" t="s">
        <v>1756</v>
      </c>
      <c r="M530" s="366">
        <v>46.95</v>
      </c>
      <c r="N530" s="366">
        <v>72.790000000000006</v>
      </c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 spans="1:26" ht="15.75" customHeight="1">
      <c r="A531" s="268"/>
      <c r="B531" s="268" t="str">
        <f t="shared" si="4"/>
        <v>Trash Service</v>
      </c>
      <c r="C531" s="252"/>
      <c r="D531" s="253" t="s">
        <v>1710</v>
      </c>
      <c r="E531" s="375">
        <f t="shared" si="5"/>
        <v>46173</v>
      </c>
      <c r="F531" s="253" t="s">
        <v>342</v>
      </c>
      <c r="G531" s="253" t="s">
        <v>344</v>
      </c>
      <c r="H531" s="253" t="s">
        <v>2016</v>
      </c>
      <c r="I531" s="253" t="s">
        <v>344</v>
      </c>
      <c r="J531" s="253" t="s">
        <v>344</v>
      </c>
      <c r="K531" s="253" t="s">
        <v>2019</v>
      </c>
      <c r="L531" s="253" t="s">
        <v>1756</v>
      </c>
      <c r="M531" s="366">
        <v>101.22</v>
      </c>
      <c r="N531" s="366">
        <v>174.01</v>
      </c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 spans="1:26" ht="15.75" customHeight="1">
      <c r="A532" s="268"/>
      <c r="B532" s="268" t="str">
        <f t="shared" si="4"/>
        <v>Total for Trash Service</v>
      </c>
      <c r="C532" s="367" t="s">
        <v>2020</v>
      </c>
      <c r="D532" s="252"/>
      <c r="E532" s="375">
        <f t="shared" si="5"/>
        <v>31</v>
      </c>
      <c r="F532" s="252"/>
      <c r="G532" s="252"/>
      <c r="H532" s="252"/>
      <c r="I532" s="252"/>
      <c r="J532" s="252"/>
      <c r="K532" s="252"/>
      <c r="L532" s="252"/>
      <c r="M532" s="368">
        <f>M529+M530+M531</f>
        <v>174.01</v>
      </c>
      <c r="N532" s="252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 spans="1:26" ht="15.75" customHeight="1">
      <c r="A533" s="268"/>
      <c r="B533" s="268" t="str">
        <f t="shared" si="4"/>
        <v>Utilities</v>
      </c>
      <c r="C533" s="365" t="s">
        <v>511</v>
      </c>
      <c r="D533" s="252"/>
      <c r="E533" s="375">
        <f t="shared" si="5"/>
        <v>31</v>
      </c>
      <c r="F533" s="252"/>
      <c r="G533" s="252"/>
      <c r="H533" s="252"/>
      <c r="I533" s="252"/>
      <c r="J533" s="252"/>
      <c r="K533" s="252"/>
      <c r="L533" s="252"/>
      <c r="M533" s="252"/>
      <c r="N533" s="252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 spans="1:26" ht="15.75" customHeight="1">
      <c r="A534" s="268"/>
      <c r="B534" s="268" t="str">
        <f t="shared" si="4"/>
        <v>Utilities</v>
      </c>
      <c r="C534" s="252"/>
      <c r="D534" s="253" t="s">
        <v>1347</v>
      </c>
      <c r="E534" s="375">
        <f t="shared" si="5"/>
        <v>46053</v>
      </c>
      <c r="F534" s="253" t="s">
        <v>342</v>
      </c>
      <c r="G534" s="253" t="s">
        <v>344</v>
      </c>
      <c r="H534" s="253" t="s">
        <v>2021</v>
      </c>
      <c r="I534" s="253" t="s">
        <v>344</v>
      </c>
      <c r="J534" s="253" t="s">
        <v>344</v>
      </c>
      <c r="K534" s="253" t="s">
        <v>2022</v>
      </c>
      <c r="L534" s="253" t="s">
        <v>1756</v>
      </c>
      <c r="M534" s="366">
        <v>1212.1199999999999</v>
      </c>
      <c r="N534" s="366">
        <v>1212.1199999999999</v>
      </c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 spans="1:26" ht="15.75" customHeight="1">
      <c r="A535" s="376" t="s">
        <v>1820</v>
      </c>
      <c r="B535" s="268" t="str">
        <f t="shared" si="4"/>
        <v>Utilities</v>
      </c>
      <c r="C535" s="252"/>
      <c r="D535" s="253" t="s">
        <v>1763</v>
      </c>
      <c r="E535" s="375">
        <f t="shared" si="5"/>
        <v>46053</v>
      </c>
      <c r="F535" s="253" t="s">
        <v>342</v>
      </c>
      <c r="G535" s="253" t="s">
        <v>344</v>
      </c>
      <c r="H535" s="253" t="s">
        <v>510</v>
      </c>
      <c r="I535" s="253" t="s">
        <v>344</v>
      </c>
      <c r="J535" s="253" t="s">
        <v>344</v>
      </c>
      <c r="K535" s="253" t="s">
        <v>2023</v>
      </c>
      <c r="L535" s="253" t="s">
        <v>1756</v>
      </c>
      <c r="M535" s="366">
        <v>105.36</v>
      </c>
      <c r="N535" s="366">
        <v>1317.4799999999998</v>
      </c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 spans="1:26" ht="15.75" customHeight="1">
      <c r="A536" s="268"/>
      <c r="B536" s="268" t="str">
        <f t="shared" si="4"/>
        <v>Utilities</v>
      </c>
      <c r="C536" s="252"/>
      <c r="D536" s="253" t="s">
        <v>1821</v>
      </c>
      <c r="E536" s="375">
        <f t="shared" si="5"/>
        <v>46053</v>
      </c>
      <c r="F536" s="253" t="s">
        <v>342</v>
      </c>
      <c r="G536" s="253" t="s">
        <v>344</v>
      </c>
      <c r="H536" s="253" t="s">
        <v>1834</v>
      </c>
      <c r="I536" s="253" t="s">
        <v>344</v>
      </c>
      <c r="J536" s="253" t="s">
        <v>344</v>
      </c>
      <c r="K536" s="253" t="s">
        <v>2024</v>
      </c>
      <c r="L536" s="253" t="s">
        <v>1756</v>
      </c>
      <c r="M536" s="366">
        <v>241.93</v>
      </c>
      <c r="N536" s="366">
        <v>1559.4099999999999</v>
      </c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 spans="1:26" ht="15.75" customHeight="1">
      <c r="A537" s="268"/>
      <c r="B537" s="268" t="str">
        <f t="shared" si="4"/>
        <v>Utilities</v>
      </c>
      <c r="C537" s="252"/>
      <c r="D537" s="253" t="s">
        <v>1821</v>
      </c>
      <c r="E537" s="375">
        <f t="shared" si="5"/>
        <v>46053</v>
      </c>
      <c r="F537" s="253" t="s">
        <v>342</v>
      </c>
      <c r="G537" s="253" t="s">
        <v>344</v>
      </c>
      <c r="H537" s="253" t="s">
        <v>1834</v>
      </c>
      <c r="I537" s="253" t="s">
        <v>344</v>
      </c>
      <c r="J537" s="253" t="s">
        <v>344</v>
      </c>
      <c r="K537" s="253" t="s">
        <v>2025</v>
      </c>
      <c r="L537" s="253" t="s">
        <v>1756</v>
      </c>
      <c r="M537" s="366">
        <v>215.1</v>
      </c>
      <c r="N537" s="366">
        <v>1774.5099999999998</v>
      </c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 spans="1:26" ht="15.75" customHeight="1">
      <c r="A538" s="376" t="s">
        <v>1820</v>
      </c>
      <c r="B538" s="268" t="str">
        <f t="shared" si="4"/>
        <v>Utilities</v>
      </c>
      <c r="C538" s="252"/>
      <c r="D538" s="253" t="s">
        <v>1772</v>
      </c>
      <c r="E538" s="375">
        <f t="shared" si="5"/>
        <v>46081</v>
      </c>
      <c r="F538" s="253" t="s">
        <v>342</v>
      </c>
      <c r="G538" s="253" t="s">
        <v>344</v>
      </c>
      <c r="H538" s="253" t="s">
        <v>510</v>
      </c>
      <c r="I538" s="253" t="s">
        <v>344</v>
      </c>
      <c r="J538" s="253" t="s">
        <v>344</v>
      </c>
      <c r="K538" s="253" t="s">
        <v>2026</v>
      </c>
      <c r="L538" s="253" t="s">
        <v>1756</v>
      </c>
      <c r="M538" s="366">
        <v>1668.18</v>
      </c>
      <c r="N538" s="366">
        <v>3442.6899999999996</v>
      </c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 spans="1:26" ht="15.75" customHeight="1">
      <c r="A539" s="268"/>
      <c r="B539" s="268" t="str">
        <f t="shared" si="4"/>
        <v>Utilities</v>
      </c>
      <c r="C539" s="252"/>
      <c r="D539" s="253" t="s">
        <v>1430</v>
      </c>
      <c r="E539" s="375">
        <f t="shared" si="5"/>
        <v>46081</v>
      </c>
      <c r="F539" s="253" t="s">
        <v>342</v>
      </c>
      <c r="G539" s="253" t="s">
        <v>344</v>
      </c>
      <c r="H539" s="253" t="s">
        <v>2027</v>
      </c>
      <c r="I539" s="253" t="s">
        <v>344</v>
      </c>
      <c r="J539" s="253" t="s">
        <v>344</v>
      </c>
      <c r="K539" s="253" t="s">
        <v>2028</v>
      </c>
      <c r="L539" s="253" t="s">
        <v>1756</v>
      </c>
      <c r="M539" s="366">
        <v>32.130000000000003</v>
      </c>
      <c r="N539" s="366">
        <v>3474.8199999999997</v>
      </c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 spans="1:26" ht="15.75" customHeight="1">
      <c r="A540" s="268"/>
      <c r="B540" s="268" t="str">
        <f t="shared" si="4"/>
        <v>Utilities</v>
      </c>
      <c r="C540" s="252"/>
      <c r="D540" s="253" t="s">
        <v>1430</v>
      </c>
      <c r="E540" s="375">
        <f t="shared" si="5"/>
        <v>46081</v>
      </c>
      <c r="F540" s="253" t="s">
        <v>342</v>
      </c>
      <c r="G540" s="253" t="s">
        <v>344</v>
      </c>
      <c r="H540" s="253" t="s">
        <v>2021</v>
      </c>
      <c r="I540" s="253" t="s">
        <v>344</v>
      </c>
      <c r="J540" s="253" t="s">
        <v>344</v>
      </c>
      <c r="K540" s="253" t="s">
        <v>2029</v>
      </c>
      <c r="L540" s="253" t="s">
        <v>1756</v>
      </c>
      <c r="M540" s="366">
        <v>1411.11</v>
      </c>
      <c r="N540" s="366">
        <v>4885.9299999999994</v>
      </c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 spans="1:26" ht="15.75" customHeight="1">
      <c r="A541" s="268"/>
      <c r="B541" s="268" t="str">
        <f t="shared" si="4"/>
        <v>Utilities</v>
      </c>
      <c r="C541" s="252"/>
      <c r="D541" s="253" t="s">
        <v>1477</v>
      </c>
      <c r="E541" s="375">
        <f t="shared" si="5"/>
        <v>46112</v>
      </c>
      <c r="F541" s="253" t="s">
        <v>342</v>
      </c>
      <c r="G541" s="253" t="s">
        <v>344</v>
      </c>
      <c r="H541" s="253" t="s">
        <v>1834</v>
      </c>
      <c r="I541" s="253" t="s">
        <v>344</v>
      </c>
      <c r="J541" s="253" t="s">
        <v>344</v>
      </c>
      <c r="K541" s="253" t="s">
        <v>2030</v>
      </c>
      <c r="L541" s="253" t="s">
        <v>1756</v>
      </c>
      <c r="M541" s="366">
        <v>188.71</v>
      </c>
      <c r="N541" s="366">
        <v>5074.6399999999994</v>
      </c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 spans="1:26" ht="15.75" customHeight="1">
      <c r="A542" s="268"/>
      <c r="B542" s="268" t="str">
        <f t="shared" si="4"/>
        <v>Utilities</v>
      </c>
      <c r="C542" s="252"/>
      <c r="D542" s="253" t="s">
        <v>1554</v>
      </c>
      <c r="E542" s="375">
        <f t="shared" si="5"/>
        <v>46112</v>
      </c>
      <c r="F542" s="253" t="s">
        <v>342</v>
      </c>
      <c r="G542" s="253" t="s">
        <v>344</v>
      </c>
      <c r="H542" s="253" t="s">
        <v>2021</v>
      </c>
      <c r="I542" s="253" t="s">
        <v>344</v>
      </c>
      <c r="J542" s="253" t="s">
        <v>344</v>
      </c>
      <c r="K542" s="253" t="s">
        <v>2031</v>
      </c>
      <c r="L542" s="253" t="s">
        <v>1756</v>
      </c>
      <c r="M542" s="366">
        <v>1587.97</v>
      </c>
      <c r="N542" s="366">
        <v>6662.61</v>
      </c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 spans="1:26" ht="15.75" customHeight="1">
      <c r="A543" s="376" t="s">
        <v>1820</v>
      </c>
      <c r="B543" s="268" t="str">
        <f t="shared" si="4"/>
        <v>Utilities</v>
      </c>
      <c r="C543" s="252"/>
      <c r="D543" s="253" t="s">
        <v>1554</v>
      </c>
      <c r="E543" s="375">
        <f t="shared" si="5"/>
        <v>46112</v>
      </c>
      <c r="F543" s="253" t="s">
        <v>342</v>
      </c>
      <c r="G543" s="253" t="s">
        <v>344</v>
      </c>
      <c r="H543" s="253" t="s">
        <v>510</v>
      </c>
      <c r="I543" s="253" t="s">
        <v>344</v>
      </c>
      <c r="J543" s="253" t="s">
        <v>344</v>
      </c>
      <c r="K543" s="253" t="s">
        <v>2032</v>
      </c>
      <c r="L543" s="253" t="s">
        <v>1756</v>
      </c>
      <c r="M543" s="366">
        <v>789.41</v>
      </c>
      <c r="N543" s="366">
        <v>7452.0199999999995</v>
      </c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 spans="1:26" ht="15.75" customHeight="1">
      <c r="A544" s="268"/>
      <c r="B544" s="268" t="str">
        <f t="shared" si="4"/>
        <v>Utilities</v>
      </c>
      <c r="C544" s="252"/>
      <c r="D544" s="253" t="s">
        <v>1554</v>
      </c>
      <c r="E544" s="375">
        <f t="shared" si="5"/>
        <v>46112</v>
      </c>
      <c r="F544" s="253" t="s">
        <v>342</v>
      </c>
      <c r="G544" s="253" t="s">
        <v>344</v>
      </c>
      <c r="H544" s="253" t="s">
        <v>2027</v>
      </c>
      <c r="I544" s="253" t="s">
        <v>344</v>
      </c>
      <c r="J544" s="253" t="s">
        <v>344</v>
      </c>
      <c r="K544" s="253" t="s">
        <v>2033</v>
      </c>
      <c r="L544" s="253" t="s">
        <v>1756</v>
      </c>
      <c r="M544" s="366">
        <v>32.130000000000003</v>
      </c>
      <c r="N544" s="366">
        <v>7484.15</v>
      </c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 spans="1:26" ht="15.75" customHeight="1">
      <c r="A545" s="268"/>
      <c r="B545" s="268" t="str">
        <f t="shared" si="4"/>
        <v>Utilities</v>
      </c>
      <c r="C545" s="252"/>
      <c r="D545" s="253" t="s">
        <v>1571</v>
      </c>
      <c r="E545" s="375">
        <f t="shared" si="5"/>
        <v>46112</v>
      </c>
      <c r="F545" s="253" t="s">
        <v>342</v>
      </c>
      <c r="G545" s="253" t="s">
        <v>344</v>
      </c>
      <c r="H545" s="253" t="s">
        <v>1834</v>
      </c>
      <c r="I545" s="253" t="s">
        <v>344</v>
      </c>
      <c r="J545" s="253" t="s">
        <v>344</v>
      </c>
      <c r="K545" s="253" t="s">
        <v>2034</v>
      </c>
      <c r="L545" s="253" t="s">
        <v>1756</v>
      </c>
      <c r="M545" s="366">
        <v>194.9</v>
      </c>
      <c r="N545" s="366">
        <v>7679.0499999999993</v>
      </c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 spans="1:26" ht="15.75" customHeight="1">
      <c r="A546" s="268"/>
      <c r="B546" s="268" t="str">
        <f t="shared" si="4"/>
        <v>Utilities</v>
      </c>
      <c r="C546" s="252"/>
      <c r="D546" s="253" t="s">
        <v>1656</v>
      </c>
      <c r="E546" s="375">
        <f t="shared" si="5"/>
        <v>46142</v>
      </c>
      <c r="F546" s="253" t="s">
        <v>342</v>
      </c>
      <c r="G546" s="253" t="s">
        <v>344</v>
      </c>
      <c r="H546" s="253" t="s">
        <v>1834</v>
      </c>
      <c r="I546" s="253" t="s">
        <v>344</v>
      </c>
      <c r="J546" s="253" t="s">
        <v>344</v>
      </c>
      <c r="K546" s="253" t="s">
        <v>2035</v>
      </c>
      <c r="L546" s="253" t="s">
        <v>1756</v>
      </c>
      <c r="M546" s="366">
        <v>227.06</v>
      </c>
      <c r="N546" s="366">
        <v>7906.11</v>
      </c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 spans="1:26" ht="15.75" customHeight="1">
      <c r="A547" s="268"/>
      <c r="B547" s="268" t="str">
        <f t="shared" si="4"/>
        <v>Utilities</v>
      </c>
      <c r="C547" s="252"/>
      <c r="D547" s="253" t="s">
        <v>1659</v>
      </c>
      <c r="E547" s="375">
        <f t="shared" si="5"/>
        <v>46142</v>
      </c>
      <c r="F547" s="253" t="s">
        <v>342</v>
      </c>
      <c r="G547" s="253" t="s">
        <v>344</v>
      </c>
      <c r="H547" s="253" t="s">
        <v>2027</v>
      </c>
      <c r="I547" s="253" t="s">
        <v>344</v>
      </c>
      <c r="J547" s="253" t="s">
        <v>344</v>
      </c>
      <c r="K547" s="253" t="s">
        <v>2036</v>
      </c>
      <c r="L547" s="253" t="s">
        <v>1756</v>
      </c>
      <c r="M547" s="366">
        <v>32.130000000000003</v>
      </c>
      <c r="N547" s="366">
        <v>7938.24</v>
      </c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 spans="1:26" ht="15.75" customHeight="1">
      <c r="A548" s="268"/>
      <c r="B548" s="268" t="str">
        <f t="shared" si="4"/>
        <v>Utilities</v>
      </c>
      <c r="C548" s="252"/>
      <c r="D548" s="253" t="s">
        <v>1659</v>
      </c>
      <c r="E548" s="375">
        <f t="shared" si="5"/>
        <v>46142</v>
      </c>
      <c r="F548" s="253" t="s">
        <v>342</v>
      </c>
      <c r="G548" s="253" t="s">
        <v>344</v>
      </c>
      <c r="H548" s="253" t="s">
        <v>2021</v>
      </c>
      <c r="I548" s="253" t="s">
        <v>344</v>
      </c>
      <c r="J548" s="253" t="s">
        <v>344</v>
      </c>
      <c r="K548" s="253" t="s">
        <v>2037</v>
      </c>
      <c r="L548" s="253" t="s">
        <v>1756</v>
      </c>
      <c r="M548" s="366">
        <v>825.2</v>
      </c>
      <c r="N548" s="366">
        <v>8763.44</v>
      </c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 spans="1:26" ht="15.75" customHeight="1">
      <c r="A549" s="268"/>
      <c r="B549" s="268" t="str">
        <f t="shared" si="4"/>
        <v>Utilities</v>
      </c>
      <c r="C549" s="252"/>
      <c r="D549" s="253" t="s">
        <v>1891</v>
      </c>
      <c r="E549" s="375">
        <f t="shared" si="5"/>
        <v>46142</v>
      </c>
      <c r="F549" s="253" t="s">
        <v>342</v>
      </c>
      <c r="G549" s="253" t="s">
        <v>344</v>
      </c>
      <c r="H549" s="253" t="s">
        <v>2021</v>
      </c>
      <c r="I549" s="253" t="s">
        <v>344</v>
      </c>
      <c r="J549" s="253" t="s">
        <v>344</v>
      </c>
      <c r="K549" s="253" t="s">
        <v>2038</v>
      </c>
      <c r="L549" s="253" t="s">
        <v>1756</v>
      </c>
      <c r="M549" s="366">
        <v>1.32</v>
      </c>
      <c r="N549" s="366">
        <v>8764.76</v>
      </c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 spans="1:26" ht="15.75" customHeight="1">
      <c r="A550" s="268"/>
      <c r="B550" s="268" t="str">
        <f t="shared" si="4"/>
        <v>Utilities</v>
      </c>
      <c r="C550" s="252"/>
      <c r="D550" s="253" t="s">
        <v>1891</v>
      </c>
      <c r="E550" s="375">
        <f t="shared" si="5"/>
        <v>46142</v>
      </c>
      <c r="F550" s="253" t="s">
        <v>342</v>
      </c>
      <c r="G550" s="253" t="s">
        <v>344</v>
      </c>
      <c r="H550" s="253" t="s">
        <v>2021</v>
      </c>
      <c r="I550" s="253" t="s">
        <v>344</v>
      </c>
      <c r="J550" s="253" t="s">
        <v>344</v>
      </c>
      <c r="K550" s="253" t="s">
        <v>2039</v>
      </c>
      <c r="L550" s="253" t="s">
        <v>1756</v>
      </c>
      <c r="M550" s="366">
        <v>55</v>
      </c>
      <c r="N550" s="366">
        <v>8819.76</v>
      </c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 spans="1:26" ht="15.75" customHeight="1">
      <c r="A551" s="268"/>
      <c r="B551" s="268" t="str">
        <f t="shared" si="4"/>
        <v>Utilities</v>
      </c>
      <c r="C551" s="252"/>
      <c r="D551" s="253" t="s">
        <v>1911</v>
      </c>
      <c r="E551" s="375">
        <f t="shared" si="5"/>
        <v>46173</v>
      </c>
      <c r="F551" s="253" t="s">
        <v>342</v>
      </c>
      <c r="G551" s="253" t="s">
        <v>344</v>
      </c>
      <c r="H551" s="253" t="s">
        <v>2021</v>
      </c>
      <c r="I551" s="253" t="s">
        <v>344</v>
      </c>
      <c r="J551" s="253" t="s">
        <v>344</v>
      </c>
      <c r="K551" s="253" t="s">
        <v>2040</v>
      </c>
      <c r="L551" s="253" t="s">
        <v>1756</v>
      </c>
      <c r="M551" s="366">
        <v>899.88</v>
      </c>
      <c r="N551" s="366">
        <v>9719.64</v>
      </c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 spans="1:26" ht="15.75" customHeight="1">
      <c r="A552" s="376" t="s">
        <v>1820</v>
      </c>
      <c r="B552" s="268" t="str">
        <f t="shared" si="4"/>
        <v>Utilities</v>
      </c>
      <c r="C552" s="252"/>
      <c r="D552" s="253" t="s">
        <v>1911</v>
      </c>
      <c r="E552" s="375">
        <f t="shared" si="5"/>
        <v>46173</v>
      </c>
      <c r="F552" s="253" t="s">
        <v>342</v>
      </c>
      <c r="G552" s="253" t="s">
        <v>344</v>
      </c>
      <c r="H552" s="253" t="s">
        <v>510</v>
      </c>
      <c r="I552" s="253" t="s">
        <v>344</v>
      </c>
      <c r="J552" s="253" t="s">
        <v>344</v>
      </c>
      <c r="K552" s="253" t="s">
        <v>2041</v>
      </c>
      <c r="L552" s="253" t="s">
        <v>1756</v>
      </c>
      <c r="M552" s="366">
        <v>326.32</v>
      </c>
      <c r="N552" s="366">
        <v>10045.959999999999</v>
      </c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 spans="1:26" ht="15.75" customHeight="1">
      <c r="A553" s="268"/>
      <c r="B553" s="268" t="str">
        <f t="shared" si="4"/>
        <v>Utilities</v>
      </c>
      <c r="C553" s="252"/>
      <c r="D553" s="253" t="s">
        <v>1911</v>
      </c>
      <c r="E553" s="375">
        <f t="shared" si="5"/>
        <v>46173</v>
      </c>
      <c r="F553" s="253" t="s">
        <v>342</v>
      </c>
      <c r="G553" s="253" t="s">
        <v>344</v>
      </c>
      <c r="H553" s="253" t="s">
        <v>2027</v>
      </c>
      <c r="I553" s="253" t="s">
        <v>344</v>
      </c>
      <c r="J553" s="253" t="s">
        <v>344</v>
      </c>
      <c r="K553" s="253" t="s">
        <v>2042</v>
      </c>
      <c r="L553" s="253" t="s">
        <v>1756</v>
      </c>
      <c r="M553" s="366">
        <v>32.130000000000003</v>
      </c>
      <c r="N553" s="366">
        <v>10078.089999999998</v>
      </c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 spans="1:26" ht="15.75" customHeight="1">
      <c r="A554" s="268"/>
      <c r="B554" s="268" t="str">
        <f t="shared" si="4"/>
        <v>Total for Utilities</v>
      </c>
      <c r="C554" s="367" t="s">
        <v>2043</v>
      </c>
      <c r="D554" s="252"/>
      <c r="E554" s="375">
        <f t="shared" si="5"/>
        <v>31</v>
      </c>
      <c r="F554" s="252"/>
      <c r="G554" s="252"/>
      <c r="H554" s="252"/>
      <c r="I554" s="252"/>
      <c r="J554" s="252"/>
      <c r="K554" s="252"/>
      <c r="L554" s="252"/>
      <c r="M554" s="368">
        <f>M534+M535+M536+M537+M538+M539+M540+M541+M542+M543+M544+M545+M546+M547+M548+M549+M550+M551+M552+M553</f>
        <v>10078.089999999998</v>
      </c>
      <c r="N554" s="252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 spans="1:26" ht="15.75" customHeight="1">
      <c r="A555" s="268"/>
      <c r="B555" s="268" t="str">
        <f t="shared" si="4"/>
        <v>Window Cleaning</v>
      </c>
      <c r="C555" s="365" t="s">
        <v>1293</v>
      </c>
      <c r="D555" s="252"/>
      <c r="E555" s="375">
        <f t="shared" si="5"/>
        <v>31</v>
      </c>
      <c r="F555" s="252"/>
      <c r="G555" s="252"/>
      <c r="H555" s="252"/>
      <c r="I555" s="252"/>
      <c r="J555" s="252"/>
      <c r="K555" s="252"/>
      <c r="L555" s="252"/>
      <c r="M555" s="252"/>
      <c r="N555" s="252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 spans="1:26" ht="15.75" customHeight="1">
      <c r="A556" s="268"/>
      <c r="B556" s="268" t="str">
        <f t="shared" si="4"/>
        <v>Window Cleaning</v>
      </c>
      <c r="C556" s="252"/>
      <c r="D556" s="253" t="s">
        <v>1321</v>
      </c>
      <c r="E556" s="375">
        <f t="shared" si="5"/>
        <v>46053</v>
      </c>
      <c r="F556" s="253" t="s">
        <v>342</v>
      </c>
      <c r="G556" s="253" t="s">
        <v>344</v>
      </c>
      <c r="H556" s="253" t="s">
        <v>2044</v>
      </c>
      <c r="I556" s="253" t="s">
        <v>344</v>
      </c>
      <c r="J556" s="253" t="s">
        <v>344</v>
      </c>
      <c r="K556" s="253" t="s">
        <v>2045</v>
      </c>
      <c r="L556" s="253" t="s">
        <v>1756</v>
      </c>
      <c r="M556" s="366">
        <v>600</v>
      </c>
      <c r="N556" s="366">
        <v>600</v>
      </c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 spans="1:26" ht="15.75" customHeight="1">
      <c r="A557" s="268"/>
      <c r="B557" s="268" t="str">
        <f t="shared" si="4"/>
        <v>Window Cleaning</v>
      </c>
      <c r="C557" s="252"/>
      <c r="D557" s="253" t="s">
        <v>2046</v>
      </c>
      <c r="E557" s="375">
        <f t="shared" si="5"/>
        <v>46081</v>
      </c>
      <c r="F557" s="253" t="s">
        <v>342</v>
      </c>
      <c r="G557" s="253" t="s">
        <v>344</v>
      </c>
      <c r="H557" s="253" t="s">
        <v>2044</v>
      </c>
      <c r="I557" s="253" t="s">
        <v>344</v>
      </c>
      <c r="J557" s="253" t="s">
        <v>344</v>
      </c>
      <c r="K557" s="253" t="s">
        <v>2047</v>
      </c>
      <c r="L557" s="253" t="s">
        <v>1756</v>
      </c>
      <c r="M557" s="366">
        <v>600</v>
      </c>
      <c r="N557" s="366">
        <v>1200</v>
      </c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 spans="1:26" ht="15.75" customHeight="1">
      <c r="A558" s="268"/>
      <c r="B558" s="268" t="str">
        <f t="shared" si="4"/>
        <v>Window Cleaning</v>
      </c>
      <c r="C558" s="252"/>
      <c r="D558" s="253" t="s">
        <v>1656</v>
      </c>
      <c r="E558" s="375">
        <f t="shared" si="5"/>
        <v>46142</v>
      </c>
      <c r="F558" s="253" t="s">
        <v>342</v>
      </c>
      <c r="G558" s="253" t="s">
        <v>344</v>
      </c>
      <c r="H558" s="253" t="s">
        <v>2044</v>
      </c>
      <c r="I558" s="253" t="s">
        <v>344</v>
      </c>
      <c r="J558" s="253" t="s">
        <v>344</v>
      </c>
      <c r="K558" s="253" t="s">
        <v>2048</v>
      </c>
      <c r="L558" s="253" t="s">
        <v>1756</v>
      </c>
      <c r="M558" s="366">
        <v>600</v>
      </c>
      <c r="N558" s="366">
        <v>1800</v>
      </c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 spans="1:26" ht="15.75" customHeight="1">
      <c r="A559" s="268"/>
      <c r="B559" s="268" t="str">
        <f t="shared" si="4"/>
        <v>Total for Window Cleaning</v>
      </c>
      <c r="C559" s="367" t="s">
        <v>2049</v>
      </c>
      <c r="D559" s="252"/>
      <c r="E559" s="375">
        <f t="shared" si="5"/>
        <v>31</v>
      </c>
      <c r="F559" s="252"/>
      <c r="G559" s="252"/>
      <c r="H559" s="252"/>
      <c r="I559" s="252"/>
      <c r="J559" s="252"/>
      <c r="K559" s="252"/>
      <c r="L559" s="252"/>
      <c r="M559" s="368">
        <f>M556+M557+M558</f>
        <v>1800</v>
      </c>
      <c r="N559" s="252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 spans="1:26" ht="15.75" customHeight="1">
      <c r="A560" s="268"/>
      <c r="B560" s="268" t="str">
        <f t="shared" si="4"/>
        <v>Total for Expenses with sub-accounts</v>
      </c>
      <c r="C560" s="367" t="s">
        <v>2050</v>
      </c>
      <c r="D560" s="252"/>
      <c r="E560" s="375">
        <f t="shared" si="5"/>
        <v>31</v>
      </c>
      <c r="F560" s="252"/>
      <c r="G560" s="252"/>
      <c r="H560" s="252"/>
      <c r="I560" s="252"/>
      <c r="J560" s="252"/>
      <c r="K560" s="252"/>
      <c r="L560" s="252"/>
      <c r="M560" s="368">
        <f>M291+M321+M329+M334+M337+M345+M402+M407+M412+M461+M468+M471+M480+M489+M509+M521+M527+M532+M554+M559</f>
        <v>373235.36</v>
      </c>
      <c r="N560" s="252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 spans="1:26" ht="15.75" customHeight="1">
      <c r="A561" s="268"/>
      <c r="B561" s="268" t="str">
        <f t="shared" si="4"/>
        <v>Net Ordinary Income</v>
      </c>
      <c r="C561" s="367" t="s">
        <v>2051</v>
      </c>
      <c r="D561" s="252"/>
      <c r="E561" s="375">
        <f t="shared" si="5"/>
        <v>31</v>
      </c>
      <c r="F561" s="252"/>
      <c r="G561" s="252"/>
      <c r="H561" s="252"/>
      <c r="I561" s="252"/>
      <c r="J561" s="252"/>
      <c r="K561" s="252"/>
      <c r="L561" s="252"/>
      <c r="M561" s="368">
        <v>202179.27000000002</v>
      </c>
      <c r="N561" s="252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 spans="1:26" ht="15.75" customHeight="1">
      <c r="A562" s="268"/>
      <c r="B562" s="268" t="str">
        <f t="shared" si="4"/>
        <v>Other Income/Expense</v>
      </c>
      <c r="C562" s="365" t="s">
        <v>2052</v>
      </c>
      <c r="D562" s="252"/>
      <c r="E562" s="375">
        <f t="shared" si="5"/>
        <v>31</v>
      </c>
      <c r="F562" s="252"/>
      <c r="G562" s="252"/>
      <c r="H562" s="252"/>
      <c r="I562" s="252"/>
      <c r="J562" s="252"/>
      <c r="K562" s="252"/>
      <c r="L562" s="252"/>
      <c r="M562" s="252"/>
      <c r="N562" s="252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 spans="1:26" ht="15.75" customHeight="1">
      <c r="A563" s="268"/>
      <c r="B563" s="268" t="str">
        <f t="shared" si="4"/>
        <v>Other Income/Expense</v>
      </c>
      <c r="C563" s="252"/>
      <c r="D563" s="253" t="s">
        <v>2053</v>
      </c>
      <c r="E563" s="375" t="e">
        <f t="shared" si="5"/>
        <v>#VALUE!</v>
      </c>
      <c r="F563" s="252"/>
      <c r="G563" s="252"/>
      <c r="H563" s="252"/>
      <c r="I563" s="252"/>
      <c r="J563" s="252"/>
      <c r="K563" s="252"/>
      <c r="L563" s="252"/>
      <c r="M563" s="253"/>
      <c r="N563" s="252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 spans="1:26" ht="15.75" customHeight="1">
      <c r="A564" s="268"/>
      <c r="B564" s="268" t="str">
        <f t="shared" si="4"/>
        <v>Other Income/Expense</v>
      </c>
      <c r="C564" s="252"/>
      <c r="D564" s="253" t="s">
        <v>2054</v>
      </c>
      <c r="E564" s="375" t="e">
        <f t="shared" si="5"/>
        <v>#VALUE!</v>
      </c>
      <c r="F564" s="252"/>
      <c r="G564" s="252"/>
      <c r="H564" s="252"/>
      <c r="I564" s="252"/>
      <c r="J564" s="252"/>
      <c r="K564" s="252"/>
      <c r="L564" s="252"/>
      <c r="M564" s="253"/>
      <c r="N564" s="252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 spans="1:26" ht="15.75" customHeight="1">
      <c r="A565" s="268"/>
      <c r="B565" s="268" t="str">
        <f t="shared" si="4"/>
        <v>Net Other Income</v>
      </c>
      <c r="C565" s="367" t="s">
        <v>1306</v>
      </c>
      <c r="D565" s="252"/>
      <c r="E565" s="252"/>
      <c r="F565" s="252"/>
      <c r="G565" s="252"/>
      <c r="H565" s="252"/>
      <c r="I565" s="252"/>
      <c r="J565" s="252"/>
      <c r="K565" s="252"/>
      <c r="L565" s="252"/>
      <c r="M565" s="377">
        <f>M562+M563+M564</f>
        <v>0</v>
      </c>
      <c r="N565" s="252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 spans="1:26" ht="15.75" customHeight="1">
      <c r="A566" s="268"/>
      <c r="B566" s="268" t="str">
        <f t="shared" si="4"/>
        <v>Net Income</v>
      </c>
      <c r="C566" s="367" t="s">
        <v>1307</v>
      </c>
      <c r="D566" s="252"/>
      <c r="E566" s="252"/>
      <c r="F566" s="252"/>
      <c r="G566" s="252"/>
      <c r="H566" s="252"/>
      <c r="I566" s="252"/>
      <c r="J566" s="252"/>
      <c r="K566" s="252"/>
      <c r="L566" s="252"/>
      <c r="M566" s="368">
        <v>202179.27000000002</v>
      </c>
      <c r="N566" s="252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 spans="1:26" ht="15.75" customHeight="1">
      <c r="A567" s="268"/>
      <c r="B567" s="268" t="str">
        <f t="shared" si="4"/>
        <v>Net Income</v>
      </c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 spans="1:26" ht="15.75" customHeight="1">
      <c r="A568" s="268"/>
      <c r="B568" s="268" t="str">
        <f t="shared" si="4"/>
        <v>Net Income</v>
      </c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 spans="1:26" ht="15.75" customHeight="1">
      <c r="A569" s="268"/>
      <c r="B569" s="268" t="str">
        <f t="shared" si="4"/>
        <v>Net Income</v>
      </c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 spans="1:26" ht="15.75" customHeight="1">
      <c r="A570" s="268"/>
      <c r="B570" s="268" t="str">
        <f t="shared" si="4"/>
        <v>Net Income</v>
      </c>
      <c r="C570" s="374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 spans="1:26" ht="15.75" customHeight="1">
      <c r="A571" s="268"/>
      <c r="B571" s="268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 spans="1:26" ht="15.75" customHeight="1">
      <c r="A572" s="268"/>
      <c r="B572" s="268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 spans="1:26" ht="15.75" customHeight="1">
      <c r="A573" s="268"/>
      <c r="B573" s="268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 spans="1:26" ht="15.75" customHeight="1">
      <c r="A574" s="268"/>
      <c r="B574" s="268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 spans="1:26" ht="15.75" customHeight="1">
      <c r="A575" s="268"/>
      <c r="B575" s="268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 spans="1:26" ht="15.75" customHeight="1">
      <c r="A576" s="268"/>
      <c r="B576" s="268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 spans="1:26" ht="15.75" customHeight="1">
      <c r="A577" s="268"/>
      <c r="B577" s="268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 spans="1:26" ht="15.75" customHeight="1">
      <c r="A578" s="268"/>
      <c r="B578" s="268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 spans="1:26" ht="15.75" customHeight="1">
      <c r="A579" s="268"/>
      <c r="B579" s="268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 spans="1:26" ht="15.75" customHeight="1">
      <c r="A580" s="268"/>
      <c r="B580" s="268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 spans="1:26" ht="15.75" customHeight="1">
      <c r="A581" s="268"/>
      <c r="B581" s="268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 spans="1:26" ht="15.75" customHeight="1">
      <c r="A582" s="268"/>
      <c r="B582" s="268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 spans="1:26" ht="15.75" customHeight="1">
      <c r="A583" s="268"/>
      <c r="B583" s="268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 spans="1:26" ht="15.75" customHeight="1">
      <c r="A584" s="268"/>
      <c r="B584" s="268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 spans="1:26" ht="15.75" customHeight="1">
      <c r="A585" s="268"/>
      <c r="B585" s="268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 spans="1:26" ht="15.75" customHeight="1">
      <c r="A586" s="268"/>
      <c r="B586" s="268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 spans="1:26" ht="15.75" customHeight="1">
      <c r="A587" s="268"/>
      <c r="B587" s="268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 spans="1:26" ht="15.75" customHeight="1">
      <c r="A588" s="268"/>
      <c r="B588" s="268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 spans="1:26" ht="15.75" customHeight="1">
      <c r="A589" s="268"/>
      <c r="B589" s="268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 spans="1:26" ht="15.75" customHeight="1">
      <c r="A590" s="268"/>
      <c r="B590" s="268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 spans="1:26" ht="15.75" customHeight="1">
      <c r="A591" s="268"/>
      <c r="B591" s="268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 spans="1:26" ht="15.75" customHeight="1">
      <c r="A592" s="268"/>
      <c r="B592" s="268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 spans="1:26" ht="15.75" customHeight="1">
      <c r="A593" s="268"/>
      <c r="B593" s="268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 spans="1:26" ht="15.75" customHeight="1">
      <c r="A594" s="268"/>
      <c r="B594" s="268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 spans="1:26" ht="15.75" customHeight="1">
      <c r="A595" s="268"/>
      <c r="B595" s="268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 spans="1:26" ht="15.75" customHeight="1">
      <c r="A596" s="268"/>
      <c r="B596" s="268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 spans="1:26" ht="15.75" customHeight="1">
      <c r="A597" s="268"/>
      <c r="B597" s="268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 spans="1:26" ht="15.75" customHeight="1">
      <c r="A598" s="268"/>
      <c r="B598" s="268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 spans="1:26" ht="15.75" customHeight="1">
      <c r="A599" s="268"/>
      <c r="B599" s="268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 spans="1:26" ht="15.75" customHeight="1">
      <c r="A600" s="268"/>
      <c r="B600" s="268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 spans="1:26" ht="15.75" customHeight="1">
      <c r="A601" s="268"/>
      <c r="B601" s="268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 spans="1:26" ht="15.75" customHeight="1">
      <c r="A602" s="268"/>
      <c r="B602" s="268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 spans="1:26" ht="15.75" customHeight="1">
      <c r="A603" s="268"/>
      <c r="B603" s="268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 spans="1:26" ht="15.75" customHeight="1">
      <c r="A604" s="268"/>
      <c r="B604" s="268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 spans="1:26" ht="15.75" customHeight="1">
      <c r="A605" s="268"/>
      <c r="B605" s="268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 spans="1:26" ht="15.75" customHeight="1">
      <c r="A606" s="268"/>
      <c r="B606" s="268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 spans="1:26" ht="15.75" customHeight="1">
      <c r="A607" s="268"/>
      <c r="B607" s="268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 spans="1:26" ht="15.75" customHeight="1">
      <c r="A608" s="268"/>
      <c r="B608" s="268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 spans="1:26" ht="15.75" customHeight="1">
      <c r="A609" s="268"/>
      <c r="B609" s="268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 spans="1:26" ht="15.75" customHeight="1">
      <c r="A610" s="268"/>
      <c r="B610" s="268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 spans="1:26" ht="15.75" customHeight="1">
      <c r="A611" s="268"/>
      <c r="B611" s="268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 spans="1:26" ht="15.75" customHeight="1">
      <c r="A612" s="268"/>
      <c r="B612" s="268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 spans="1:26" ht="15.75" customHeight="1">
      <c r="A613" s="268"/>
      <c r="B613" s="268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 spans="1:26" ht="15.75" customHeight="1">
      <c r="A614" s="268"/>
      <c r="B614" s="268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 spans="1:26" ht="15.75" customHeight="1">
      <c r="A615" s="268"/>
      <c r="B615" s="268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 spans="1:26" ht="15.75" customHeight="1">
      <c r="A616" s="268"/>
      <c r="B616" s="268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 spans="1:26" ht="15.75" customHeight="1">
      <c r="A617" s="268"/>
      <c r="B617" s="268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 spans="1:26" ht="15.75" customHeight="1">
      <c r="A618" s="268"/>
      <c r="B618" s="268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 spans="1:26" ht="15.75" customHeight="1">
      <c r="A619" s="268"/>
      <c r="B619" s="268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 spans="1:26" ht="15.75" customHeight="1">
      <c r="A620" s="268"/>
      <c r="B620" s="268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 spans="1:26" ht="15.75" customHeight="1">
      <c r="A621" s="268"/>
      <c r="B621" s="268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 spans="1:26" ht="15.75" customHeight="1">
      <c r="A622" s="268"/>
      <c r="B622" s="268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 spans="1:26" ht="15.75" customHeight="1">
      <c r="A623" s="268"/>
      <c r="B623" s="268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 spans="1:26" ht="15.75" customHeight="1">
      <c r="A624" s="268"/>
      <c r="B624" s="268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 spans="1:26" ht="15.75" customHeight="1">
      <c r="A625" s="268"/>
      <c r="B625" s="268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 spans="1:26" ht="15.75" customHeight="1">
      <c r="A626" s="268"/>
      <c r="B626" s="268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 spans="1:26" ht="15.75" customHeight="1">
      <c r="A627" s="268"/>
      <c r="B627" s="268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 spans="1:26" ht="15.75" customHeight="1">
      <c r="A628" s="268"/>
      <c r="B628" s="268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 spans="1:26" ht="15.75" customHeight="1">
      <c r="A629" s="268"/>
      <c r="B629" s="268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 spans="1:26" ht="15.75" customHeight="1">
      <c r="A630" s="268"/>
      <c r="B630" s="268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 spans="1:26" ht="15.75" customHeight="1">
      <c r="A631" s="268"/>
      <c r="B631" s="268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 spans="1:26" ht="15.75" customHeight="1">
      <c r="A632" s="268"/>
      <c r="B632" s="268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 spans="1:26" ht="15.75" customHeight="1">
      <c r="A633" s="268"/>
      <c r="B633" s="268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 spans="1:26" ht="15.75" customHeight="1">
      <c r="A634" s="268"/>
      <c r="B634" s="268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 spans="1:26" ht="15.75" customHeight="1">
      <c r="A635" s="268"/>
      <c r="B635" s="268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 spans="1:26" ht="15.75" customHeight="1">
      <c r="A636" s="268"/>
      <c r="B636" s="268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 spans="1:26" ht="15.75" customHeight="1">
      <c r="A637" s="268"/>
      <c r="B637" s="268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 spans="1:26" ht="15.75" customHeight="1">
      <c r="A638" s="268"/>
      <c r="B638" s="268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 spans="1:26" ht="15.75" customHeight="1">
      <c r="A639" s="268"/>
      <c r="B639" s="268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 spans="1:26" ht="15.75" customHeight="1">
      <c r="A640" s="268"/>
      <c r="B640" s="268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 spans="1:26" ht="15.75" customHeight="1">
      <c r="A641" s="268"/>
      <c r="B641" s="268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 spans="1:26" ht="15.75" customHeight="1">
      <c r="A642" s="268"/>
      <c r="B642" s="268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 spans="1:26" ht="15.75" customHeight="1">
      <c r="A643" s="268"/>
      <c r="B643" s="268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 spans="1:26" ht="15.75" customHeight="1">
      <c r="A644" s="268"/>
      <c r="B644" s="268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 spans="1:26" ht="15.75" customHeight="1">
      <c r="A645" s="268"/>
      <c r="B645" s="268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 spans="1:26" ht="15.75" customHeight="1">
      <c r="A646" s="268"/>
      <c r="B646" s="268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 spans="1:26" ht="15.75" customHeight="1">
      <c r="A647" s="268"/>
      <c r="B647" s="268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 spans="1:26" ht="15.75" customHeight="1">
      <c r="A648" s="268"/>
      <c r="B648" s="268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 spans="1:26" ht="15.75" customHeight="1">
      <c r="A649" s="268"/>
      <c r="B649" s="268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 spans="1:26" ht="15.75" customHeight="1">
      <c r="A650" s="268"/>
      <c r="B650" s="268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 spans="1:26" ht="15.75" customHeight="1">
      <c r="A651" s="268"/>
      <c r="B651" s="268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 spans="1:26" ht="15.75" customHeight="1">
      <c r="A652" s="268"/>
      <c r="B652" s="268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 spans="1:26" ht="15.75" customHeight="1">
      <c r="A653" s="268"/>
      <c r="B653" s="268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 spans="1:26" ht="15.75" customHeight="1">
      <c r="A654" s="268"/>
      <c r="B654" s="268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 spans="1:26" ht="15.75" customHeight="1">
      <c r="A655" s="268"/>
      <c r="B655" s="268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 spans="1:26" ht="15.75" customHeight="1">
      <c r="A656" s="268"/>
      <c r="B656" s="268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 spans="1:26" ht="15.75" customHeight="1">
      <c r="A657" s="268"/>
      <c r="B657" s="268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 spans="1:26" ht="15.75" customHeight="1">
      <c r="A658" s="268"/>
      <c r="B658" s="268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 spans="1:26" ht="15.75" customHeight="1">
      <c r="A659" s="268"/>
      <c r="B659" s="268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 spans="1:26" ht="15.75" customHeight="1">
      <c r="A660" s="268"/>
      <c r="B660" s="268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 spans="1:26" ht="15.75" customHeight="1">
      <c r="A661" s="268"/>
      <c r="B661" s="268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 spans="1:26" ht="15.75" customHeight="1">
      <c r="A662" s="268"/>
      <c r="B662" s="268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 spans="1:26" ht="15.75" customHeight="1">
      <c r="A663" s="268"/>
      <c r="B663" s="268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 spans="1:26" ht="15.75" customHeight="1">
      <c r="A664" s="268"/>
      <c r="B664" s="268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 spans="1:26" ht="15.75" customHeight="1">
      <c r="A665" s="268"/>
      <c r="B665" s="268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 spans="1:26" ht="15.75" customHeight="1">
      <c r="A666" s="268"/>
      <c r="B666" s="268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 spans="1:26" ht="15.75" customHeight="1">
      <c r="A667" s="268"/>
      <c r="B667" s="268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 spans="1:26" ht="15.75" customHeight="1">
      <c r="A668" s="268"/>
      <c r="B668" s="268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 spans="1:26" ht="15.75" customHeight="1">
      <c r="A669" s="268"/>
      <c r="B669" s="268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 spans="1:26" ht="15.75" customHeight="1">
      <c r="A670" s="268"/>
      <c r="B670" s="268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 spans="1:26" ht="15.75" customHeight="1">
      <c r="A671" s="268"/>
      <c r="B671" s="268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 spans="1:26" ht="15.75" customHeight="1">
      <c r="A672" s="268"/>
      <c r="B672" s="268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 spans="1:26" ht="15.75" customHeight="1">
      <c r="A673" s="268"/>
      <c r="B673" s="268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 spans="1:26" ht="15.75" customHeight="1">
      <c r="A674" s="268"/>
      <c r="B674" s="268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 spans="1:26" ht="15.75" customHeight="1">
      <c r="A675" s="268"/>
      <c r="B675" s="268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 spans="1:26" ht="15.75" customHeight="1">
      <c r="A676" s="268"/>
      <c r="B676" s="268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 spans="1:26" ht="15.75" customHeight="1">
      <c r="A677" s="268"/>
      <c r="B677" s="268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 spans="1:26" ht="15.75" customHeight="1">
      <c r="A678" s="268"/>
      <c r="B678" s="268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 spans="1:26" ht="15.75" customHeight="1">
      <c r="A679" s="268"/>
      <c r="B679" s="268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 spans="1:26" ht="15.75" customHeight="1">
      <c r="A680" s="268"/>
      <c r="B680" s="268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 spans="1:26" ht="15.75" customHeight="1">
      <c r="A681" s="268"/>
      <c r="B681" s="268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 spans="1:26" ht="15.75" customHeight="1">
      <c r="A682" s="268"/>
      <c r="B682" s="268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 spans="1:26" ht="15.75" customHeight="1">
      <c r="A683" s="268"/>
      <c r="B683" s="268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 spans="1:26" ht="15.75" customHeight="1">
      <c r="A684" s="268"/>
      <c r="B684" s="268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 spans="1:26" ht="15.75" customHeight="1">
      <c r="A685" s="268"/>
      <c r="B685" s="268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 spans="1:26" ht="15.75" customHeight="1">
      <c r="A686" s="268"/>
      <c r="B686" s="268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 spans="1:26" ht="15.75" customHeight="1">
      <c r="A687" s="268"/>
      <c r="B687" s="268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 spans="1:26" ht="15.75" customHeight="1">
      <c r="A688" s="268"/>
      <c r="B688" s="268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 spans="1:26" ht="15.75" customHeight="1">
      <c r="A689" s="268"/>
      <c r="B689" s="268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 spans="1:26" ht="15.75" customHeight="1">
      <c r="A690" s="268"/>
      <c r="B690" s="268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 spans="1:26" ht="15.75" customHeight="1">
      <c r="A691" s="268"/>
      <c r="B691" s="268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 spans="1:26" ht="15.75" customHeight="1">
      <c r="A692" s="268"/>
      <c r="B692" s="268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 spans="1:26" ht="15.75" customHeight="1">
      <c r="A693" s="268"/>
      <c r="B693" s="268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 spans="1:26" ht="15.75" customHeight="1">
      <c r="A694" s="268"/>
      <c r="B694" s="268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 spans="1:26" ht="15.75" customHeight="1">
      <c r="A695" s="268"/>
      <c r="B695" s="268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 spans="1:26" ht="15.75" customHeight="1">
      <c r="A696" s="268"/>
      <c r="B696" s="268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 spans="1:26" ht="15.75" customHeight="1">
      <c r="A697" s="268"/>
      <c r="B697" s="268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 spans="1:26" ht="15.75" customHeight="1">
      <c r="A698" s="268"/>
      <c r="B698" s="268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 spans="1:26" ht="15.75" customHeight="1">
      <c r="A699" s="268"/>
      <c r="B699" s="268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 spans="1:26" ht="15.75" customHeight="1">
      <c r="A700" s="268"/>
      <c r="B700" s="268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 spans="1:26" ht="15.75" customHeight="1">
      <c r="A701" s="268"/>
      <c r="B701" s="268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 spans="1:26" ht="15.75" customHeight="1">
      <c r="A702" s="268"/>
      <c r="B702" s="268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 spans="1:26" ht="15.75" customHeight="1">
      <c r="A703" s="268"/>
      <c r="B703" s="268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 spans="1:26" ht="15.75" customHeight="1">
      <c r="A704" s="268"/>
      <c r="B704" s="268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 spans="1:26" ht="15.75" customHeight="1">
      <c r="A705" s="268"/>
      <c r="B705" s="268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 spans="1:26" ht="15.75" customHeight="1">
      <c r="A706" s="268"/>
      <c r="B706" s="268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 spans="1:26" ht="15.75" customHeight="1">
      <c r="A707" s="268"/>
      <c r="B707" s="268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 spans="1:26" ht="15.75" customHeight="1">
      <c r="A708" s="268"/>
      <c r="B708" s="268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 spans="1:26" ht="15.75" customHeight="1">
      <c r="A709" s="268"/>
      <c r="B709" s="268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 spans="1:26" ht="15.75" customHeight="1">
      <c r="A710" s="268"/>
      <c r="B710" s="268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 spans="1:26" ht="15.75" customHeight="1">
      <c r="A711" s="268"/>
      <c r="B711" s="268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 spans="1:26" ht="15.75" customHeight="1">
      <c r="A712" s="268"/>
      <c r="B712" s="268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 spans="1:26" ht="15.75" customHeight="1">
      <c r="A713" s="268"/>
      <c r="B713" s="268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 spans="1:26" ht="15.75" customHeight="1">
      <c r="A714" s="268"/>
      <c r="B714" s="268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 spans="1:26" ht="15.75" customHeight="1">
      <c r="A715" s="268"/>
      <c r="B715" s="268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 spans="1:26" ht="15.75" customHeight="1">
      <c r="A716" s="268"/>
      <c r="B716" s="268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 spans="1:26" ht="15.75" customHeight="1">
      <c r="A717" s="268"/>
      <c r="B717" s="268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 spans="1:26" ht="15.75" customHeight="1">
      <c r="A718" s="268"/>
      <c r="B718" s="268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 spans="1:26" ht="15.75" customHeight="1">
      <c r="A719" s="268"/>
      <c r="B719" s="268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 spans="1:26" ht="15.75" customHeight="1">
      <c r="A720" s="268"/>
      <c r="B720" s="268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 spans="1:26" ht="15.75" customHeight="1">
      <c r="A721" s="268"/>
      <c r="B721" s="268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 spans="1:26" ht="15.75" customHeight="1">
      <c r="A722" s="268"/>
      <c r="B722" s="268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 spans="1:26" ht="15.75" customHeight="1">
      <c r="A723" s="268"/>
      <c r="B723" s="268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 spans="1:26" ht="15.75" customHeight="1">
      <c r="A724" s="268"/>
      <c r="B724" s="268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 spans="1:26" ht="15.75" customHeight="1">
      <c r="A725" s="268"/>
      <c r="B725" s="268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 spans="1:26" ht="15.75" customHeight="1">
      <c r="A726" s="268"/>
      <c r="B726" s="268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 spans="1:26" ht="15.75" customHeight="1">
      <c r="A727" s="268"/>
      <c r="B727" s="268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 spans="1:26" ht="15.75" customHeight="1">
      <c r="A728" s="268"/>
      <c r="B728" s="268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 spans="1:26" ht="15.75" customHeight="1">
      <c r="A729" s="268"/>
      <c r="B729" s="268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 spans="1:26" ht="15.75" customHeight="1">
      <c r="A730" s="268"/>
      <c r="B730" s="268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 spans="1:26" ht="15.75" customHeight="1">
      <c r="A731" s="268"/>
      <c r="B731" s="268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 spans="1:26" ht="15.75" customHeight="1">
      <c r="A732" s="268"/>
      <c r="B732" s="268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 spans="1:26" ht="15.75" customHeight="1">
      <c r="A733" s="268"/>
      <c r="B733" s="268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 spans="1:26" ht="15.75" customHeight="1">
      <c r="A734" s="268"/>
      <c r="B734" s="268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 spans="1:26" ht="15.75" customHeight="1">
      <c r="A735" s="268"/>
      <c r="B735" s="268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 spans="1:26" ht="15.75" customHeight="1">
      <c r="A736" s="268"/>
      <c r="B736" s="268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 spans="1:26" ht="15.75" customHeight="1">
      <c r="A737" s="268"/>
      <c r="B737" s="268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 spans="1:26" ht="15.75" customHeight="1">
      <c r="A738" s="268"/>
      <c r="B738" s="268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 spans="1:26" ht="15.75" customHeight="1">
      <c r="A739" s="268"/>
      <c r="B739" s="268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 spans="1:26" ht="15.75" customHeight="1">
      <c r="A740" s="268"/>
      <c r="B740" s="268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 spans="1:26" ht="15.75" customHeight="1">
      <c r="A741" s="268"/>
      <c r="B741" s="268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 spans="1:26" ht="15.75" customHeight="1">
      <c r="A742" s="268"/>
      <c r="B742" s="268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 spans="1:26" ht="15.75" customHeight="1">
      <c r="A743" s="268"/>
      <c r="B743" s="268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 spans="1:26" ht="15.75" customHeight="1">
      <c r="A744" s="268"/>
      <c r="B744" s="268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 spans="1:26" ht="15.75" customHeight="1">
      <c r="A745" s="268"/>
      <c r="B745" s="268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 spans="1:26" ht="15.75" customHeight="1">
      <c r="A746" s="268"/>
      <c r="B746" s="268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 spans="1:26" ht="15.75" customHeight="1">
      <c r="A747" s="268"/>
      <c r="B747" s="268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 spans="1:26" ht="15.75" customHeight="1">
      <c r="A748" s="268"/>
      <c r="B748" s="268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 spans="1:26" ht="15.75" customHeight="1">
      <c r="A749" s="268"/>
      <c r="B749" s="268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 spans="1:26" ht="15.75" customHeight="1">
      <c r="A750" s="268"/>
      <c r="B750" s="268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 spans="1:26" ht="15.75" customHeight="1">
      <c r="A751" s="268"/>
      <c r="B751" s="268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 spans="1:26" ht="15.75" customHeight="1">
      <c r="A752" s="268"/>
      <c r="B752" s="268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 spans="1:26" ht="15.75" customHeight="1">
      <c r="A753" s="268"/>
      <c r="B753" s="268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 spans="1:26" ht="15.75" customHeight="1">
      <c r="A754" s="268"/>
      <c r="B754" s="268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 spans="1:26" ht="15.75" customHeight="1">
      <c r="A755" s="268"/>
      <c r="B755" s="268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 spans="1:26" ht="15.75" customHeight="1">
      <c r="A756" s="268"/>
      <c r="B756" s="268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 spans="1:26" ht="15.75" customHeight="1">
      <c r="A757" s="268"/>
      <c r="B757" s="268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 spans="1:26" ht="15.75" customHeight="1">
      <c r="A758" s="268"/>
      <c r="B758" s="268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 spans="1:26" ht="15.75" customHeight="1">
      <c r="A759" s="268"/>
      <c r="B759" s="268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 spans="1:26" ht="15.75" customHeight="1">
      <c r="A760" s="268"/>
      <c r="B760" s="268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 spans="1:26" ht="15.75" customHeight="1">
      <c r="A761" s="268"/>
      <c r="B761" s="268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 spans="1:26" ht="15.75" customHeight="1">
      <c r="A762" s="268"/>
      <c r="B762" s="268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 spans="1:26" ht="15.75" customHeight="1">
      <c r="A763" s="268"/>
      <c r="B763" s="268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 spans="1:26" ht="15.75" customHeight="1">
      <c r="A764" s="268"/>
      <c r="B764" s="268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 spans="1:26" ht="15.75" customHeight="1">
      <c r="A765" s="268"/>
      <c r="B765" s="268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 spans="1:26" ht="15.75" customHeight="1">
      <c r="A766" s="268"/>
      <c r="B766" s="268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 spans="1:26" ht="15.75" customHeight="1">
      <c r="A767" s="268"/>
      <c r="B767" s="268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 spans="1:26" ht="15.75" customHeight="1">
      <c r="A768" s="268"/>
      <c r="B768" s="268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 spans="1:26" ht="15.75" customHeight="1">
      <c r="A769" s="268"/>
      <c r="B769" s="268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 spans="1:26" ht="15.75" customHeight="1">
      <c r="A770" s="268"/>
      <c r="B770" s="268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 spans="1:26" ht="15.75" customHeight="1">
      <c r="A771" s="268"/>
      <c r="B771" s="268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 spans="1:26" ht="15.75" customHeight="1">
      <c r="A772" s="268"/>
      <c r="B772" s="268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 spans="1:26" ht="15.75" customHeight="1">
      <c r="A773" s="268"/>
      <c r="B773" s="268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 spans="1:26" ht="15.75" customHeight="1">
      <c r="A774" s="268"/>
      <c r="B774" s="268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 spans="1:26" ht="15.75" customHeight="1">
      <c r="A775" s="268"/>
      <c r="B775" s="268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 spans="1:26" ht="15.75" customHeight="1">
      <c r="A776" s="268"/>
      <c r="B776" s="268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 spans="1:26" ht="15.75" customHeight="1">
      <c r="A777" s="268"/>
      <c r="B777" s="268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 spans="1:26" ht="15.75" customHeight="1">
      <c r="A778" s="268"/>
      <c r="B778" s="268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 spans="1:26" ht="15.75" customHeight="1">
      <c r="A779" s="268"/>
      <c r="B779" s="268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 spans="1:26" ht="15.75" customHeight="1">
      <c r="A780" s="268"/>
      <c r="B780" s="268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 spans="1:26" ht="15.75" customHeight="1">
      <c r="A781" s="268"/>
      <c r="B781" s="268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 spans="1:26" ht="15.75" customHeight="1">
      <c r="A782" s="268"/>
      <c r="B782" s="268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 spans="1:26" ht="15.75" customHeight="1">
      <c r="A783" s="268"/>
      <c r="B783" s="268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 spans="1:26" ht="15.75" customHeight="1">
      <c r="A784" s="268"/>
      <c r="B784" s="268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 spans="1:26" ht="15.75" customHeight="1">
      <c r="A785" s="268"/>
      <c r="B785" s="268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 spans="1:26" ht="15.75" customHeight="1">
      <c r="A786" s="268"/>
      <c r="B786" s="268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 spans="1:26" ht="15.75" customHeight="1">
      <c r="A787" s="268"/>
      <c r="B787" s="268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 spans="1:26" ht="15.75" customHeight="1">
      <c r="A788" s="268"/>
      <c r="B788" s="268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 spans="1:26" ht="15.75" customHeight="1">
      <c r="A789" s="268"/>
      <c r="B789" s="268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 spans="1:26" ht="15.75" customHeight="1">
      <c r="A790" s="268"/>
      <c r="B790" s="268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 spans="1:26" ht="15.75" customHeight="1">
      <c r="A791" s="268"/>
      <c r="B791" s="268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 spans="1:26" ht="15.75" customHeight="1">
      <c r="A792" s="268"/>
      <c r="B792" s="268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 spans="1:26" ht="15.75" customHeight="1">
      <c r="A793" s="268"/>
      <c r="B793" s="268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 spans="1:26" ht="15.75" customHeight="1">
      <c r="A794" s="268"/>
      <c r="B794" s="268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 spans="1:26" ht="15.75" customHeight="1">
      <c r="A795" s="268"/>
      <c r="B795" s="268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 spans="1:26" ht="15.75" customHeight="1">
      <c r="A796" s="268"/>
      <c r="B796" s="268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 spans="1:26" ht="15.75" customHeight="1">
      <c r="A797" s="268"/>
      <c r="B797" s="268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 spans="1:26" ht="15.75" customHeight="1">
      <c r="A798" s="268"/>
      <c r="B798" s="268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 spans="1:26" ht="15.75" customHeight="1">
      <c r="A799" s="268"/>
      <c r="B799" s="268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 spans="1:26" ht="15.75" customHeight="1">
      <c r="A800" s="268"/>
      <c r="B800" s="268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 spans="1:26" ht="15.75" customHeight="1">
      <c r="A801" s="268"/>
      <c r="B801" s="268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 spans="1:26" ht="15.75" customHeight="1">
      <c r="A802" s="268"/>
      <c r="B802" s="268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 spans="1:26" ht="15.75" customHeight="1">
      <c r="A803" s="268"/>
      <c r="B803" s="268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 spans="1:26" ht="15.75" customHeight="1">
      <c r="A804" s="268"/>
      <c r="B804" s="268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 spans="1:26" ht="15.75" customHeight="1">
      <c r="A805" s="268"/>
      <c r="B805" s="268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 spans="1:26" ht="15.75" customHeight="1">
      <c r="A806" s="268"/>
      <c r="B806" s="268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 spans="1:26" ht="15.75" customHeight="1">
      <c r="A807" s="268"/>
      <c r="B807" s="268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 spans="1:26" ht="15.75" customHeight="1">
      <c r="A808" s="268"/>
      <c r="B808" s="268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 spans="1:26" ht="15.75" customHeight="1">
      <c r="A809" s="268"/>
      <c r="B809" s="268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 spans="1:26" ht="15.75" customHeight="1">
      <c r="A810" s="268"/>
      <c r="B810" s="268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 spans="1:26" ht="15.75" customHeight="1">
      <c r="A811" s="268"/>
      <c r="B811" s="268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 spans="1:26" ht="15.75" customHeight="1">
      <c r="A812" s="268"/>
      <c r="B812" s="268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 spans="1:26" ht="15.75" customHeight="1">
      <c r="A813" s="268"/>
      <c r="B813" s="268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 spans="1:26" ht="15.75" customHeight="1">
      <c r="A814" s="268"/>
      <c r="B814" s="268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 spans="1:26" ht="15.75" customHeight="1">
      <c r="A815" s="268"/>
      <c r="B815" s="268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 spans="1:26" ht="15.75" customHeight="1">
      <c r="A816" s="268"/>
      <c r="B816" s="268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 spans="1:26" ht="15.75" customHeight="1">
      <c r="A817" s="268"/>
      <c r="B817" s="268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 spans="1:26" ht="15.75" customHeight="1">
      <c r="A818" s="268"/>
      <c r="B818" s="268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 spans="1:26" ht="15.75" customHeight="1">
      <c r="A819" s="268"/>
      <c r="B819" s="268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 spans="1:26" ht="15.75" customHeight="1">
      <c r="A820" s="268"/>
      <c r="B820" s="268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 spans="1:26" ht="15.75" customHeight="1">
      <c r="A821" s="268"/>
      <c r="B821" s="268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 spans="1:26" ht="15.75" customHeight="1">
      <c r="A822" s="268"/>
      <c r="B822" s="268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 spans="1:26" ht="15.75" customHeight="1">
      <c r="A823" s="268"/>
      <c r="B823" s="268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 spans="1:26" ht="15.75" customHeight="1">
      <c r="A824" s="268"/>
      <c r="B824" s="268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 spans="1:26" ht="15.75" customHeight="1">
      <c r="A825" s="268"/>
      <c r="B825" s="268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 spans="1:26" ht="15.75" customHeight="1">
      <c r="A826" s="268"/>
      <c r="B826" s="268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 spans="1:26" ht="15.75" customHeight="1">
      <c r="A827" s="268"/>
      <c r="B827" s="268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 spans="1:26" ht="15.75" customHeight="1">
      <c r="A828" s="268"/>
      <c r="B828" s="268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 spans="1:26" ht="15.75" customHeight="1">
      <c r="A829" s="268"/>
      <c r="B829" s="268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 spans="1:26" ht="15.75" customHeight="1">
      <c r="A830" s="268"/>
      <c r="B830" s="268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 spans="1:26" ht="15.75" customHeight="1">
      <c r="A831" s="268"/>
      <c r="B831" s="268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 spans="1:26" ht="15.75" customHeight="1">
      <c r="A832" s="268"/>
      <c r="B832" s="268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 spans="1:26" ht="15.75" customHeight="1">
      <c r="A833" s="268"/>
      <c r="B833" s="268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 spans="1:26" ht="15.75" customHeight="1">
      <c r="A834" s="268"/>
      <c r="B834" s="268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 spans="1:26" ht="15.75" customHeight="1">
      <c r="A835" s="268"/>
      <c r="B835" s="268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 spans="1:26" ht="15.75" customHeight="1">
      <c r="A836" s="268"/>
      <c r="B836" s="268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 spans="1:26" ht="15.75" customHeight="1">
      <c r="A837" s="268"/>
      <c r="B837" s="268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 spans="1:26" ht="15.75" customHeight="1">
      <c r="A838" s="268"/>
      <c r="B838" s="268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 spans="1:26" ht="15.75" customHeight="1">
      <c r="A839" s="268"/>
      <c r="B839" s="268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 spans="1:26" ht="15.75" customHeight="1">
      <c r="A840" s="268"/>
      <c r="B840" s="268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 spans="1:26" ht="15.75" customHeight="1">
      <c r="A841" s="268"/>
      <c r="B841" s="268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 spans="1:26" ht="15.75" customHeight="1">
      <c r="A842" s="268"/>
      <c r="B842" s="268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 spans="1:26" ht="15.75" customHeight="1">
      <c r="A843" s="268"/>
      <c r="B843" s="268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 spans="1:26" ht="15.75" customHeight="1">
      <c r="A844" s="268"/>
      <c r="B844" s="268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 spans="1:26" ht="15.75" customHeight="1">
      <c r="A845" s="268"/>
      <c r="B845" s="268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 spans="1:26" ht="15.75" customHeight="1">
      <c r="A846" s="268"/>
      <c r="B846" s="268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 spans="1:26" ht="15.75" customHeight="1">
      <c r="A847" s="268"/>
      <c r="B847" s="268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 spans="1:26" ht="15.75" customHeight="1">
      <c r="A848" s="268"/>
      <c r="B848" s="268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 spans="1:26" ht="15.75" customHeight="1">
      <c r="A849" s="268"/>
      <c r="B849" s="268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 spans="1:26" ht="15.75" customHeight="1">
      <c r="A850" s="268"/>
      <c r="B850" s="268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 spans="1:26" ht="15.75" customHeight="1">
      <c r="A851" s="268"/>
      <c r="B851" s="268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 spans="1:26" ht="15.75" customHeight="1">
      <c r="A852" s="268"/>
      <c r="B852" s="268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 spans="1:26" ht="15.75" customHeight="1">
      <c r="A853" s="268"/>
      <c r="B853" s="268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 spans="1:26" ht="15.75" customHeight="1">
      <c r="A854" s="268"/>
      <c r="B854" s="268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 spans="1:26" ht="15.75" customHeight="1">
      <c r="A855" s="268"/>
      <c r="B855" s="268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 spans="1:26" ht="15.75" customHeight="1">
      <c r="A856" s="268"/>
      <c r="B856" s="268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 spans="1:26" ht="15.75" customHeight="1">
      <c r="A857" s="268"/>
      <c r="B857" s="268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 spans="1:26" ht="15.75" customHeight="1">
      <c r="A858" s="268"/>
      <c r="B858" s="268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 spans="1:26" ht="15.75" customHeight="1">
      <c r="A859" s="268"/>
      <c r="B859" s="268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 spans="1:26" ht="15.75" customHeight="1">
      <c r="A860" s="268"/>
      <c r="B860" s="268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 spans="1:26" ht="15.75" customHeight="1">
      <c r="A861" s="268"/>
      <c r="B861" s="268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 spans="1:26" ht="15.75" customHeight="1">
      <c r="A862" s="268"/>
      <c r="B862" s="268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 spans="1:26" ht="15.75" customHeight="1">
      <c r="A863" s="268"/>
      <c r="B863" s="268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 spans="1:26" ht="15.75" customHeight="1">
      <c r="A864" s="268"/>
      <c r="B864" s="268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 spans="1:26" ht="15.75" customHeight="1">
      <c r="A865" s="268"/>
      <c r="B865" s="268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 spans="1:26" ht="15.75" customHeight="1">
      <c r="A866" s="268"/>
      <c r="B866" s="268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 spans="1:26" ht="15.75" customHeight="1">
      <c r="A867" s="268"/>
      <c r="B867" s="268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 spans="1:26" ht="15.75" customHeight="1">
      <c r="A868" s="268"/>
      <c r="B868" s="268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 spans="1:26" ht="15.75" customHeight="1">
      <c r="A869" s="268"/>
      <c r="B869" s="268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 spans="1:26" ht="15.75" customHeight="1">
      <c r="A870" s="268"/>
      <c r="B870" s="268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 spans="1:26" ht="15.75" customHeight="1">
      <c r="A871" s="268"/>
      <c r="B871" s="268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 spans="1:26" ht="15.75" customHeight="1">
      <c r="A872" s="268"/>
      <c r="B872" s="268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 spans="1:26" ht="15.75" customHeight="1">
      <c r="A873" s="268"/>
      <c r="B873" s="268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 spans="1:26" ht="15.75" customHeight="1">
      <c r="A874" s="268"/>
      <c r="B874" s="268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 spans="1:26" ht="15.75" customHeight="1">
      <c r="A875" s="268"/>
      <c r="B875" s="268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 spans="1:26" ht="15.75" customHeight="1">
      <c r="A876" s="268"/>
      <c r="B876" s="268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 spans="1:26" ht="15.75" customHeight="1">
      <c r="A877" s="268"/>
      <c r="B877" s="268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 spans="1:26" ht="15.75" customHeight="1">
      <c r="A878" s="268"/>
      <c r="B878" s="268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 spans="1:26" ht="15.75" customHeight="1">
      <c r="A879" s="268"/>
      <c r="B879" s="268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 spans="1:26" ht="15.75" customHeight="1">
      <c r="A880" s="268"/>
      <c r="B880" s="268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 spans="1:26" ht="15.75" customHeight="1">
      <c r="A881" s="268"/>
      <c r="B881" s="268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 spans="1:26" ht="15.75" customHeight="1">
      <c r="A882" s="268"/>
      <c r="B882" s="268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 spans="1:26" ht="15.75" customHeight="1">
      <c r="A883" s="268"/>
      <c r="B883" s="268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 spans="1:26" ht="15.75" customHeight="1">
      <c r="A884" s="268"/>
      <c r="B884" s="268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 spans="1:26" ht="15.75" customHeight="1">
      <c r="A885" s="268"/>
      <c r="B885" s="268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 spans="1:26" ht="15.75" customHeight="1">
      <c r="A886" s="268"/>
      <c r="B886" s="268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 spans="1:26" ht="15.75" customHeight="1">
      <c r="A887" s="268"/>
      <c r="B887" s="268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 spans="1:26" ht="15.75" customHeight="1">
      <c r="A888" s="268"/>
      <c r="B888" s="268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 spans="1:26" ht="15.75" customHeight="1">
      <c r="A889" s="268"/>
      <c r="B889" s="268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 spans="1:26" ht="15.75" customHeight="1">
      <c r="A890" s="268"/>
      <c r="B890" s="268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 spans="1:26" ht="15.75" customHeight="1">
      <c r="A891" s="268"/>
      <c r="B891" s="268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 spans="1:26" ht="15.75" customHeight="1">
      <c r="A892" s="268"/>
      <c r="B892" s="268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 spans="1:26" ht="15.75" customHeight="1">
      <c r="A893" s="268"/>
      <c r="B893" s="268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 spans="1:26" ht="15.75" customHeight="1">
      <c r="A894" s="268"/>
      <c r="B894" s="268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 spans="1:26" ht="15.75" customHeight="1">
      <c r="A895" s="268"/>
      <c r="B895" s="268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 spans="1:26" ht="15.75" customHeight="1">
      <c r="A896" s="268"/>
      <c r="B896" s="268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 spans="1:26" ht="15.75" customHeight="1">
      <c r="A897" s="268"/>
      <c r="B897" s="268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 spans="1:26" ht="15.75" customHeight="1">
      <c r="A898" s="268"/>
      <c r="B898" s="268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 spans="1:26" ht="15.75" customHeight="1">
      <c r="A899" s="268"/>
      <c r="B899" s="268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 spans="1:26" ht="15.75" customHeight="1">
      <c r="A900" s="268"/>
      <c r="B900" s="268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 spans="1:26" ht="15.75" customHeight="1">
      <c r="A901" s="268"/>
      <c r="B901" s="268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 spans="1:26" ht="15.75" customHeight="1">
      <c r="A902" s="268"/>
      <c r="B902" s="268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 spans="1:26" ht="15.75" customHeight="1">
      <c r="A903" s="268"/>
      <c r="B903" s="268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 spans="1:26" ht="15.75" customHeight="1">
      <c r="A904" s="268"/>
      <c r="B904" s="268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 spans="1:26" ht="15.75" customHeight="1">
      <c r="A905" s="268"/>
      <c r="B905" s="268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 spans="1:26" ht="15.75" customHeight="1">
      <c r="A906" s="268"/>
      <c r="B906" s="268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 spans="1:26" ht="15.75" customHeight="1">
      <c r="A907" s="268"/>
      <c r="B907" s="268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 spans="1:26" ht="15.75" customHeight="1">
      <c r="A908" s="268"/>
      <c r="B908" s="268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 spans="1:26" ht="15.75" customHeight="1">
      <c r="A909" s="268"/>
      <c r="B909" s="268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 spans="1:26" ht="15.75" customHeight="1">
      <c r="A910" s="268"/>
      <c r="B910" s="268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 spans="1:26" ht="15.75" customHeight="1">
      <c r="A911" s="268"/>
      <c r="B911" s="268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 spans="1:26" ht="15.75" customHeight="1">
      <c r="A912" s="268"/>
      <c r="B912" s="268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 spans="1:26" ht="15.75" customHeight="1">
      <c r="A913" s="268"/>
      <c r="B913" s="268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 spans="1:26" ht="15.75" customHeight="1">
      <c r="A914" s="268"/>
      <c r="B914" s="268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 spans="1:26" ht="15.75" customHeight="1">
      <c r="A915" s="268"/>
      <c r="B915" s="268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 spans="1:26" ht="15.75" customHeight="1">
      <c r="A916" s="268"/>
      <c r="B916" s="268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 spans="1:26" ht="15.75" customHeight="1">
      <c r="A917" s="268"/>
      <c r="B917" s="268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 spans="1:26" ht="15.75" customHeight="1">
      <c r="A918" s="268"/>
      <c r="B918" s="268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 spans="1:26" ht="15.75" customHeight="1">
      <c r="A919" s="268"/>
      <c r="B919" s="268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 spans="1:26" ht="15.75" customHeight="1">
      <c r="A920" s="268"/>
      <c r="B920" s="268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 spans="1:26" ht="15.75" customHeight="1">
      <c r="A921" s="268"/>
      <c r="B921" s="268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 spans="1:26" ht="15.75" customHeight="1">
      <c r="A922" s="268"/>
      <c r="B922" s="268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 spans="1:26" ht="15.75" customHeight="1">
      <c r="A923" s="268"/>
      <c r="B923" s="268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 spans="1:26" ht="15.75" customHeight="1">
      <c r="A924" s="268"/>
      <c r="B924" s="268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 spans="1:26" ht="15.75" customHeight="1">
      <c r="A925" s="268"/>
      <c r="B925" s="268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 spans="1:26" ht="15.75" customHeight="1">
      <c r="A926" s="268"/>
      <c r="B926" s="268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 spans="1:26" ht="15.75" customHeight="1">
      <c r="A927" s="268"/>
      <c r="B927" s="268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 spans="1:26" ht="15.75" customHeight="1">
      <c r="A928" s="268"/>
      <c r="B928" s="268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 spans="1:26" ht="15.75" customHeight="1">
      <c r="A929" s="268"/>
      <c r="B929" s="268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 spans="1:26" ht="15.75" customHeight="1">
      <c r="A930" s="268"/>
      <c r="B930" s="268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 spans="1:26" ht="15.75" customHeight="1">
      <c r="A931" s="268"/>
      <c r="B931" s="268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 spans="1:26" ht="15.75" customHeight="1">
      <c r="A932" s="268"/>
      <c r="B932" s="268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 spans="1:26" ht="15.75" customHeight="1">
      <c r="A933" s="268"/>
      <c r="B933" s="268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 spans="1:26" ht="15.75" customHeight="1">
      <c r="A934" s="268"/>
      <c r="B934" s="268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 spans="1:26" ht="15.75" customHeight="1">
      <c r="A935" s="268"/>
      <c r="B935" s="268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 spans="1:26" ht="15.75" customHeight="1">
      <c r="A936" s="268"/>
      <c r="B936" s="268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 spans="1:26" ht="15.75" customHeight="1">
      <c r="A937" s="268"/>
      <c r="B937" s="268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 spans="1:26" ht="15.75" customHeight="1">
      <c r="A938" s="268"/>
      <c r="B938" s="268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 spans="1:26" ht="15.75" customHeight="1">
      <c r="A939" s="268"/>
      <c r="B939" s="268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 spans="1:26" ht="15.75" customHeight="1">
      <c r="A940" s="268"/>
      <c r="B940" s="268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 spans="1:26" ht="15.75" customHeight="1">
      <c r="A941" s="268"/>
      <c r="B941" s="268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 spans="1:26" ht="15.75" customHeight="1">
      <c r="A942" s="268"/>
      <c r="B942" s="268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 spans="1:26" ht="15.75" customHeight="1">
      <c r="A943" s="268"/>
      <c r="B943" s="268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 spans="1:26" ht="15.75" customHeight="1">
      <c r="A944" s="268"/>
      <c r="B944" s="268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 spans="1:26" ht="15.75" customHeight="1">
      <c r="A945" s="268"/>
      <c r="B945" s="268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 spans="1:26" ht="15.75" customHeight="1">
      <c r="A946" s="268"/>
      <c r="B946" s="268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 spans="1:26" ht="15.75" customHeight="1">
      <c r="A947" s="268"/>
      <c r="B947" s="268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 spans="1:26" ht="15.75" customHeight="1">
      <c r="A948" s="268"/>
      <c r="B948" s="268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 spans="1:26" ht="15.75" customHeight="1">
      <c r="A949" s="268"/>
      <c r="B949" s="268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 spans="1:26" ht="15.75" customHeight="1">
      <c r="A950" s="268"/>
      <c r="B950" s="268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 spans="1:26" ht="15.75" customHeight="1">
      <c r="A951" s="268"/>
      <c r="B951" s="268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 spans="1:26" ht="15.75" customHeight="1">
      <c r="A952" s="268"/>
      <c r="B952" s="268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 spans="1:26" ht="15.75" customHeight="1">
      <c r="A953" s="268"/>
      <c r="B953" s="268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 spans="1:26" ht="15.75" customHeight="1">
      <c r="A954" s="268"/>
      <c r="B954" s="268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 spans="1:26" ht="15.75" customHeight="1">
      <c r="A955" s="268"/>
      <c r="B955" s="268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 spans="1:26" ht="15.75" customHeight="1">
      <c r="A956" s="268"/>
      <c r="B956" s="268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 spans="1:26" ht="15.75" customHeight="1">
      <c r="A957" s="268"/>
      <c r="B957" s="268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 spans="1:26" ht="15.75" customHeight="1">
      <c r="A958" s="268"/>
      <c r="B958" s="268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 spans="1:26" ht="15.75" customHeight="1">
      <c r="A959" s="268"/>
      <c r="B959" s="268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 spans="1:26" ht="15.75" customHeight="1">
      <c r="A960" s="268"/>
      <c r="B960" s="268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 spans="1:26" ht="15.75" customHeight="1">
      <c r="A961" s="268"/>
      <c r="B961" s="268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 spans="1:26" ht="15.75" customHeight="1">
      <c r="A962" s="268"/>
      <c r="B962" s="268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 spans="1:26" ht="15.75" customHeight="1">
      <c r="A963" s="268"/>
      <c r="B963" s="268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 spans="1:26" ht="15.75" customHeight="1">
      <c r="A964" s="268"/>
      <c r="B964" s="268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 spans="1:26" ht="15.75" customHeight="1">
      <c r="A965" s="268"/>
      <c r="B965" s="268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 spans="1:26" ht="15.75" customHeight="1">
      <c r="A966" s="268"/>
      <c r="B966" s="268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 spans="1:26" ht="15.75" customHeight="1">
      <c r="A967" s="268"/>
      <c r="B967" s="268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 spans="1:26" ht="15.75" customHeight="1">
      <c r="A968" s="268"/>
      <c r="B968" s="268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 spans="1:26" ht="15.75" customHeight="1">
      <c r="A969" s="268"/>
      <c r="B969" s="268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 spans="1:26" ht="15.75" customHeight="1">
      <c r="A970" s="268"/>
      <c r="B970" s="268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 spans="1:26" ht="15.75" customHeight="1">
      <c r="A971" s="268"/>
      <c r="B971" s="268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 spans="1:26" ht="15.75" customHeight="1">
      <c r="A972" s="268"/>
      <c r="B972" s="268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 spans="1:26" ht="15.75" customHeight="1">
      <c r="A973" s="268"/>
      <c r="B973" s="268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 spans="1:26" ht="15.75" customHeight="1">
      <c r="A974" s="268"/>
      <c r="B974" s="268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 spans="1:26" ht="15.75" customHeight="1">
      <c r="A975" s="268"/>
      <c r="B975" s="268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 spans="1:26" ht="15.75" customHeight="1">
      <c r="A976" s="268"/>
      <c r="B976" s="268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 spans="1:26" ht="15.75" customHeight="1">
      <c r="A977" s="268"/>
      <c r="B977" s="268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 spans="1:26" ht="15.75" customHeight="1">
      <c r="A978" s="268"/>
      <c r="B978" s="268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 spans="1:26" ht="15.75" customHeight="1">
      <c r="A979" s="268"/>
      <c r="B979" s="268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 spans="1:26" ht="15.75" customHeight="1">
      <c r="A980" s="268"/>
      <c r="B980" s="268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 spans="1:26" ht="15.75" customHeight="1">
      <c r="A981" s="268"/>
      <c r="B981" s="268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 spans="1:26" ht="15.75" customHeight="1">
      <c r="A982" s="268"/>
      <c r="B982" s="268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 spans="1:26" ht="15.75" customHeight="1">
      <c r="A983" s="268"/>
      <c r="B983" s="268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 spans="1:26" ht="15.75" customHeight="1">
      <c r="A984" s="268"/>
      <c r="B984" s="268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 spans="1:26" ht="15.75" customHeight="1">
      <c r="A985" s="268"/>
      <c r="B985" s="268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 spans="1:26" ht="15.75" customHeight="1">
      <c r="A986" s="268"/>
      <c r="B986" s="268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 spans="1:26" ht="15.75" customHeight="1">
      <c r="A987" s="268"/>
      <c r="B987" s="268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 spans="1:26" ht="15.75" customHeight="1">
      <c r="A988" s="268"/>
      <c r="B988" s="268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 spans="1:26" ht="15.75" customHeight="1">
      <c r="A989" s="268"/>
      <c r="B989" s="268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 spans="1:26" ht="15.75" customHeight="1">
      <c r="A990" s="268"/>
      <c r="B990" s="268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 spans="1:26" ht="15.75" customHeight="1">
      <c r="A991" s="268"/>
      <c r="B991" s="268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 spans="1:26" ht="15.75" customHeight="1">
      <c r="A992" s="268"/>
      <c r="B992" s="268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 spans="1:26" ht="15.75" customHeight="1">
      <c r="A993" s="268"/>
      <c r="B993" s="268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 spans="1:26" ht="15.75" customHeight="1">
      <c r="A994" s="268"/>
      <c r="B994" s="268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 spans="1:26" ht="15.75" customHeight="1">
      <c r="A995" s="268"/>
      <c r="B995" s="268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 spans="1:26" ht="15.75" customHeight="1">
      <c r="A996" s="268"/>
      <c r="B996" s="268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 spans="1:26" ht="15.75" customHeight="1">
      <c r="A997" s="268"/>
      <c r="B997" s="268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 spans="1:26" ht="15.75" customHeight="1">
      <c r="A998" s="268"/>
      <c r="B998" s="268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 spans="1:26" ht="15.75" customHeight="1">
      <c r="A999" s="268"/>
      <c r="B999" s="268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 spans="1:26" ht="15.75" customHeight="1">
      <c r="A1000" s="268"/>
      <c r="B1000" s="268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0E9EA"/>
  </sheetPr>
  <dimension ref="A21:A1000"/>
  <sheetViews>
    <sheetView workbookViewId="0"/>
  </sheetViews>
  <sheetFormatPr defaultColWidth="12.54296875" defaultRowHeight="15" customHeight="1"/>
  <cols>
    <col min="1" max="26" width="8.54296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D0E9EA"/>
  </sheetPr>
  <dimension ref="A1:AR1000"/>
  <sheetViews>
    <sheetView showGridLines="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12.54296875" defaultRowHeight="15" customHeight="1" outlineLevelCol="1"/>
  <cols>
    <col min="1" max="1" width="14.7265625" customWidth="1" outlineLevel="1"/>
    <col min="2" max="2" width="1.7265625" customWidth="1"/>
    <col min="3" max="3" width="30.54296875" customWidth="1"/>
    <col min="4" max="4" width="20.7265625" customWidth="1"/>
    <col min="5" max="5" width="1.7265625" customWidth="1"/>
    <col min="6" max="10" width="20.7265625" customWidth="1"/>
    <col min="11" max="11" width="1.7265625" customWidth="1"/>
    <col min="12" max="44" width="15.7265625" customWidth="1"/>
  </cols>
  <sheetData>
    <row r="1" spans="1:44" ht="14.5">
      <c r="E1" s="14"/>
      <c r="K1" s="14"/>
    </row>
    <row r="2" spans="1:44" ht="4.5" customHeight="1">
      <c r="E2" s="14"/>
      <c r="K2" s="14"/>
    </row>
    <row r="3" spans="1:44" ht="14.5">
      <c r="C3" s="17" t="s">
        <v>2055</v>
      </c>
      <c r="E3" s="14"/>
      <c r="K3" s="14"/>
    </row>
    <row r="4" spans="1:44" ht="14.5">
      <c r="C4" s="3" t="s">
        <v>2056</v>
      </c>
    </row>
    <row r="5" spans="1:44" ht="14.5">
      <c r="C5" s="378">
        <v>2025</v>
      </c>
      <c r="D5" s="18"/>
      <c r="E5" s="18"/>
      <c r="F5" s="18"/>
      <c r="G5" s="18"/>
      <c r="H5" s="18"/>
      <c r="I5" s="18"/>
      <c r="J5" s="18"/>
      <c r="K5" s="18"/>
      <c r="L5" s="18"/>
    </row>
    <row r="6" spans="1:44" ht="14.5">
      <c r="A6" s="71"/>
      <c r="B6" s="71"/>
      <c r="C6" s="71" t="s">
        <v>2057</v>
      </c>
      <c r="D6" s="71"/>
      <c r="E6" s="379"/>
      <c r="F6" s="71"/>
      <c r="G6" s="71"/>
      <c r="H6" s="71"/>
      <c r="I6" s="71"/>
      <c r="J6" s="71"/>
      <c r="K6" s="379"/>
      <c r="L6" s="379" t="str">
        <f t="array" ref="L6">INDEX('Monthly Events per venue'!$E:$E,MATCH(L$8,'Monthly Events per venue'!$C:$C,0))</f>
        <v>DFW</v>
      </c>
      <c r="M6" s="379" t="str">
        <f t="array" ref="M6">INDEX('Monthly Events per venue'!$E:$E,MATCH(M$8,'Monthly Events per venue'!$C:$C,0))</f>
        <v>DFW</v>
      </c>
      <c r="N6" s="379" t="str">
        <f t="array" ref="N6">INDEX('Monthly Events per venue'!$E:$E,MATCH(N$8,'Monthly Events per venue'!$C:$C,0))</f>
        <v>DFW</v>
      </c>
      <c r="O6" s="379" t="str">
        <f t="array" ref="O6">INDEX('Monthly Events per venue'!$E:$E,MATCH(O$8,'Monthly Events per venue'!$C:$C,0))</f>
        <v>DFW</v>
      </c>
      <c r="P6" s="379" t="str">
        <f t="array" ref="P6">INDEX('Monthly Events per venue'!$E:$E,MATCH(P$8,'Monthly Events per venue'!$C:$C,0))</f>
        <v>DFW</v>
      </c>
      <c r="Q6" s="379" t="str">
        <f t="array" ref="Q6">INDEX('Monthly Events per venue'!$E:$E,MATCH(Q$8,'Monthly Events per venue'!$C:$C,0))</f>
        <v>DFW</v>
      </c>
      <c r="R6" s="379" t="str">
        <f t="array" ref="R6">INDEX('Monthly Events per venue'!$E:$E,MATCH(R$8,'Monthly Events per venue'!$C:$C,0))</f>
        <v>DFW</v>
      </c>
      <c r="S6" s="379" t="str">
        <f t="array" ref="S6">INDEX('Monthly Events per venue'!$E:$E,MATCH(S$8,'Monthly Events per venue'!$C:$C,0))</f>
        <v>DFW</v>
      </c>
      <c r="T6" s="379" t="str">
        <f t="array" ref="T6">INDEX('Monthly Events per venue'!$E:$E,MATCH(T$8,'Monthly Events per venue'!$C:$C,0))</f>
        <v>DFW</v>
      </c>
      <c r="U6" s="379" t="str">
        <f t="array" ref="U6">INDEX('Monthly Events per venue'!$E:$E,MATCH(U$8,'Monthly Events per venue'!$C:$C,0))</f>
        <v>DFW</v>
      </c>
      <c r="V6" s="379" t="str">
        <f t="array" ref="V6">INDEX('Monthly Events per venue'!$E:$E,MATCH(V$8,'Monthly Events per venue'!$C:$C,0))</f>
        <v>DFW</v>
      </c>
      <c r="W6" s="379" t="str">
        <f t="array" ref="W6">INDEX('Monthly Events per venue'!$E:$E,MATCH(W$8,'Monthly Events per venue'!$C:$C,0))</f>
        <v>DFW</v>
      </c>
      <c r="X6" s="379" t="str">
        <f t="array" ref="X6">INDEX('Monthly Events per venue'!$E:$E,MATCH(X$8,'Monthly Events per venue'!$C:$C,0))</f>
        <v>DFW</v>
      </c>
      <c r="Y6" s="379" t="str">
        <f t="array" ref="Y6">INDEX('Monthly Events per venue'!$E:$E,MATCH(Y$8,'Monthly Events per venue'!$C:$C,0))</f>
        <v>DFW</v>
      </c>
      <c r="Z6" s="379" t="str">
        <f t="array" ref="Z6">INDEX('Monthly Events per venue'!$E:$E,MATCH(Z$8,'Monthly Events per venue'!$C:$C,0))</f>
        <v>DFW</v>
      </c>
      <c r="AA6" s="379" t="str">
        <f t="array" ref="AA6">INDEX('Monthly Events per venue'!$E:$E,MATCH(AA$8,'Monthly Events per venue'!$C:$C,0))</f>
        <v>DFW</v>
      </c>
      <c r="AB6" s="379" t="str">
        <f t="array" ref="AB6">INDEX('Monthly Events per venue'!$E:$E,MATCH(AB$8,'Monthly Events per venue'!$C:$C,0))</f>
        <v>DFW</v>
      </c>
      <c r="AC6" s="379" t="str">
        <f t="array" ref="AC6">INDEX('Monthly Events per venue'!$E:$E,MATCH(AC$8,'Monthly Events per venue'!$C:$C,0))</f>
        <v>HC</v>
      </c>
      <c r="AD6" s="379" t="e">
        <f t="array" ref="AD6">INDEX('Monthly Events per venue'!$E:$E,MATCH(AD$8,'Monthly Events per venue'!$C:$C,0))</f>
        <v>#N/A</v>
      </c>
      <c r="AE6" s="379" t="str">
        <f t="array" ref="AE6">INDEX('Monthly Events per venue'!$E:$E,MATCH(AE$8,'Monthly Events per venue'!$C:$C,0))</f>
        <v>HC</v>
      </c>
      <c r="AF6" s="379" t="str">
        <f t="array" ref="AF6">INDEX('Monthly Events per venue'!$E:$E,MATCH(AF$8,'Monthly Events per venue'!$C:$C,0))</f>
        <v>HC</v>
      </c>
      <c r="AG6" s="379" t="str">
        <f t="array" ref="AG6">INDEX('Monthly Events per venue'!$E:$E,MATCH(AG$8,'Monthly Events per venue'!$C:$C,0))</f>
        <v>HC</v>
      </c>
      <c r="AH6" s="379" t="str">
        <f t="array" ref="AH6">INDEX('Monthly Events per venue'!$E:$E,MATCH(AH$8,'Monthly Events per venue'!$C:$C,0))</f>
        <v>HC</v>
      </c>
      <c r="AI6" s="379" t="str">
        <f t="array" ref="AI6">INDEX('Monthly Events per venue'!$E:$E,MATCH(AI$8,'Monthly Events per venue'!$C:$C,0))</f>
        <v>HC</v>
      </c>
      <c r="AJ6" s="379" t="str">
        <f t="array" ref="AJ6">INDEX('Monthly Events per venue'!$E:$E,MATCH(AJ$8,'Monthly Events per venue'!$C:$C,0))</f>
        <v>HTX</v>
      </c>
      <c r="AK6" s="379" t="str">
        <f t="array" ref="AK6">INDEX('Monthly Events per venue'!$E:$E,MATCH(AK$8,'Monthly Events per venue'!$C:$C,0))</f>
        <v>HTX</v>
      </c>
      <c r="AL6" s="379" t="str">
        <f t="array" ref="AL6">INDEX('Monthly Events per venue'!$E:$E,MATCH(AL$8,'Monthly Events per venue'!$C:$C,0))</f>
        <v>HTX</v>
      </c>
      <c r="AM6" s="379" t="str">
        <f t="array" ref="AM6">INDEX('Monthly Events per venue'!$E:$E,MATCH(AM$8,'Monthly Events per venue'!$C:$C,0))</f>
        <v>HTX</v>
      </c>
      <c r="AN6" s="379" t="str">
        <f t="array" ref="AN6">INDEX('Monthly Events per venue'!$E:$E,MATCH(AN$8,'Monthly Events per venue'!$C:$C,0))</f>
        <v>HTX</v>
      </c>
      <c r="AO6" s="379" t="str">
        <f t="array" ref="AO6">INDEX('Monthly Events per venue'!$E:$E,MATCH(AO$8,'Monthly Events per venue'!$C:$C,0))</f>
        <v>HTX</v>
      </c>
      <c r="AP6" s="379" t="str">
        <f t="array" ref="AP6">INDEX('Monthly Events per venue'!$E:$E,MATCH(AP$8,'Monthly Events per venue'!$C:$C,0))</f>
        <v>HTX</v>
      </c>
      <c r="AQ6" s="379" t="str">
        <f t="array" ref="AQ6">INDEX('Monthly Events per venue'!$E:$E,MATCH(AQ$8,'Monthly Events per venue'!$C:$C,0))</f>
        <v>ATL</v>
      </c>
      <c r="AR6" s="379" t="str">
        <f t="array" ref="AR6">INDEX('Monthly Events per venue'!$E:$E,MATCH(AR$8,'Monthly Events per venue'!$C:$C,0))</f>
        <v>DFW</v>
      </c>
    </row>
    <row r="7" spans="1:44" ht="14.5">
      <c r="C7" s="19"/>
      <c r="D7" s="19"/>
      <c r="E7" s="23"/>
      <c r="F7" s="516" t="s">
        <v>2057</v>
      </c>
      <c r="G7" s="514"/>
      <c r="H7" s="514"/>
      <c r="I7" s="514"/>
      <c r="J7" s="515"/>
      <c r="K7" s="23"/>
      <c r="L7" s="521" t="s">
        <v>633</v>
      </c>
      <c r="M7" s="514"/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14"/>
      <c r="AA7" s="514"/>
      <c r="AB7" s="514"/>
      <c r="AC7" s="514"/>
      <c r="AD7" s="514"/>
      <c r="AE7" s="514"/>
      <c r="AF7" s="514"/>
      <c r="AG7" s="514"/>
      <c r="AH7" s="514"/>
      <c r="AI7" s="514"/>
      <c r="AJ7" s="514"/>
      <c r="AK7" s="514"/>
      <c r="AL7" s="514"/>
      <c r="AM7" s="514"/>
      <c r="AN7" s="514"/>
      <c r="AO7" s="514"/>
      <c r="AP7" s="514"/>
      <c r="AQ7" s="514"/>
      <c r="AR7" s="515"/>
    </row>
    <row r="8" spans="1:44" ht="43.5">
      <c r="C8" s="19" t="s">
        <v>252</v>
      </c>
      <c r="D8" s="19" t="s">
        <v>205</v>
      </c>
      <c r="E8" s="23"/>
      <c r="F8" s="19" t="s">
        <v>204</v>
      </c>
      <c r="G8" s="19" t="s">
        <v>80</v>
      </c>
      <c r="H8" s="19" t="s">
        <v>2058</v>
      </c>
      <c r="I8" s="19" t="s">
        <v>2059</v>
      </c>
      <c r="J8" s="19" t="s">
        <v>2060</v>
      </c>
      <c r="K8" s="23"/>
      <c r="L8" s="39" t="s">
        <v>2061</v>
      </c>
      <c r="M8" s="39" t="s">
        <v>2062</v>
      </c>
      <c r="N8" s="39" t="s">
        <v>2063</v>
      </c>
      <c r="O8" s="39" t="s">
        <v>2064</v>
      </c>
      <c r="P8" s="39" t="s">
        <v>2065</v>
      </c>
      <c r="Q8" s="39" t="s">
        <v>2066</v>
      </c>
      <c r="R8" s="39" t="s">
        <v>2067</v>
      </c>
      <c r="S8" s="39" t="s">
        <v>2068</v>
      </c>
      <c r="T8" s="39" t="s">
        <v>2069</v>
      </c>
      <c r="U8" s="39" t="s">
        <v>2070</v>
      </c>
      <c r="V8" s="39" t="s">
        <v>2071</v>
      </c>
      <c r="W8" s="39" t="s">
        <v>2072</v>
      </c>
      <c r="X8" s="39" t="s">
        <v>2073</v>
      </c>
      <c r="Y8" s="39" t="s">
        <v>2074</v>
      </c>
      <c r="Z8" s="39" t="s">
        <v>2075</v>
      </c>
      <c r="AA8" s="39" t="s">
        <v>2076</v>
      </c>
      <c r="AB8" s="39" t="s">
        <v>2077</v>
      </c>
      <c r="AC8" s="39" t="s">
        <v>2078</v>
      </c>
      <c r="AD8" s="39" t="s">
        <v>2079</v>
      </c>
      <c r="AE8" s="39" t="s">
        <v>2080</v>
      </c>
      <c r="AF8" s="39" t="s">
        <v>2081</v>
      </c>
      <c r="AG8" s="39" t="s">
        <v>2082</v>
      </c>
      <c r="AH8" s="39" t="s">
        <v>2083</v>
      </c>
      <c r="AI8" s="39" t="s">
        <v>2084</v>
      </c>
      <c r="AJ8" s="39" t="s">
        <v>2085</v>
      </c>
      <c r="AK8" s="39" t="s">
        <v>2086</v>
      </c>
      <c r="AL8" s="39" t="s">
        <v>2087</v>
      </c>
      <c r="AM8" s="39" t="s">
        <v>2088</v>
      </c>
      <c r="AN8" s="39" t="s">
        <v>2089</v>
      </c>
      <c r="AO8" s="39" t="s">
        <v>2090</v>
      </c>
      <c r="AP8" s="39" t="s">
        <v>2091</v>
      </c>
      <c r="AQ8" s="39" t="s">
        <v>2092</v>
      </c>
      <c r="AR8" s="39" t="s">
        <v>2093</v>
      </c>
    </row>
    <row r="9" spans="1:44" ht="4.5" customHeight="1">
      <c r="E9" s="14"/>
      <c r="K9" s="14"/>
    </row>
    <row r="10" spans="1:44" ht="14.5">
      <c r="C10" s="33" t="s">
        <v>2094</v>
      </c>
      <c r="E10" s="14"/>
      <c r="K10" s="14"/>
    </row>
    <row r="11" spans="1:44" ht="14.5">
      <c r="C11" s="8" t="s">
        <v>2095</v>
      </c>
      <c r="D11" s="25">
        <f>SUMIFS('Monthly Events per venue'!$D$40:$D$73,'Monthly Events per venue'!$AS$40:$AS$73,"&gt;"&amp;0)</f>
        <v>41</v>
      </c>
      <c r="E11" s="114"/>
      <c r="F11" s="25">
        <f>SUMIFS('Monthly Events per venue'!$D$40:$D$73,'Monthly Events per venue'!$AS$40:$AS$73,"&gt;"&amp;0,'Monthly Events per venue'!$E$40:$E$73,F$8)</f>
        <v>22</v>
      </c>
      <c r="G11" s="25">
        <f>F11-U11-V11</f>
        <v>19</v>
      </c>
      <c r="H11" s="25">
        <f>SUMIFS('Monthly Events per venue'!$D$40:$D$73,'Monthly Events per venue'!$AS$40:$AS$73,"&gt;"&amp;0,'Monthly Events per venue'!$E$40:$E$73,H$8)</f>
        <v>8</v>
      </c>
      <c r="I11" s="25">
        <f>SUMIFS('Monthly Events per venue'!$D$40:$D$73,'Monthly Events per venue'!$AS$40:$AS$73,"&gt;"&amp;0,'Monthly Events per venue'!$E$40:$E$73,I$8)</f>
        <v>10</v>
      </c>
      <c r="J11" s="25">
        <f>SUMIFS('Monthly Events per venue'!$D$40:$D$73,'Monthly Events per venue'!$AS$40:$AS$73,"&gt;"&amp;0,'Monthly Events per venue'!$E$40:$E$73,J$8)</f>
        <v>1</v>
      </c>
      <c r="K11" s="114"/>
      <c r="L11" s="25">
        <f t="array" ref="L11">INDEX('Monthly Events per venue'!$D:$D,MATCH(L$8,'Monthly Events per venue'!$C:$C,0))</f>
        <v>1</v>
      </c>
      <c r="M11" s="25">
        <f t="array" ref="M11">INDEX('Monthly Events per venue'!$D:$D,MATCH(M$8,'Monthly Events per venue'!$C:$C,0))</f>
        <v>2</v>
      </c>
      <c r="N11" s="25">
        <f t="array" ref="N11">INDEX('Monthly Events per venue'!$D:$D,MATCH(N$8,'Monthly Events per venue'!$C:$C,0))</f>
        <v>2</v>
      </c>
      <c r="O11" s="25">
        <f t="array" ref="O11">INDEX('Monthly Events per venue'!$D:$D,MATCH(O$8,'Monthly Events per venue'!$C:$C,0))</f>
        <v>1</v>
      </c>
      <c r="P11" s="25">
        <f t="array" ref="P11">INDEX('Monthly Events per venue'!$D:$D,MATCH(P$8,'Monthly Events per venue'!$C:$C,0))</f>
        <v>1</v>
      </c>
      <c r="Q11" s="25">
        <f t="array" ref="Q11">INDEX('Monthly Events per venue'!$D:$D,MATCH(Q$8,'Monthly Events per venue'!$C:$C,0))</f>
        <v>1</v>
      </c>
      <c r="R11" s="25">
        <f t="array" ref="R11">INDEX('Monthly Events per venue'!$D:$D,MATCH(R$8,'Monthly Events per venue'!$C:$C,0))</f>
        <v>1</v>
      </c>
      <c r="S11" s="25">
        <f t="array" ref="S11">INDEX('Monthly Events per venue'!$D:$D,MATCH(S$8,'Monthly Events per venue'!$C:$C,0))</f>
        <v>2</v>
      </c>
      <c r="T11" s="25">
        <f t="array" ref="T11">INDEX('Monthly Events per venue'!$D:$D,MATCH(T$8,'Monthly Events per venue'!$C:$C,0))</f>
        <v>1</v>
      </c>
      <c r="U11" s="25">
        <f t="array" ref="U11">INDEX('Monthly Events per venue'!$D:$D,MATCH(U$8,'Monthly Events per venue'!$C:$C,0))</f>
        <v>1</v>
      </c>
      <c r="V11" s="25">
        <f t="array" ref="V11">INDEX('Monthly Events per venue'!$D:$D,MATCH(V$8,'Monthly Events per venue'!$C:$C,0))</f>
        <v>2</v>
      </c>
      <c r="W11" s="25">
        <f t="array" ref="W11">INDEX('Monthly Events per venue'!$D:$D,MATCH(W$8,'Monthly Events per venue'!$C:$C,0))</f>
        <v>1</v>
      </c>
      <c r="X11" s="25">
        <f t="array" ref="X11">INDEX('Monthly Events per venue'!$D:$D,MATCH(X$8,'Monthly Events per venue'!$C:$C,0))</f>
        <v>1</v>
      </c>
      <c r="Y11" s="25">
        <f t="array" ref="Y11">INDEX('Monthly Events per venue'!$D:$D,MATCH(Y$8,'Monthly Events per venue'!$C:$C,0))</f>
        <v>1</v>
      </c>
      <c r="Z11" s="25">
        <f t="array" ref="Z11">INDEX('Monthly Events per venue'!$D:$D,MATCH(Z$8,'Monthly Events per venue'!$C:$C,0))</f>
        <v>1</v>
      </c>
      <c r="AA11" s="25">
        <f t="array" ref="AA11">INDEX('Monthly Events per venue'!$D:$D,MATCH(AA$8,'Monthly Events per venue'!$C:$C,0))</f>
        <v>1</v>
      </c>
      <c r="AB11" s="25">
        <f t="array" ref="AB11">INDEX('Monthly Events per venue'!$D:$D,MATCH(AB$8,'Monthly Events per venue'!$C:$C,0))</f>
        <v>1</v>
      </c>
      <c r="AC11" s="25">
        <f t="array" ref="AC11">INDEX('Monthly Events per venue'!$D:$D,MATCH(AC$8,'Monthly Events per venue'!$C:$C,0))</f>
        <v>2</v>
      </c>
      <c r="AD11" s="25" t="e">
        <f t="array" ref="AD11">INDEX('Monthly Events per venue'!$D:$D,MATCH(AD$8,'Monthly Events per venue'!$C:$C,0))</f>
        <v>#N/A</v>
      </c>
      <c r="AE11" s="25">
        <f t="array" ref="AE11">INDEX('Monthly Events per venue'!$D:$D,MATCH(AE$8,'Monthly Events per venue'!$C:$C,0))</f>
        <v>2</v>
      </c>
      <c r="AF11" s="25">
        <f t="array" ref="AF11">INDEX('Monthly Events per venue'!$D:$D,MATCH(AF$8,'Monthly Events per venue'!$C:$C,0))</f>
        <v>1</v>
      </c>
      <c r="AG11" s="25">
        <f t="array" ref="AG11">INDEX('Monthly Events per venue'!$D:$D,MATCH(AG$8,'Monthly Events per venue'!$C:$C,0))</f>
        <v>1</v>
      </c>
      <c r="AH11" s="25">
        <f t="array" ref="AH11">INDEX('Monthly Events per venue'!$D:$D,MATCH(AH$8,'Monthly Events per venue'!$C:$C,0))</f>
        <v>2</v>
      </c>
      <c r="AI11" s="25">
        <f t="array" ref="AI11">INDEX('Monthly Events per venue'!$D:$D,MATCH(AI$8,'Monthly Events per venue'!$C:$C,0))</f>
        <v>1</v>
      </c>
      <c r="AJ11" s="25">
        <f t="array" ref="AJ11">INDEX('Monthly Events per venue'!$D:$D,MATCH(AJ$8,'Monthly Events per venue'!$C:$C,0))</f>
        <v>1</v>
      </c>
      <c r="AK11" s="25">
        <f t="array" ref="AK11">INDEX('Monthly Events per venue'!$D:$D,MATCH(AK$8,'Monthly Events per venue'!$C:$C,0))</f>
        <v>1</v>
      </c>
      <c r="AL11" s="25">
        <f t="array" ref="AL11">INDEX('Monthly Events per venue'!$D:$D,MATCH(AL$8,'Monthly Events per venue'!$C:$C,0))</f>
        <v>1</v>
      </c>
      <c r="AM11" s="25">
        <f t="array" ref="AM11">INDEX('Monthly Events per venue'!$D:$D,MATCH(AM$8,'Monthly Events per venue'!$C:$C,0))</f>
        <v>1</v>
      </c>
      <c r="AN11" s="25">
        <f t="array" ref="AN11">INDEX('Monthly Events per venue'!$D:$D,MATCH(AN$8,'Monthly Events per venue'!$C:$C,0))</f>
        <v>2</v>
      </c>
      <c r="AO11" s="25">
        <f t="array" ref="AO11">INDEX('Monthly Events per venue'!$D:$D,MATCH(AO$8,'Monthly Events per venue'!$C:$C,0))</f>
        <v>2</v>
      </c>
      <c r="AP11" s="25">
        <f t="array" ref="AP11">INDEX('Monthly Events per venue'!$D:$D,MATCH(AP$8,'Monthly Events per venue'!$C:$C,0))</f>
        <v>1</v>
      </c>
      <c r="AQ11" s="25">
        <f t="array" ref="AQ11">INDEX('Monthly Events per venue'!$D:$D,MATCH(AQ$8,'Monthly Events per venue'!$C:$C,0))</f>
        <v>1</v>
      </c>
      <c r="AR11" s="25">
        <f t="array" ref="AR11">INDEX('Monthly Events per venue'!$D:$D,MATCH(AR$8,'Monthly Events per venue'!$C:$C,0))</f>
        <v>1</v>
      </c>
    </row>
    <row r="12" spans="1:44" ht="4.5" customHeight="1">
      <c r="C12" s="8"/>
      <c r="D12" s="25"/>
      <c r="E12" s="114"/>
      <c r="F12" s="25"/>
      <c r="G12" s="25"/>
      <c r="H12" s="25"/>
      <c r="I12" s="25"/>
      <c r="J12" s="25"/>
      <c r="K12" s="11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:44" ht="14.5">
      <c r="A13" s="31" t="s">
        <v>2096</v>
      </c>
      <c r="C13" s="8" t="s">
        <v>2097</v>
      </c>
      <c r="D13" s="25">
        <f>SUMIFS('Monthly Events per venue'!$AS:$AS,'Monthly Events per venue'!$B:$B,$A13)</f>
        <v>3035</v>
      </c>
      <c r="E13" s="114"/>
      <c r="F13" s="25">
        <f>SUMIFS('Monthly Events per venue'!$AS:$AS,'Monthly Events per venue'!$B:$B,$A13,'Monthly Events per venue'!$E:$E,F$8)</f>
        <v>1614</v>
      </c>
      <c r="G13" s="25">
        <f t="shared" ref="G13:G18" si="0">F13-U13-V13</f>
        <v>1431</v>
      </c>
      <c r="H13" s="25">
        <f>SUMIFS('Monthly Events per venue'!$AS:$AS,'Monthly Events per venue'!$B:$B,$A13,'Monthly Events per venue'!$E:$E,H$8)</f>
        <v>470</v>
      </c>
      <c r="I13" s="25">
        <f>SUMIFS('Monthly Events per venue'!$AS:$AS,'Monthly Events per venue'!$B:$B,$A13,'Monthly Events per venue'!$E:$E,I$8)</f>
        <v>706</v>
      </c>
      <c r="J13" s="25">
        <f>SUMIFS('Monthly Events per venue'!$AS:$AS,'Monthly Events per venue'!$B:$B,$A13,'Monthly Events per venue'!$E:$E,J$8)</f>
        <v>245</v>
      </c>
      <c r="K13" s="114"/>
      <c r="L13" s="25">
        <f>SUMIFS('Monthly Events per venue'!$AS:$AS,'Monthly Events per venue'!$B:$B,$A13,'Monthly Events per venue'!$C:$C,L$8)</f>
        <v>56</v>
      </c>
      <c r="M13" s="25">
        <f>SUMIFS('Monthly Events per venue'!$AS:$AS,'Monthly Events per venue'!$B:$B,$A13,'Monthly Events per venue'!$C:$C,M$8)</f>
        <v>91</v>
      </c>
      <c r="N13" s="25">
        <f>SUMIFS('Monthly Events per venue'!$AS:$AS,'Monthly Events per venue'!$B:$B,$A13,'Monthly Events per venue'!$C:$C,N$8)</f>
        <v>79</v>
      </c>
      <c r="O13" s="25">
        <f>SUMIFS('Monthly Events per venue'!$AS:$AS,'Monthly Events per venue'!$B:$B,$A13,'Monthly Events per venue'!$C:$C,O$8)</f>
        <v>142</v>
      </c>
      <c r="P13" s="25">
        <f>SUMIFS('Monthly Events per venue'!$AS:$AS,'Monthly Events per venue'!$B:$B,$A13,'Monthly Events per venue'!$C:$C,P$8)</f>
        <v>54</v>
      </c>
      <c r="Q13" s="25">
        <f>SUMIFS('Monthly Events per venue'!$AS:$AS,'Monthly Events per venue'!$B:$B,$A13,'Monthly Events per venue'!$C:$C,Q$8)</f>
        <v>147</v>
      </c>
      <c r="R13" s="25">
        <f>SUMIFS('Monthly Events per venue'!$AS:$AS,'Monthly Events per venue'!$B:$B,$A13,'Monthly Events per venue'!$C:$C,R$8)</f>
        <v>62</v>
      </c>
      <c r="S13" s="25">
        <f>SUMIFS('Monthly Events per venue'!$AS:$AS,'Monthly Events per venue'!$B:$B,$A13,'Monthly Events per venue'!$C:$C,S$8)</f>
        <v>112</v>
      </c>
      <c r="T13" s="25">
        <f>SUMIFS('Monthly Events per venue'!$AS:$AS,'Monthly Events per venue'!$B:$B,$A13,'Monthly Events per venue'!$C:$C,T$8)</f>
        <v>100</v>
      </c>
      <c r="U13" s="25">
        <f>SUMIFS('Monthly Events per venue'!$AS:$AS,'Monthly Events per venue'!$B:$B,$A13,'Monthly Events per venue'!$C:$C,U$8)</f>
        <v>140</v>
      </c>
      <c r="V13" s="25">
        <f>SUMIFS('Monthly Events per venue'!$AS:$AS,'Monthly Events per venue'!$B:$B,$A13,'Monthly Events per venue'!$C:$C,V$8)</f>
        <v>43</v>
      </c>
      <c r="W13" s="25">
        <f>SUMIFS('Monthly Events per venue'!$AS:$AS,'Monthly Events per venue'!$B:$B,$A13,'Monthly Events per venue'!$C:$C,W$8)</f>
        <v>69</v>
      </c>
      <c r="X13" s="25">
        <f>SUMIFS('Monthly Events per venue'!$AS:$AS,'Monthly Events per venue'!$B:$B,$A13,'Monthly Events per venue'!$C:$C,X$8)</f>
        <v>91</v>
      </c>
      <c r="Y13" s="25">
        <f>SUMIFS('Monthly Events per venue'!$AS:$AS,'Monthly Events per venue'!$B:$B,$A13,'Monthly Events per venue'!$C:$C,Y$8)</f>
        <v>85</v>
      </c>
      <c r="Z13" s="25">
        <f>SUMIFS('Monthly Events per venue'!$AS:$AS,'Monthly Events per venue'!$B:$B,$A13,'Monthly Events per venue'!$C:$C,Z$8)</f>
        <v>139</v>
      </c>
      <c r="AA13" s="25">
        <f>SUMIFS('Monthly Events per venue'!$AS:$AS,'Monthly Events per venue'!$B:$B,$A13,'Monthly Events per venue'!$C:$C,AA$8)</f>
        <v>65</v>
      </c>
      <c r="AB13" s="25">
        <f>SUMIFS('Monthly Events per venue'!$AS:$AS,'Monthly Events per venue'!$B:$B,$A13,'Monthly Events per venue'!$C:$C,AB$8)</f>
        <v>66</v>
      </c>
      <c r="AC13" s="25">
        <f>SUMIFS('Monthly Events per venue'!$AS:$AS,'Monthly Events per venue'!$B:$B,$A13,'Monthly Events per venue'!$C:$C,AC$8)</f>
        <v>131</v>
      </c>
      <c r="AD13" s="25">
        <f>SUMIFS('Monthly Events per venue'!$AS:$AS,'Monthly Events per venue'!$B:$B,$A13,'Monthly Events per venue'!$C:$C,AD$8)</f>
        <v>0</v>
      </c>
      <c r="AE13" s="25">
        <f>SUMIFS('Monthly Events per venue'!$AS:$AS,'Monthly Events per venue'!$B:$B,$A13,'Monthly Events per venue'!$C:$C,AE$8)</f>
        <v>0</v>
      </c>
      <c r="AF13" s="25">
        <f>SUMIFS('Monthly Events per venue'!$AS:$AS,'Monthly Events per venue'!$B:$B,$A13,'Monthly Events per venue'!$C:$C,AF$8)</f>
        <v>41</v>
      </c>
      <c r="AG13" s="25">
        <f>SUMIFS('Monthly Events per venue'!$AS:$AS,'Monthly Events per venue'!$B:$B,$A13,'Monthly Events per venue'!$C:$C,AG$8)</f>
        <v>81</v>
      </c>
      <c r="AH13" s="25">
        <f>SUMIFS('Monthly Events per venue'!$AS:$AS,'Monthly Events per venue'!$B:$B,$A13,'Monthly Events per venue'!$C:$C,AH$8)</f>
        <v>81</v>
      </c>
      <c r="AI13" s="25">
        <f>SUMIFS('Monthly Events per venue'!$AS:$AS,'Monthly Events per venue'!$B:$B,$A13,'Monthly Events per venue'!$C:$C,AI$8)</f>
        <v>42</v>
      </c>
      <c r="AJ13" s="25">
        <f>SUMIFS('Monthly Events per venue'!$AS:$AS,'Monthly Events per venue'!$B:$B,$A13,'Monthly Events per venue'!$C:$C,AJ$8)</f>
        <v>105</v>
      </c>
      <c r="AK13" s="25">
        <f>SUMIFS('Monthly Events per venue'!$AS:$AS,'Monthly Events per venue'!$B:$B,$A13,'Monthly Events per venue'!$C:$C,AK$8)</f>
        <v>101</v>
      </c>
      <c r="AL13" s="25">
        <f>SUMIFS('Monthly Events per venue'!$AS:$AS,'Monthly Events per venue'!$B:$B,$A13,'Monthly Events per venue'!$C:$C,AL$8)</f>
        <v>67</v>
      </c>
      <c r="AM13" s="25">
        <f>SUMIFS('Monthly Events per venue'!$AS:$AS,'Monthly Events per venue'!$B:$B,$A13,'Monthly Events per venue'!$C:$C,AM$8)</f>
        <v>83</v>
      </c>
      <c r="AN13" s="25">
        <f>SUMIFS('Monthly Events per venue'!$AS:$AS,'Monthly Events per venue'!$B:$B,$A13,'Monthly Events per venue'!$C:$C,AN$8)</f>
        <v>78</v>
      </c>
      <c r="AO13" s="25">
        <f>SUMIFS('Monthly Events per venue'!$AS:$AS,'Monthly Events per venue'!$B:$B,$A13,'Monthly Events per venue'!$C:$C,AO$8)</f>
        <v>195</v>
      </c>
      <c r="AP13" s="25">
        <f>SUMIFS('Monthly Events per venue'!$AS:$AS,'Monthly Events per venue'!$B:$B,$A13,'Monthly Events per venue'!$C:$C,AP$8)</f>
        <v>39</v>
      </c>
      <c r="AQ13" s="25">
        <f>SUMIFS('Monthly Events per venue'!$AS:$AS,'Monthly Events per venue'!$B:$B,$A13,'Monthly Events per venue'!$C:$C,AQ$8)</f>
        <v>245</v>
      </c>
      <c r="AR13" s="25">
        <f>SUMIFS('Monthly Events per venue'!$AS:$AS,'Monthly Events per venue'!$B:$B,$A13,'Monthly Events per venue'!$C:$C,AR$8)</f>
        <v>73</v>
      </c>
    </row>
    <row r="14" spans="1:44" ht="14.5">
      <c r="A14" s="3" t="s">
        <v>216</v>
      </c>
      <c r="C14" s="8" t="s">
        <v>2098</v>
      </c>
      <c r="D14" s="25">
        <f>SUMIFS('Monthly Events per venue'!$AS:$AS,'Monthly Events per venue'!$B:$B,$A14)</f>
        <v>2095</v>
      </c>
      <c r="E14" s="114"/>
      <c r="F14" s="25">
        <f>SUMIFS('Monthly Events per venue'!$AS:$AS,'Monthly Events per venue'!$B:$B,$A14,'Monthly Events per venue'!$E:$E,F$8)</f>
        <v>1071</v>
      </c>
      <c r="G14" s="25">
        <f t="shared" si="0"/>
        <v>925</v>
      </c>
      <c r="H14" s="25">
        <f>SUMIFS('Monthly Events per venue'!$AS:$AS,'Monthly Events per venue'!$B:$B,$A14,'Monthly Events per venue'!$E:$E,H$8)</f>
        <v>367</v>
      </c>
      <c r="I14" s="25">
        <f>SUMIFS('Monthly Events per venue'!$AS:$AS,'Monthly Events per venue'!$B:$B,$A14,'Monthly Events per venue'!$E:$E,I$8)</f>
        <v>469</v>
      </c>
      <c r="J14" s="25">
        <f>SUMIFS('Monthly Events per venue'!$AS:$AS,'Monthly Events per venue'!$B:$B,$A14,'Monthly Events per venue'!$E:$E,J$8)</f>
        <v>188</v>
      </c>
      <c r="K14" s="114"/>
      <c r="L14" s="25">
        <f>SUMIFS('Monthly Events per venue'!$AS:$AS,'Monthly Events per venue'!$B:$B,$A14,'Monthly Events per venue'!$C:$C,L$8)</f>
        <v>38</v>
      </c>
      <c r="M14" s="25">
        <f>SUMIFS('Monthly Events per venue'!$AS:$AS,'Monthly Events per venue'!$B:$B,$A14,'Monthly Events per venue'!$C:$C,M$8)</f>
        <v>42</v>
      </c>
      <c r="N14" s="25">
        <f>SUMIFS('Monthly Events per venue'!$AS:$AS,'Monthly Events per venue'!$B:$B,$A14,'Monthly Events per venue'!$C:$C,N$8)</f>
        <v>61</v>
      </c>
      <c r="O14" s="25">
        <f>SUMIFS('Monthly Events per venue'!$AS:$AS,'Monthly Events per venue'!$B:$B,$A14,'Monthly Events per venue'!$C:$C,O$8)</f>
        <v>107</v>
      </c>
      <c r="P14" s="25">
        <f>SUMIFS('Monthly Events per venue'!$AS:$AS,'Monthly Events per venue'!$B:$B,$A14,'Monthly Events per venue'!$C:$C,P$8)</f>
        <v>25</v>
      </c>
      <c r="Q14" s="25">
        <f>SUMIFS('Monthly Events per venue'!$AS:$AS,'Monthly Events per venue'!$B:$B,$A14,'Monthly Events per venue'!$C:$C,Q$8)</f>
        <v>112</v>
      </c>
      <c r="R14" s="25">
        <f>SUMIFS('Monthly Events per venue'!$AS:$AS,'Monthly Events per venue'!$B:$B,$A14,'Monthly Events per venue'!$C:$C,R$8)</f>
        <v>39</v>
      </c>
      <c r="S14" s="25">
        <f>SUMIFS('Monthly Events per venue'!$AS:$AS,'Monthly Events per venue'!$B:$B,$A14,'Monthly Events per venue'!$C:$C,S$8)</f>
        <v>82</v>
      </c>
      <c r="T14" s="25">
        <f>SUMIFS('Monthly Events per venue'!$AS:$AS,'Monthly Events per venue'!$B:$B,$A14,'Monthly Events per venue'!$C:$C,T$8)</f>
        <v>86</v>
      </c>
      <c r="U14" s="25">
        <f>SUMIFS('Monthly Events per venue'!$AS:$AS,'Monthly Events per venue'!$B:$B,$A14,'Monthly Events per venue'!$C:$C,U$8)</f>
        <v>116</v>
      </c>
      <c r="V14" s="25">
        <f>SUMIFS('Monthly Events per venue'!$AS:$AS,'Monthly Events per venue'!$B:$B,$A14,'Monthly Events per venue'!$C:$C,V$8)</f>
        <v>30</v>
      </c>
      <c r="W14" s="25">
        <f>SUMIFS('Monthly Events per venue'!$AS:$AS,'Monthly Events per venue'!$B:$B,$A14,'Monthly Events per venue'!$C:$C,W$8)</f>
        <v>38</v>
      </c>
      <c r="X14" s="25">
        <f>SUMIFS('Monthly Events per venue'!$AS:$AS,'Monthly Events per venue'!$B:$B,$A14,'Monthly Events per venue'!$C:$C,X$8)</f>
        <v>65</v>
      </c>
      <c r="Y14" s="25">
        <f>SUMIFS('Monthly Events per venue'!$AS:$AS,'Monthly Events per venue'!$B:$B,$A14,'Monthly Events per venue'!$C:$C,Y$8)</f>
        <v>49</v>
      </c>
      <c r="Z14" s="25">
        <f>SUMIFS('Monthly Events per venue'!$AS:$AS,'Monthly Events per venue'!$B:$B,$A14,'Monthly Events per venue'!$C:$C,Z$8)</f>
        <v>108</v>
      </c>
      <c r="AA14" s="25">
        <f>SUMIFS('Monthly Events per venue'!$AS:$AS,'Monthly Events per venue'!$B:$B,$A14,'Monthly Events per venue'!$C:$C,AA$8)</f>
        <v>37</v>
      </c>
      <c r="AB14" s="25">
        <f>SUMIFS('Monthly Events per venue'!$AS:$AS,'Monthly Events per venue'!$B:$B,$A14,'Monthly Events per venue'!$C:$C,AB$8)</f>
        <v>33</v>
      </c>
      <c r="AC14" s="25">
        <f>SUMIFS('Monthly Events per venue'!$AS:$AS,'Monthly Events per venue'!$B:$B,$A14,'Monthly Events per venue'!$C:$C,AC$8)</f>
        <v>98</v>
      </c>
      <c r="AD14" s="25">
        <f>SUMIFS('Monthly Events per venue'!$AS:$AS,'Monthly Events per venue'!$B:$B,$A14,'Monthly Events per venue'!$C:$C,AD$8)</f>
        <v>0</v>
      </c>
      <c r="AE14" s="25">
        <f>SUMIFS('Monthly Events per venue'!$AS:$AS,'Monthly Events per venue'!$B:$B,$A14,'Monthly Events per venue'!$C:$C,AE$8)</f>
        <v>0</v>
      </c>
      <c r="AF14" s="25">
        <f>SUMIFS('Monthly Events per venue'!$AS:$AS,'Monthly Events per venue'!$B:$B,$A14,'Monthly Events per venue'!$C:$C,AF$8)</f>
        <v>33</v>
      </c>
      <c r="AG14" s="25">
        <f>SUMIFS('Monthly Events per venue'!$AS:$AS,'Monthly Events per venue'!$B:$B,$A14,'Monthly Events per venue'!$C:$C,AG$8)</f>
        <v>64</v>
      </c>
      <c r="AH14" s="25">
        <f>SUMIFS('Monthly Events per venue'!$AS:$AS,'Monthly Events per venue'!$B:$B,$A14,'Monthly Events per venue'!$C:$C,AH$8)</f>
        <v>67</v>
      </c>
      <c r="AI14" s="25">
        <f>SUMIFS('Monthly Events per venue'!$AS:$AS,'Monthly Events per venue'!$B:$B,$A14,'Monthly Events per venue'!$C:$C,AI$8)</f>
        <v>24</v>
      </c>
      <c r="AJ14" s="25">
        <f>SUMIFS('Monthly Events per venue'!$AS:$AS,'Monthly Events per venue'!$B:$B,$A14,'Monthly Events per venue'!$C:$C,AJ$8)</f>
        <v>82</v>
      </c>
      <c r="AK14" s="25">
        <f>SUMIFS('Monthly Events per venue'!$AS:$AS,'Monthly Events per venue'!$B:$B,$A14,'Monthly Events per venue'!$C:$C,AK$8)</f>
        <v>58</v>
      </c>
      <c r="AL14" s="25">
        <f>SUMIFS('Monthly Events per venue'!$AS:$AS,'Monthly Events per venue'!$B:$B,$A14,'Monthly Events per venue'!$C:$C,AL$8)</f>
        <v>39</v>
      </c>
      <c r="AM14" s="25">
        <f>SUMIFS('Monthly Events per venue'!$AS:$AS,'Monthly Events per venue'!$B:$B,$A14,'Monthly Events per venue'!$C:$C,AM$8)</f>
        <v>63</v>
      </c>
      <c r="AN14" s="25">
        <f>SUMIFS('Monthly Events per venue'!$AS:$AS,'Monthly Events per venue'!$B:$B,$A14,'Monthly Events per venue'!$C:$C,AN$8)</f>
        <v>62</v>
      </c>
      <c r="AO14" s="25">
        <f>SUMIFS('Monthly Events per venue'!$AS:$AS,'Monthly Events per venue'!$B:$B,$A14,'Monthly Events per venue'!$C:$C,AO$8)</f>
        <v>158</v>
      </c>
      <c r="AP14" s="25">
        <f>SUMIFS('Monthly Events per venue'!$AS:$AS,'Monthly Events per venue'!$B:$B,$A14,'Monthly Events per venue'!$C:$C,AP$8)</f>
        <v>7</v>
      </c>
      <c r="AQ14" s="25">
        <f>SUMIFS('Monthly Events per venue'!$AS:$AS,'Monthly Events per venue'!$B:$B,$A14,'Monthly Events per venue'!$C:$C,AQ$8)</f>
        <v>188</v>
      </c>
      <c r="AR14" s="25">
        <f>SUMIFS('Monthly Events per venue'!$AS:$AS,'Monthly Events per venue'!$B:$B,$A14,'Monthly Events per venue'!$C:$C,AR$8)</f>
        <v>3</v>
      </c>
    </row>
    <row r="15" spans="1:44" ht="14.5">
      <c r="A15" s="3" t="s">
        <v>217</v>
      </c>
      <c r="C15" s="8" t="s">
        <v>2099</v>
      </c>
      <c r="D15" s="25">
        <f>SUMIFS('Monthly Events per venue'!$AS:$AS,'Monthly Events per venue'!$B:$B,$A15)</f>
        <v>1637</v>
      </c>
      <c r="E15" s="114"/>
      <c r="F15" s="25">
        <f>SUMIFS('Monthly Events per venue'!$AS:$AS,'Monthly Events per venue'!$B:$B,$A15,'Monthly Events per venue'!$E:$E,F$8)</f>
        <v>849</v>
      </c>
      <c r="G15" s="25">
        <f t="shared" si="0"/>
        <v>701</v>
      </c>
      <c r="H15" s="25">
        <f>SUMIFS('Monthly Events per venue'!$AS:$AS,'Monthly Events per venue'!$B:$B,$A15,'Monthly Events per venue'!$E:$E,H$8)</f>
        <v>261</v>
      </c>
      <c r="I15" s="25">
        <f>SUMIFS('Monthly Events per venue'!$AS:$AS,'Monthly Events per venue'!$B:$B,$A15,'Monthly Events per venue'!$E:$E,I$8)</f>
        <v>410</v>
      </c>
      <c r="J15" s="25">
        <f>SUMIFS('Monthly Events per venue'!$AS:$AS,'Monthly Events per venue'!$B:$B,$A15,'Monthly Events per venue'!$E:$E,J$8)</f>
        <v>117</v>
      </c>
      <c r="K15" s="114"/>
      <c r="L15" s="25">
        <f>SUMIFS('Monthly Events per venue'!$AS:$AS,'Monthly Events per venue'!$B:$B,$A15,'Monthly Events per venue'!$C:$C,L$8)</f>
        <v>35</v>
      </c>
      <c r="M15" s="25">
        <f>SUMIFS('Monthly Events per venue'!$AS:$AS,'Monthly Events per venue'!$B:$B,$A15,'Monthly Events per venue'!$C:$C,M$8)</f>
        <v>31</v>
      </c>
      <c r="N15" s="25">
        <f>SUMIFS('Monthly Events per venue'!$AS:$AS,'Monthly Events per venue'!$B:$B,$A15,'Monthly Events per venue'!$C:$C,N$8)</f>
        <v>52</v>
      </c>
      <c r="O15" s="25">
        <f>SUMIFS('Monthly Events per venue'!$AS:$AS,'Monthly Events per venue'!$B:$B,$A15,'Monthly Events per venue'!$C:$C,O$8)</f>
        <v>77</v>
      </c>
      <c r="P15" s="25">
        <f>SUMIFS('Monthly Events per venue'!$AS:$AS,'Monthly Events per venue'!$B:$B,$A15,'Monthly Events per venue'!$C:$C,P$8)</f>
        <v>16</v>
      </c>
      <c r="Q15" s="25">
        <f>SUMIFS('Monthly Events per venue'!$AS:$AS,'Monthly Events per venue'!$B:$B,$A15,'Monthly Events per venue'!$C:$C,Q$8)</f>
        <v>87</v>
      </c>
      <c r="R15" s="25">
        <f>SUMIFS('Monthly Events per venue'!$AS:$AS,'Monthly Events per venue'!$B:$B,$A15,'Monthly Events per venue'!$C:$C,R$8)</f>
        <v>21</v>
      </c>
      <c r="S15" s="25">
        <f>SUMIFS('Monthly Events per venue'!$AS:$AS,'Monthly Events per venue'!$B:$B,$A15,'Monthly Events per venue'!$C:$C,S$8)</f>
        <v>60</v>
      </c>
      <c r="T15" s="25">
        <f>SUMIFS('Monthly Events per venue'!$AS:$AS,'Monthly Events per venue'!$B:$B,$A15,'Monthly Events per venue'!$C:$C,T$8)</f>
        <v>64</v>
      </c>
      <c r="U15" s="25">
        <f>SUMIFS('Monthly Events per venue'!$AS:$AS,'Monthly Events per venue'!$B:$B,$A15,'Monthly Events per venue'!$C:$C,U$8)</f>
        <v>125</v>
      </c>
      <c r="V15" s="25">
        <f>SUMIFS('Monthly Events per venue'!$AS:$AS,'Monthly Events per venue'!$B:$B,$A15,'Monthly Events per venue'!$C:$C,V$8)</f>
        <v>23</v>
      </c>
      <c r="W15" s="25">
        <f>SUMIFS('Monthly Events per venue'!$AS:$AS,'Monthly Events per venue'!$B:$B,$A15,'Monthly Events per venue'!$C:$C,W$8)</f>
        <v>29</v>
      </c>
      <c r="X15" s="25">
        <f>SUMIFS('Monthly Events per venue'!$AS:$AS,'Monthly Events per venue'!$B:$B,$A15,'Monthly Events per venue'!$C:$C,X$8)</f>
        <v>53</v>
      </c>
      <c r="Y15" s="25">
        <f>SUMIFS('Monthly Events per venue'!$AS:$AS,'Monthly Events per venue'!$B:$B,$A15,'Monthly Events per venue'!$C:$C,Y$8)</f>
        <v>30</v>
      </c>
      <c r="Z15" s="25">
        <f>SUMIFS('Monthly Events per venue'!$AS:$AS,'Monthly Events per venue'!$B:$B,$A15,'Monthly Events per venue'!$C:$C,Z$8)</f>
        <v>85</v>
      </c>
      <c r="AA15" s="25">
        <f>SUMIFS('Monthly Events per venue'!$AS:$AS,'Monthly Events per venue'!$B:$B,$A15,'Monthly Events per venue'!$C:$C,AA$8)</f>
        <v>36</v>
      </c>
      <c r="AB15" s="25">
        <f>SUMIFS('Monthly Events per venue'!$AS:$AS,'Monthly Events per venue'!$B:$B,$A15,'Monthly Events per venue'!$C:$C,AB$8)</f>
        <v>23</v>
      </c>
      <c r="AC15" s="25">
        <f>SUMIFS('Monthly Events per venue'!$AS:$AS,'Monthly Events per venue'!$B:$B,$A15,'Monthly Events per venue'!$C:$C,AC$8)</f>
        <v>65</v>
      </c>
      <c r="AD15" s="25">
        <f>SUMIFS('Monthly Events per venue'!$AS:$AS,'Monthly Events per venue'!$B:$B,$A15,'Monthly Events per venue'!$C:$C,AD$8)</f>
        <v>0</v>
      </c>
      <c r="AE15" s="25">
        <f>SUMIFS('Monthly Events per venue'!$AS:$AS,'Monthly Events per venue'!$B:$B,$A15,'Monthly Events per venue'!$C:$C,AE$8)</f>
        <v>0</v>
      </c>
      <c r="AF15" s="25">
        <f>SUMIFS('Monthly Events per venue'!$AS:$AS,'Monthly Events per venue'!$B:$B,$A15,'Monthly Events per venue'!$C:$C,AF$8)</f>
        <v>22</v>
      </c>
      <c r="AG15" s="25">
        <f>SUMIFS('Monthly Events per venue'!$AS:$AS,'Monthly Events per venue'!$B:$B,$A15,'Monthly Events per venue'!$C:$C,AG$8)</f>
        <v>45</v>
      </c>
      <c r="AH15" s="25">
        <f>SUMIFS('Monthly Events per venue'!$AS:$AS,'Monthly Events per venue'!$B:$B,$A15,'Monthly Events per venue'!$C:$C,AH$8)</f>
        <v>46</v>
      </c>
      <c r="AI15" s="25">
        <f>SUMIFS('Monthly Events per venue'!$AS:$AS,'Monthly Events per venue'!$B:$B,$A15,'Monthly Events per venue'!$C:$C,AI$8)</f>
        <v>26</v>
      </c>
      <c r="AJ15" s="25">
        <f>SUMIFS('Monthly Events per venue'!$AS:$AS,'Monthly Events per venue'!$B:$B,$A15,'Monthly Events per venue'!$C:$C,AJ$8)</f>
        <v>69</v>
      </c>
      <c r="AK15" s="25">
        <f>SUMIFS('Monthly Events per venue'!$AS:$AS,'Monthly Events per venue'!$B:$B,$A15,'Monthly Events per venue'!$C:$C,AK$8)</f>
        <v>47</v>
      </c>
      <c r="AL15" s="25">
        <f>SUMIFS('Monthly Events per venue'!$AS:$AS,'Monthly Events per venue'!$B:$B,$A15,'Monthly Events per venue'!$C:$C,AL$8)</f>
        <v>37</v>
      </c>
      <c r="AM15" s="25">
        <f>SUMIFS('Monthly Events per venue'!$AS:$AS,'Monthly Events per venue'!$B:$B,$A15,'Monthly Events per venue'!$C:$C,AM$8)</f>
        <v>54</v>
      </c>
      <c r="AN15" s="25">
        <f>SUMIFS('Monthly Events per venue'!$AS:$AS,'Monthly Events per venue'!$B:$B,$A15,'Monthly Events per venue'!$C:$C,AN$8)</f>
        <v>54</v>
      </c>
      <c r="AO15" s="25">
        <f>SUMIFS('Monthly Events per venue'!$AS:$AS,'Monthly Events per venue'!$B:$B,$A15,'Monthly Events per venue'!$C:$C,AO$8)</f>
        <v>143</v>
      </c>
      <c r="AP15" s="25">
        <f>SUMIFS('Monthly Events per venue'!$AS:$AS,'Monthly Events per venue'!$B:$B,$A15,'Monthly Events per venue'!$C:$C,AP$8)</f>
        <v>6</v>
      </c>
      <c r="AQ15" s="25">
        <f>SUMIFS('Monthly Events per venue'!$AS:$AS,'Monthly Events per venue'!$B:$B,$A15,'Monthly Events per venue'!$C:$C,AQ$8)</f>
        <v>117</v>
      </c>
      <c r="AR15" s="25">
        <f>SUMIFS('Monthly Events per venue'!$AS:$AS,'Monthly Events per venue'!$B:$B,$A15,'Monthly Events per venue'!$C:$C,AR$8)</f>
        <v>2</v>
      </c>
    </row>
    <row r="16" spans="1:44" ht="14.5">
      <c r="A16" s="3" t="s">
        <v>218</v>
      </c>
      <c r="C16" s="8" t="s">
        <v>2100</v>
      </c>
      <c r="D16" s="25">
        <f>SUMIFS('Monthly Events per venue'!$AS:$AS,'Monthly Events per venue'!$B:$B,$A16)</f>
        <v>1343</v>
      </c>
      <c r="E16" s="114"/>
      <c r="F16" s="25">
        <f>SUMIFS('Monthly Events per venue'!$AS:$AS,'Monthly Events per venue'!$B:$B,$A16,'Monthly Events per venue'!$E:$E,F$8)</f>
        <v>748</v>
      </c>
      <c r="G16" s="25">
        <f t="shared" si="0"/>
        <v>607</v>
      </c>
      <c r="H16" s="25">
        <f>SUMIFS('Monthly Events per venue'!$AS:$AS,'Monthly Events per venue'!$B:$B,$A16,'Monthly Events per venue'!$E:$E,H$8)</f>
        <v>203</v>
      </c>
      <c r="I16" s="25">
        <f>SUMIFS('Monthly Events per venue'!$AS:$AS,'Monthly Events per venue'!$B:$B,$A16,'Monthly Events per venue'!$E:$E,I$8)</f>
        <v>313</v>
      </c>
      <c r="J16" s="25">
        <f>SUMIFS('Monthly Events per venue'!$AS:$AS,'Monthly Events per venue'!$B:$B,$A16,'Monthly Events per venue'!$E:$E,J$8)</f>
        <v>79</v>
      </c>
      <c r="K16" s="114"/>
      <c r="L16" s="25">
        <f>SUMIFS('Monthly Events per venue'!$AS:$AS,'Monthly Events per venue'!$B:$B,$A16,'Monthly Events per venue'!$C:$C,L$8)</f>
        <v>31</v>
      </c>
      <c r="M16" s="25">
        <f>SUMIFS('Monthly Events per venue'!$AS:$AS,'Monthly Events per venue'!$B:$B,$A16,'Monthly Events per venue'!$C:$C,M$8)</f>
        <v>25</v>
      </c>
      <c r="N16" s="25">
        <f>SUMIFS('Monthly Events per venue'!$AS:$AS,'Monthly Events per venue'!$B:$B,$A16,'Monthly Events per venue'!$C:$C,N$8)</f>
        <v>46</v>
      </c>
      <c r="O16" s="25">
        <f>SUMIFS('Monthly Events per venue'!$AS:$AS,'Monthly Events per venue'!$B:$B,$A16,'Monthly Events per venue'!$C:$C,O$8)</f>
        <v>77</v>
      </c>
      <c r="P16" s="25">
        <f>SUMIFS('Monthly Events per venue'!$AS:$AS,'Monthly Events per venue'!$B:$B,$A16,'Monthly Events per venue'!$C:$C,P$8)</f>
        <v>18</v>
      </c>
      <c r="Q16" s="25">
        <f>SUMIFS('Monthly Events per venue'!$AS:$AS,'Monthly Events per venue'!$B:$B,$A16,'Monthly Events per venue'!$C:$C,Q$8)</f>
        <v>74</v>
      </c>
      <c r="R16" s="25">
        <f>SUMIFS('Monthly Events per venue'!$AS:$AS,'Monthly Events per venue'!$B:$B,$A16,'Monthly Events per venue'!$C:$C,R$8)</f>
        <v>18</v>
      </c>
      <c r="S16" s="25">
        <f>SUMIFS('Monthly Events per venue'!$AS:$AS,'Monthly Events per venue'!$B:$B,$A16,'Monthly Events per venue'!$C:$C,S$8)</f>
        <v>51</v>
      </c>
      <c r="T16" s="25">
        <f>SUMIFS('Monthly Events per venue'!$AS:$AS,'Monthly Events per venue'!$B:$B,$A16,'Monthly Events per venue'!$C:$C,T$8)</f>
        <v>50</v>
      </c>
      <c r="U16" s="25">
        <f>SUMIFS('Monthly Events per venue'!$AS:$AS,'Monthly Events per venue'!$B:$B,$A16,'Monthly Events per venue'!$C:$C,U$8)</f>
        <v>122</v>
      </c>
      <c r="V16" s="25">
        <f>SUMIFS('Monthly Events per venue'!$AS:$AS,'Monthly Events per venue'!$B:$B,$A16,'Monthly Events per venue'!$C:$C,V$8)</f>
        <v>19</v>
      </c>
      <c r="W16" s="25">
        <f>SUMIFS('Monthly Events per venue'!$AS:$AS,'Monthly Events per venue'!$B:$B,$A16,'Monthly Events per venue'!$C:$C,W$8)</f>
        <v>25</v>
      </c>
      <c r="X16" s="25">
        <f>SUMIFS('Monthly Events per venue'!$AS:$AS,'Monthly Events per venue'!$B:$B,$A16,'Monthly Events per venue'!$C:$C,X$8)</f>
        <v>42</v>
      </c>
      <c r="Y16" s="25">
        <f>SUMIFS('Monthly Events per venue'!$AS:$AS,'Monthly Events per venue'!$B:$B,$A16,'Monthly Events per venue'!$C:$C,Y$8)</f>
        <v>27</v>
      </c>
      <c r="Z16" s="25">
        <f>SUMIFS('Monthly Events per venue'!$AS:$AS,'Monthly Events per venue'!$B:$B,$A16,'Monthly Events per venue'!$C:$C,Z$8)</f>
        <v>75</v>
      </c>
      <c r="AA16" s="25">
        <f>SUMIFS('Monthly Events per venue'!$AS:$AS,'Monthly Events per venue'!$B:$B,$A16,'Monthly Events per venue'!$C:$C,AA$8)</f>
        <v>25</v>
      </c>
      <c r="AB16" s="25">
        <f>SUMIFS('Monthly Events per venue'!$AS:$AS,'Monthly Events per venue'!$B:$B,$A16,'Monthly Events per venue'!$C:$C,AB$8)</f>
        <v>22</v>
      </c>
      <c r="AC16" s="25">
        <f>SUMIFS('Monthly Events per venue'!$AS:$AS,'Monthly Events per venue'!$B:$B,$A16,'Monthly Events per venue'!$C:$C,AC$8)</f>
        <v>52</v>
      </c>
      <c r="AD16" s="25">
        <f>SUMIFS('Monthly Events per venue'!$AS:$AS,'Monthly Events per venue'!$B:$B,$A16,'Monthly Events per venue'!$C:$C,AD$8)</f>
        <v>0</v>
      </c>
      <c r="AE16" s="25">
        <f>SUMIFS('Monthly Events per venue'!$AS:$AS,'Monthly Events per venue'!$B:$B,$A16,'Monthly Events per venue'!$C:$C,AE$8)</f>
        <v>0</v>
      </c>
      <c r="AF16" s="25">
        <f>SUMIFS('Monthly Events per venue'!$AS:$AS,'Monthly Events per venue'!$B:$B,$A16,'Monthly Events per venue'!$C:$C,AF$8)</f>
        <v>16</v>
      </c>
      <c r="AG16" s="25">
        <f>SUMIFS('Monthly Events per venue'!$AS:$AS,'Monthly Events per venue'!$B:$B,$A16,'Monthly Events per venue'!$C:$C,AG$8)</f>
        <v>33</v>
      </c>
      <c r="AH16" s="25">
        <f>SUMIFS('Monthly Events per venue'!$AS:$AS,'Monthly Events per venue'!$B:$B,$A16,'Monthly Events per venue'!$C:$C,AH$8)</f>
        <v>36</v>
      </c>
      <c r="AI16" s="25">
        <f>SUMIFS('Monthly Events per venue'!$AS:$AS,'Monthly Events per venue'!$B:$B,$A16,'Monthly Events per venue'!$C:$C,AI$8)</f>
        <v>17</v>
      </c>
      <c r="AJ16" s="25">
        <f>SUMIFS('Monthly Events per venue'!$AS:$AS,'Monthly Events per venue'!$B:$B,$A16,'Monthly Events per venue'!$C:$C,AJ$8)</f>
        <v>51</v>
      </c>
      <c r="AK16" s="25">
        <f>SUMIFS('Monthly Events per venue'!$AS:$AS,'Monthly Events per venue'!$B:$B,$A16,'Monthly Events per venue'!$C:$C,AK$8)</f>
        <v>29</v>
      </c>
      <c r="AL16" s="25">
        <f>SUMIFS('Monthly Events per venue'!$AS:$AS,'Monthly Events per venue'!$B:$B,$A16,'Monthly Events per venue'!$C:$C,AL$8)</f>
        <v>29</v>
      </c>
      <c r="AM16" s="25">
        <f>SUMIFS('Monthly Events per venue'!$AS:$AS,'Monthly Events per venue'!$B:$B,$A16,'Monthly Events per venue'!$C:$C,AM$8)</f>
        <v>41</v>
      </c>
      <c r="AN16" s="25">
        <f>SUMIFS('Monthly Events per venue'!$AS:$AS,'Monthly Events per venue'!$B:$B,$A16,'Monthly Events per venue'!$C:$C,AN$8)</f>
        <v>42</v>
      </c>
      <c r="AO16" s="25">
        <f>SUMIFS('Monthly Events per venue'!$AS:$AS,'Monthly Events per venue'!$B:$B,$A16,'Monthly Events per venue'!$C:$C,AO$8)</f>
        <v>118</v>
      </c>
      <c r="AP16" s="25">
        <f>SUMIFS('Monthly Events per venue'!$AS:$AS,'Monthly Events per venue'!$B:$B,$A16,'Monthly Events per venue'!$C:$C,AP$8)</f>
        <v>3</v>
      </c>
      <c r="AQ16" s="25">
        <f>SUMIFS('Monthly Events per venue'!$AS:$AS,'Monthly Events per venue'!$B:$B,$A16,'Monthly Events per venue'!$C:$C,AQ$8)</f>
        <v>79</v>
      </c>
      <c r="AR16" s="25">
        <f>SUMIFS('Monthly Events per venue'!$AS:$AS,'Monthly Events per venue'!$B:$B,$A16,'Monthly Events per venue'!$C:$C,AR$8)</f>
        <v>1</v>
      </c>
    </row>
    <row r="17" spans="1:44" ht="14.5">
      <c r="A17" s="3" t="s">
        <v>219</v>
      </c>
      <c r="C17" s="8" t="s">
        <v>2101</v>
      </c>
      <c r="D17" s="25">
        <f>SUMIFS('Monthly Events per venue'!$AS:$AS,'Monthly Events per venue'!$B:$B,$A17)</f>
        <v>1802</v>
      </c>
      <c r="E17" s="114"/>
      <c r="F17" s="25">
        <f>SUMIFS('Monthly Events per venue'!$AS:$AS,'Monthly Events per venue'!$B:$B,$A17,'Monthly Events per venue'!$E:$E,F$8)</f>
        <v>931</v>
      </c>
      <c r="G17" s="25">
        <f t="shared" si="0"/>
        <v>784</v>
      </c>
      <c r="H17" s="25">
        <f>SUMIFS('Monthly Events per venue'!$AS:$AS,'Monthly Events per venue'!$B:$B,$A17,'Monthly Events per venue'!$E:$E,H$8)</f>
        <v>276</v>
      </c>
      <c r="I17" s="25">
        <f>SUMIFS('Monthly Events per venue'!$AS:$AS,'Monthly Events per venue'!$B:$B,$A17,'Monthly Events per venue'!$E:$E,I$8)</f>
        <v>404</v>
      </c>
      <c r="J17" s="25">
        <f>SUMIFS('Monthly Events per venue'!$AS:$AS,'Monthly Events per venue'!$B:$B,$A17,'Monthly Events per venue'!$E:$E,J$8)</f>
        <v>191</v>
      </c>
      <c r="K17" s="114"/>
      <c r="L17" s="25">
        <f>SUMIFS('Monthly Events per venue'!$AS:$AS,'Monthly Events per venue'!$B:$B,$A17,'Monthly Events per venue'!$C:$C,L$8)</f>
        <v>34</v>
      </c>
      <c r="M17" s="25">
        <f>SUMIFS('Monthly Events per venue'!$AS:$AS,'Monthly Events per venue'!$B:$B,$A17,'Monthly Events per venue'!$C:$C,M$8)</f>
        <v>36</v>
      </c>
      <c r="N17" s="25">
        <f>SUMIFS('Monthly Events per venue'!$AS:$AS,'Monthly Events per venue'!$B:$B,$A17,'Monthly Events per venue'!$C:$C,N$8)</f>
        <v>53</v>
      </c>
      <c r="O17" s="25">
        <f>SUMIFS('Monthly Events per venue'!$AS:$AS,'Monthly Events per venue'!$B:$B,$A17,'Monthly Events per venue'!$C:$C,O$8)</f>
        <v>93</v>
      </c>
      <c r="P17" s="25">
        <f>SUMIFS('Monthly Events per venue'!$AS:$AS,'Monthly Events per venue'!$B:$B,$A17,'Monthly Events per venue'!$C:$C,P$8)</f>
        <v>18</v>
      </c>
      <c r="Q17" s="25">
        <f>SUMIFS('Monthly Events per venue'!$AS:$AS,'Monthly Events per venue'!$B:$B,$A17,'Monthly Events per venue'!$C:$C,Q$8)</f>
        <v>95</v>
      </c>
      <c r="R17" s="25">
        <f>SUMIFS('Monthly Events per venue'!$AS:$AS,'Monthly Events per venue'!$B:$B,$A17,'Monthly Events per venue'!$C:$C,R$8)</f>
        <v>26</v>
      </c>
      <c r="S17" s="25">
        <f>SUMIFS('Monthly Events per venue'!$AS:$AS,'Monthly Events per venue'!$B:$B,$A17,'Monthly Events per venue'!$C:$C,S$8)</f>
        <v>66</v>
      </c>
      <c r="T17" s="25">
        <f>SUMIFS('Monthly Events per venue'!$AS:$AS,'Monthly Events per venue'!$B:$B,$A17,'Monthly Events per venue'!$C:$C,T$8)</f>
        <v>70</v>
      </c>
      <c r="U17" s="25">
        <f>SUMIFS('Monthly Events per venue'!$AS:$AS,'Monthly Events per venue'!$B:$B,$A17,'Monthly Events per venue'!$C:$C,U$8)</f>
        <v>120</v>
      </c>
      <c r="V17" s="25">
        <f>SUMIFS('Monthly Events per venue'!$AS:$AS,'Monthly Events per venue'!$B:$B,$A17,'Monthly Events per venue'!$C:$C,V$8)</f>
        <v>27</v>
      </c>
      <c r="W17" s="25">
        <f>SUMIFS('Monthly Events per venue'!$AS:$AS,'Monthly Events per venue'!$B:$B,$A17,'Monthly Events per venue'!$C:$C,W$8)</f>
        <v>33</v>
      </c>
      <c r="X17" s="25">
        <f>SUMIFS('Monthly Events per venue'!$AS:$AS,'Monthly Events per venue'!$B:$B,$A17,'Monthly Events per venue'!$C:$C,X$8)</f>
        <v>60</v>
      </c>
      <c r="Y17" s="25">
        <f>SUMIFS('Monthly Events per venue'!$AS:$AS,'Monthly Events per venue'!$B:$B,$A17,'Monthly Events per venue'!$C:$C,Y$8)</f>
        <v>44</v>
      </c>
      <c r="Z17" s="25">
        <f>SUMIFS('Monthly Events per venue'!$AS:$AS,'Monthly Events per venue'!$B:$B,$A17,'Monthly Events per venue'!$C:$C,Z$8)</f>
        <v>95</v>
      </c>
      <c r="AA17" s="25">
        <f>SUMIFS('Monthly Events per venue'!$AS:$AS,'Monthly Events per venue'!$B:$B,$A17,'Monthly Events per venue'!$C:$C,AA$8)</f>
        <v>34</v>
      </c>
      <c r="AB17" s="25">
        <f>SUMIFS('Monthly Events per venue'!$AS:$AS,'Monthly Events per venue'!$B:$B,$A17,'Monthly Events per venue'!$C:$C,AB$8)</f>
        <v>26</v>
      </c>
      <c r="AC17" s="25">
        <f>SUMIFS('Monthly Events per venue'!$AS:$AS,'Monthly Events per venue'!$B:$B,$A17,'Monthly Events per venue'!$C:$C,AC$8)</f>
        <v>72</v>
      </c>
      <c r="AD17" s="25">
        <f>SUMIFS('Monthly Events per venue'!$AS:$AS,'Monthly Events per venue'!$B:$B,$A17,'Monthly Events per venue'!$C:$C,AD$8)</f>
        <v>0</v>
      </c>
      <c r="AE17" s="25">
        <f>SUMIFS('Monthly Events per venue'!$AS:$AS,'Monthly Events per venue'!$B:$B,$A17,'Monthly Events per venue'!$C:$C,AE$8)</f>
        <v>0</v>
      </c>
      <c r="AF17" s="25">
        <f>SUMIFS('Monthly Events per venue'!$AS:$AS,'Monthly Events per venue'!$B:$B,$A17,'Monthly Events per venue'!$C:$C,AF$8)</f>
        <v>25</v>
      </c>
      <c r="AG17" s="25">
        <f>SUMIFS('Monthly Events per venue'!$AS:$AS,'Monthly Events per venue'!$B:$B,$A17,'Monthly Events per venue'!$C:$C,AG$8)</f>
        <v>49</v>
      </c>
      <c r="AH17" s="25">
        <f>SUMIFS('Monthly Events per venue'!$AS:$AS,'Monthly Events per venue'!$B:$B,$A17,'Monthly Events per venue'!$C:$C,AH$8)</f>
        <v>45</v>
      </c>
      <c r="AI17" s="25">
        <f>SUMIFS('Monthly Events per venue'!$AS:$AS,'Monthly Events per venue'!$B:$B,$A17,'Monthly Events per venue'!$C:$C,AI$8)</f>
        <v>19</v>
      </c>
      <c r="AJ17" s="25">
        <f>SUMIFS('Monthly Events per venue'!$AS:$AS,'Monthly Events per venue'!$B:$B,$A17,'Monthly Events per venue'!$C:$C,AJ$8)</f>
        <v>72</v>
      </c>
      <c r="AK17" s="25">
        <f>SUMIFS('Monthly Events per venue'!$AS:$AS,'Monthly Events per venue'!$B:$B,$A17,'Monthly Events per venue'!$C:$C,AK$8)</f>
        <v>47</v>
      </c>
      <c r="AL17" s="25">
        <f>SUMIFS('Monthly Events per venue'!$AS:$AS,'Monthly Events per venue'!$B:$B,$A17,'Monthly Events per venue'!$C:$C,AL$8)</f>
        <v>33</v>
      </c>
      <c r="AM17" s="25">
        <f>SUMIFS('Monthly Events per venue'!$AS:$AS,'Monthly Events per venue'!$B:$B,$A17,'Monthly Events per venue'!$C:$C,AM$8)</f>
        <v>52</v>
      </c>
      <c r="AN17" s="25">
        <f>SUMIFS('Monthly Events per venue'!$AS:$AS,'Monthly Events per venue'!$B:$B,$A17,'Monthly Events per venue'!$C:$C,AN$8)</f>
        <v>56</v>
      </c>
      <c r="AO17" s="25">
        <f>SUMIFS('Monthly Events per venue'!$AS:$AS,'Monthly Events per venue'!$B:$B,$A17,'Monthly Events per venue'!$C:$C,AO$8)</f>
        <v>139</v>
      </c>
      <c r="AP17" s="25">
        <f>SUMIFS('Monthly Events per venue'!$AS:$AS,'Monthly Events per venue'!$B:$B,$A17,'Monthly Events per venue'!$C:$C,AP$8)</f>
        <v>5</v>
      </c>
      <c r="AQ17" s="25">
        <f>SUMIFS('Monthly Events per venue'!$AS:$AS,'Monthly Events per venue'!$B:$B,$A17,'Monthly Events per venue'!$C:$C,AQ$8)</f>
        <v>191</v>
      </c>
      <c r="AR17" s="25">
        <f>SUMIFS('Monthly Events per venue'!$AS:$AS,'Monthly Events per venue'!$B:$B,$A17,'Monthly Events per venue'!$C:$C,AR$8)</f>
        <v>1</v>
      </c>
    </row>
    <row r="18" spans="1:44" ht="14.5">
      <c r="A18" s="3" t="s">
        <v>220</v>
      </c>
      <c r="C18" s="8" t="s">
        <v>2102</v>
      </c>
      <c r="D18" s="25">
        <f>SUMIFS('Monthly Events per venue'!$AS:$AS,'Monthly Events per venue'!$B:$B,$A18)</f>
        <v>1365</v>
      </c>
      <c r="E18" s="114"/>
      <c r="F18" s="25">
        <f>SUMIFS('Monthly Events per venue'!$AS:$AS,'Monthly Events per venue'!$B:$B,$A18,'Monthly Events per venue'!$E:$E,F$8)</f>
        <v>738</v>
      </c>
      <c r="G18" s="25">
        <f t="shared" si="0"/>
        <v>600</v>
      </c>
      <c r="H18" s="25">
        <f>SUMIFS('Monthly Events per venue'!$AS:$AS,'Monthly Events per venue'!$B:$B,$A18,'Monthly Events per venue'!$E:$E,H$8)</f>
        <v>242</v>
      </c>
      <c r="I18" s="25">
        <f>SUMIFS('Monthly Events per venue'!$AS:$AS,'Monthly Events per venue'!$B:$B,$A18,'Monthly Events per venue'!$E:$E,I$8)</f>
        <v>301</v>
      </c>
      <c r="J18" s="25">
        <f>SUMIFS('Monthly Events per venue'!$AS:$AS,'Monthly Events per venue'!$B:$B,$A18,'Monthly Events per venue'!$E:$E,J$8)</f>
        <v>84</v>
      </c>
      <c r="K18" s="114"/>
      <c r="L18" s="25">
        <f>SUMIFS('Monthly Events per venue'!$AS:$AS,'Monthly Events per venue'!$B:$B,$A18,'Monthly Events per venue'!$C:$C,L$8)</f>
        <v>30</v>
      </c>
      <c r="M18" s="25">
        <f>SUMIFS('Monthly Events per venue'!$AS:$AS,'Monthly Events per venue'!$B:$B,$A18,'Monthly Events per venue'!$C:$C,M$8)</f>
        <v>24</v>
      </c>
      <c r="N18" s="25">
        <f>SUMIFS('Monthly Events per venue'!$AS:$AS,'Monthly Events per venue'!$B:$B,$A18,'Monthly Events per venue'!$C:$C,N$8)</f>
        <v>41</v>
      </c>
      <c r="O18" s="25">
        <f>SUMIFS('Monthly Events per venue'!$AS:$AS,'Monthly Events per venue'!$B:$B,$A18,'Monthly Events per venue'!$C:$C,O$8)</f>
        <v>75</v>
      </c>
      <c r="P18" s="25">
        <f>SUMIFS('Monthly Events per venue'!$AS:$AS,'Monthly Events per venue'!$B:$B,$A18,'Monthly Events per venue'!$C:$C,P$8)</f>
        <v>16</v>
      </c>
      <c r="Q18" s="25">
        <f>SUMIFS('Monthly Events per venue'!$AS:$AS,'Monthly Events per venue'!$B:$B,$A18,'Monthly Events per venue'!$C:$C,Q$8)</f>
        <v>74</v>
      </c>
      <c r="R18" s="25">
        <f>SUMIFS('Monthly Events per venue'!$AS:$AS,'Monthly Events per venue'!$B:$B,$A18,'Monthly Events per venue'!$C:$C,R$8)</f>
        <v>20</v>
      </c>
      <c r="S18" s="25">
        <f>SUMIFS('Monthly Events per venue'!$AS:$AS,'Monthly Events per venue'!$B:$B,$A18,'Monthly Events per venue'!$C:$C,S$8)</f>
        <v>55</v>
      </c>
      <c r="T18" s="25">
        <f>SUMIFS('Monthly Events per venue'!$AS:$AS,'Monthly Events per venue'!$B:$B,$A18,'Monthly Events per venue'!$C:$C,T$8)</f>
        <v>53</v>
      </c>
      <c r="U18" s="25">
        <f>SUMIFS('Monthly Events per venue'!$AS:$AS,'Monthly Events per venue'!$B:$B,$A18,'Monthly Events per venue'!$C:$C,U$8)</f>
        <v>116</v>
      </c>
      <c r="V18" s="25">
        <f>SUMIFS('Monthly Events per venue'!$AS:$AS,'Monthly Events per venue'!$B:$B,$A18,'Monthly Events per venue'!$C:$C,V$8)</f>
        <v>22</v>
      </c>
      <c r="W18" s="25">
        <f>SUMIFS('Monthly Events per venue'!$AS:$AS,'Monthly Events per venue'!$B:$B,$A18,'Monthly Events per venue'!$C:$C,W$8)</f>
        <v>25</v>
      </c>
      <c r="X18" s="25">
        <f>SUMIFS('Monthly Events per venue'!$AS:$AS,'Monthly Events per venue'!$B:$B,$A18,'Monthly Events per venue'!$C:$C,X$8)</f>
        <v>40</v>
      </c>
      <c r="Y18" s="25">
        <f>SUMIFS('Monthly Events per venue'!$AS:$AS,'Monthly Events per venue'!$B:$B,$A18,'Monthly Events per venue'!$C:$C,Y$8)</f>
        <v>23</v>
      </c>
      <c r="Z18" s="25">
        <f>SUMIFS('Monthly Events per venue'!$AS:$AS,'Monthly Events per venue'!$B:$B,$A18,'Monthly Events per venue'!$C:$C,Z$8)</f>
        <v>76</v>
      </c>
      <c r="AA18" s="25">
        <f>SUMIFS('Monthly Events per venue'!$AS:$AS,'Monthly Events per venue'!$B:$B,$A18,'Monthly Events per venue'!$C:$C,AA$8)</f>
        <v>25</v>
      </c>
      <c r="AB18" s="25">
        <f>SUMIFS('Monthly Events per venue'!$AS:$AS,'Monthly Events per venue'!$B:$B,$A18,'Monthly Events per venue'!$C:$C,AB$8)</f>
        <v>22</v>
      </c>
      <c r="AC18" s="25">
        <f>SUMIFS('Monthly Events per venue'!$AS:$AS,'Monthly Events per venue'!$B:$B,$A18,'Monthly Events per venue'!$C:$C,AC$8)</f>
        <v>64</v>
      </c>
      <c r="AD18" s="25">
        <f>SUMIFS('Monthly Events per venue'!$AS:$AS,'Monthly Events per venue'!$B:$B,$A18,'Monthly Events per venue'!$C:$C,AD$8)</f>
        <v>0</v>
      </c>
      <c r="AE18" s="25">
        <f>SUMIFS('Monthly Events per venue'!$AS:$AS,'Monthly Events per venue'!$B:$B,$A18,'Monthly Events per venue'!$C:$C,AE$8)</f>
        <v>0</v>
      </c>
      <c r="AF18" s="25">
        <f>SUMIFS('Monthly Events per venue'!$AS:$AS,'Monthly Events per venue'!$B:$B,$A18,'Monthly Events per venue'!$C:$C,AF$8)</f>
        <v>19</v>
      </c>
      <c r="AG18" s="25">
        <f>SUMIFS('Monthly Events per venue'!$AS:$AS,'Monthly Events per venue'!$B:$B,$A18,'Monthly Events per venue'!$C:$C,AG$8)</f>
        <v>43</v>
      </c>
      <c r="AH18" s="25">
        <f>SUMIFS('Monthly Events per venue'!$AS:$AS,'Monthly Events per venue'!$B:$B,$A18,'Monthly Events per venue'!$C:$C,AH$8)</f>
        <v>38</v>
      </c>
      <c r="AI18" s="25">
        <f>SUMIFS('Monthly Events per venue'!$AS:$AS,'Monthly Events per venue'!$B:$B,$A18,'Monthly Events per venue'!$C:$C,AI$8)</f>
        <v>18</v>
      </c>
      <c r="AJ18" s="25">
        <f>SUMIFS('Monthly Events per venue'!$AS:$AS,'Monthly Events per venue'!$B:$B,$A18,'Monthly Events per venue'!$C:$C,AJ$8)</f>
        <v>50</v>
      </c>
      <c r="AK18" s="25">
        <f>SUMIFS('Monthly Events per venue'!$AS:$AS,'Monthly Events per venue'!$B:$B,$A18,'Monthly Events per venue'!$C:$C,AK$8)</f>
        <v>29</v>
      </c>
      <c r="AL18" s="25">
        <f>SUMIFS('Monthly Events per venue'!$AS:$AS,'Monthly Events per venue'!$B:$B,$A18,'Monthly Events per venue'!$C:$C,AL$8)</f>
        <v>21</v>
      </c>
      <c r="AM18" s="25">
        <f>SUMIFS('Monthly Events per venue'!$AS:$AS,'Monthly Events per venue'!$B:$B,$A18,'Monthly Events per venue'!$C:$C,AM$8)</f>
        <v>44</v>
      </c>
      <c r="AN18" s="25">
        <f>SUMIFS('Monthly Events per venue'!$AS:$AS,'Monthly Events per venue'!$B:$B,$A18,'Monthly Events per venue'!$C:$C,AN$8)</f>
        <v>42</v>
      </c>
      <c r="AO18" s="25">
        <f>SUMIFS('Monthly Events per venue'!$AS:$AS,'Monthly Events per venue'!$B:$B,$A18,'Monthly Events per venue'!$C:$C,AO$8)</f>
        <v>109</v>
      </c>
      <c r="AP18" s="25">
        <f>SUMIFS('Monthly Events per venue'!$AS:$AS,'Monthly Events per venue'!$B:$B,$A18,'Monthly Events per venue'!$C:$C,AP$8)</f>
        <v>6</v>
      </c>
      <c r="AQ18" s="25">
        <f>SUMIFS('Monthly Events per venue'!$AS:$AS,'Monthly Events per venue'!$B:$B,$A18,'Monthly Events per venue'!$C:$C,AQ$8)</f>
        <v>84</v>
      </c>
      <c r="AR18" s="25">
        <f>SUMIFS('Monthly Events per venue'!$AS:$AS,'Monthly Events per venue'!$B:$B,$A18,'Monthly Events per venue'!$C:$C,AR$8)</f>
        <v>1</v>
      </c>
    </row>
    <row r="19" spans="1:44" ht="4.5" customHeight="1">
      <c r="C19" s="8"/>
      <c r="D19" s="25"/>
      <c r="E19" s="114"/>
      <c r="F19" s="25"/>
      <c r="G19" s="25"/>
      <c r="H19" s="25"/>
      <c r="I19" s="25"/>
      <c r="J19" s="25"/>
      <c r="K19" s="114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4.5">
      <c r="C20" s="8" t="s">
        <v>2103</v>
      </c>
      <c r="D20" s="25">
        <f t="shared" ref="D20:D25" si="1">D13/D$11</f>
        <v>74.024390243902445</v>
      </c>
      <c r="E20" s="114"/>
      <c r="F20" s="25">
        <f t="shared" ref="F20:J20" si="2">F13/F$11</f>
        <v>73.36363636363636</v>
      </c>
      <c r="G20" s="25">
        <f t="shared" si="2"/>
        <v>75.315789473684205</v>
      </c>
      <c r="H20" s="25">
        <f t="shared" si="2"/>
        <v>58.75</v>
      </c>
      <c r="I20" s="25">
        <f t="shared" si="2"/>
        <v>70.599999999999994</v>
      </c>
      <c r="J20" s="25">
        <f t="shared" si="2"/>
        <v>245</v>
      </c>
      <c r="K20" s="114"/>
      <c r="L20" s="25">
        <f t="shared" ref="L20:AR20" si="3">L13/L$11</f>
        <v>56</v>
      </c>
      <c r="M20" s="25">
        <f t="shared" si="3"/>
        <v>45.5</v>
      </c>
      <c r="N20" s="25">
        <f t="shared" si="3"/>
        <v>39.5</v>
      </c>
      <c r="O20" s="25">
        <f t="shared" si="3"/>
        <v>142</v>
      </c>
      <c r="P20" s="25">
        <f t="shared" si="3"/>
        <v>54</v>
      </c>
      <c r="Q20" s="25">
        <f t="shared" si="3"/>
        <v>147</v>
      </c>
      <c r="R20" s="25">
        <f t="shared" si="3"/>
        <v>62</v>
      </c>
      <c r="S20" s="25">
        <f t="shared" si="3"/>
        <v>56</v>
      </c>
      <c r="T20" s="25">
        <f t="shared" si="3"/>
        <v>100</v>
      </c>
      <c r="U20" s="25">
        <f t="shared" si="3"/>
        <v>140</v>
      </c>
      <c r="V20" s="25">
        <f t="shared" si="3"/>
        <v>21.5</v>
      </c>
      <c r="W20" s="25">
        <f t="shared" si="3"/>
        <v>69</v>
      </c>
      <c r="X20" s="25">
        <f t="shared" si="3"/>
        <v>91</v>
      </c>
      <c r="Y20" s="25">
        <f t="shared" si="3"/>
        <v>85</v>
      </c>
      <c r="Z20" s="25">
        <f t="shared" si="3"/>
        <v>139</v>
      </c>
      <c r="AA20" s="25">
        <f t="shared" si="3"/>
        <v>65</v>
      </c>
      <c r="AB20" s="25">
        <f t="shared" si="3"/>
        <v>66</v>
      </c>
      <c r="AC20" s="25">
        <f t="shared" si="3"/>
        <v>65.5</v>
      </c>
      <c r="AD20" s="25" t="e">
        <f t="shared" si="3"/>
        <v>#N/A</v>
      </c>
      <c r="AE20" s="25">
        <f t="shared" si="3"/>
        <v>0</v>
      </c>
      <c r="AF20" s="25">
        <f t="shared" si="3"/>
        <v>41</v>
      </c>
      <c r="AG20" s="25">
        <f t="shared" si="3"/>
        <v>81</v>
      </c>
      <c r="AH20" s="25">
        <f t="shared" si="3"/>
        <v>40.5</v>
      </c>
      <c r="AI20" s="25">
        <f t="shared" si="3"/>
        <v>42</v>
      </c>
      <c r="AJ20" s="25">
        <f t="shared" si="3"/>
        <v>105</v>
      </c>
      <c r="AK20" s="25">
        <f t="shared" si="3"/>
        <v>101</v>
      </c>
      <c r="AL20" s="25">
        <f t="shared" si="3"/>
        <v>67</v>
      </c>
      <c r="AM20" s="25">
        <f t="shared" si="3"/>
        <v>83</v>
      </c>
      <c r="AN20" s="25">
        <f t="shared" si="3"/>
        <v>39</v>
      </c>
      <c r="AO20" s="25">
        <f t="shared" si="3"/>
        <v>97.5</v>
      </c>
      <c r="AP20" s="25">
        <f t="shared" si="3"/>
        <v>39</v>
      </c>
      <c r="AQ20" s="25">
        <f t="shared" si="3"/>
        <v>245</v>
      </c>
      <c r="AR20" s="25">
        <f t="shared" si="3"/>
        <v>73</v>
      </c>
    </row>
    <row r="21" spans="1:44" ht="15.75" customHeight="1">
      <c r="C21" s="8" t="s">
        <v>2104</v>
      </c>
      <c r="D21" s="25">
        <f t="shared" si="1"/>
        <v>51.097560975609753</v>
      </c>
      <c r="E21" s="114"/>
      <c r="F21" s="25">
        <f t="shared" ref="F21:J21" si="4">F14/F$11</f>
        <v>48.68181818181818</v>
      </c>
      <c r="G21" s="25">
        <f t="shared" si="4"/>
        <v>48.684210526315788</v>
      </c>
      <c r="H21" s="25">
        <f t="shared" si="4"/>
        <v>45.875</v>
      </c>
      <c r="I21" s="25">
        <f t="shared" si="4"/>
        <v>46.9</v>
      </c>
      <c r="J21" s="25">
        <f t="shared" si="4"/>
        <v>188</v>
      </c>
      <c r="K21" s="114"/>
      <c r="L21" s="25">
        <f t="shared" ref="L21:AR21" si="5">L14/L$11</f>
        <v>38</v>
      </c>
      <c r="M21" s="25">
        <f t="shared" si="5"/>
        <v>21</v>
      </c>
      <c r="N21" s="25">
        <f t="shared" si="5"/>
        <v>30.5</v>
      </c>
      <c r="O21" s="25">
        <f t="shared" si="5"/>
        <v>107</v>
      </c>
      <c r="P21" s="25">
        <f t="shared" si="5"/>
        <v>25</v>
      </c>
      <c r="Q21" s="25">
        <f t="shared" si="5"/>
        <v>112</v>
      </c>
      <c r="R21" s="25">
        <f t="shared" si="5"/>
        <v>39</v>
      </c>
      <c r="S21" s="25">
        <f t="shared" si="5"/>
        <v>41</v>
      </c>
      <c r="T21" s="25">
        <f t="shared" si="5"/>
        <v>86</v>
      </c>
      <c r="U21" s="25">
        <f t="shared" si="5"/>
        <v>116</v>
      </c>
      <c r="V21" s="25">
        <f t="shared" si="5"/>
        <v>15</v>
      </c>
      <c r="W21" s="25">
        <f t="shared" si="5"/>
        <v>38</v>
      </c>
      <c r="X21" s="25">
        <f t="shared" si="5"/>
        <v>65</v>
      </c>
      <c r="Y21" s="25">
        <f t="shared" si="5"/>
        <v>49</v>
      </c>
      <c r="Z21" s="25">
        <f t="shared" si="5"/>
        <v>108</v>
      </c>
      <c r="AA21" s="25">
        <f t="shared" si="5"/>
        <v>37</v>
      </c>
      <c r="AB21" s="25">
        <f t="shared" si="5"/>
        <v>33</v>
      </c>
      <c r="AC21" s="25">
        <f t="shared" si="5"/>
        <v>49</v>
      </c>
      <c r="AD21" s="25" t="e">
        <f t="shared" si="5"/>
        <v>#N/A</v>
      </c>
      <c r="AE21" s="25">
        <f t="shared" si="5"/>
        <v>0</v>
      </c>
      <c r="AF21" s="25">
        <f t="shared" si="5"/>
        <v>33</v>
      </c>
      <c r="AG21" s="25">
        <f t="shared" si="5"/>
        <v>64</v>
      </c>
      <c r="AH21" s="25">
        <f t="shared" si="5"/>
        <v>33.5</v>
      </c>
      <c r="AI21" s="25">
        <f t="shared" si="5"/>
        <v>24</v>
      </c>
      <c r="AJ21" s="25">
        <f t="shared" si="5"/>
        <v>82</v>
      </c>
      <c r="AK21" s="25">
        <f t="shared" si="5"/>
        <v>58</v>
      </c>
      <c r="AL21" s="25">
        <f t="shared" si="5"/>
        <v>39</v>
      </c>
      <c r="AM21" s="25">
        <f t="shared" si="5"/>
        <v>63</v>
      </c>
      <c r="AN21" s="25">
        <f t="shared" si="5"/>
        <v>31</v>
      </c>
      <c r="AO21" s="25">
        <f t="shared" si="5"/>
        <v>79</v>
      </c>
      <c r="AP21" s="25">
        <f t="shared" si="5"/>
        <v>7</v>
      </c>
      <c r="AQ21" s="25">
        <f t="shared" si="5"/>
        <v>188</v>
      </c>
      <c r="AR21" s="25">
        <f t="shared" si="5"/>
        <v>3</v>
      </c>
    </row>
    <row r="22" spans="1:44" ht="15.75" customHeight="1">
      <c r="C22" s="8" t="s">
        <v>2105</v>
      </c>
      <c r="D22" s="25">
        <f t="shared" si="1"/>
        <v>39.926829268292686</v>
      </c>
      <c r="E22" s="114"/>
      <c r="F22" s="25">
        <f t="shared" ref="F22:J22" si="6">F15/F$11</f>
        <v>38.590909090909093</v>
      </c>
      <c r="G22" s="25">
        <f t="shared" si="6"/>
        <v>36.89473684210526</v>
      </c>
      <c r="H22" s="25">
        <f t="shared" si="6"/>
        <v>32.625</v>
      </c>
      <c r="I22" s="25">
        <f t="shared" si="6"/>
        <v>41</v>
      </c>
      <c r="J22" s="25">
        <f t="shared" si="6"/>
        <v>117</v>
      </c>
      <c r="K22" s="114"/>
      <c r="L22" s="25">
        <f t="shared" ref="L22:AR22" si="7">L15/L$11</f>
        <v>35</v>
      </c>
      <c r="M22" s="25">
        <f t="shared" si="7"/>
        <v>15.5</v>
      </c>
      <c r="N22" s="25">
        <f t="shared" si="7"/>
        <v>26</v>
      </c>
      <c r="O22" s="25">
        <f t="shared" si="7"/>
        <v>77</v>
      </c>
      <c r="P22" s="25">
        <f t="shared" si="7"/>
        <v>16</v>
      </c>
      <c r="Q22" s="25">
        <f t="shared" si="7"/>
        <v>87</v>
      </c>
      <c r="R22" s="25">
        <f t="shared" si="7"/>
        <v>21</v>
      </c>
      <c r="S22" s="25">
        <f t="shared" si="7"/>
        <v>30</v>
      </c>
      <c r="T22" s="25">
        <f t="shared" si="7"/>
        <v>64</v>
      </c>
      <c r="U22" s="25">
        <f t="shared" si="7"/>
        <v>125</v>
      </c>
      <c r="V22" s="25">
        <f t="shared" si="7"/>
        <v>11.5</v>
      </c>
      <c r="W22" s="25">
        <f t="shared" si="7"/>
        <v>29</v>
      </c>
      <c r="X22" s="25">
        <f t="shared" si="7"/>
        <v>53</v>
      </c>
      <c r="Y22" s="25">
        <f t="shared" si="7"/>
        <v>30</v>
      </c>
      <c r="Z22" s="25">
        <f t="shared" si="7"/>
        <v>85</v>
      </c>
      <c r="AA22" s="25">
        <f t="shared" si="7"/>
        <v>36</v>
      </c>
      <c r="AB22" s="25">
        <f t="shared" si="7"/>
        <v>23</v>
      </c>
      <c r="AC22" s="25">
        <f t="shared" si="7"/>
        <v>32.5</v>
      </c>
      <c r="AD22" s="25" t="e">
        <f t="shared" si="7"/>
        <v>#N/A</v>
      </c>
      <c r="AE22" s="25">
        <f t="shared" si="7"/>
        <v>0</v>
      </c>
      <c r="AF22" s="25">
        <f t="shared" si="7"/>
        <v>22</v>
      </c>
      <c r="AG22" s="25">
        <f t="shared" si="7"/>
        <v>45</v>
      </c>
      <c r="AH22" s="25">
        <f t="shared" si="7"/>
        <v>23</v>
      </c>
      <c r="AI22" s="25">
        <f t="shared" si="7"/>
        <v>26</v>
      </c>
      <c r="AJ22" s="25">
        <f t="shared" si="7"/>
        <v>69</v>
      </c>
      <c r="AK22" s="25">
        <f t="shared" si="7"/>
        <v>47</v>
      </c>
      <c r="AL22" s="25">
        <f t="shared" si="7"/>
        <v>37</v>
      </c>
      <c r="AM22" s="25">
        <f t="shared" si="7"/>
        <v>54</v>
      </c>
      <c r="AN22" s="25">
        <f t="shared" si="7"/>
        <v>27</v>
      </c>
      <c r="AO22" s="25">
        <f t="shared" si="7"/>
        <v>71.5</v>
      </c>
      <c r="AP22" s="25">
        <f t="shared" si="7"/>
        <v>6</v>
      </c>
      <c r="AQ22" s="25">
        <f t="shared" si="7"/>
        <v>117</v>
      </c>
      <c r="AR22" s="25">
        <f t="shared" si="7"/>
        <v>2</v>
      </c>
    </row>
    <row r="23" spans="1:44" ht="15.75" customHeight="1">
      <c r="C23" s="8" t="s">
        <v>2106</v>
      </c>
      <c r="D23" s="25">
        <f t="shared" si="1"/>
        <v>32.756097560975611</v>
      </c>
      <c r="E23" s="114"/>
      <c r="F23" s="25">
        <f t="shared" ref="F23:J23" si="8">F16/F$11</f>
        <v>34</v>
      </c>
      <c r="G23" s="25">
        <f t="shared" si="8"/>
        <v>31.94736842105263</v>
      </c>
      <c r="H23" s="25">
        <f t="shared" si="8"/>
        <v>25.375</v>
      </c>
      <c r="I23" s="25">
        <f t="shared" si="8"/>
        <v>31.3</v>
      </c>
      <c r="J23" s="25">
        <f t="shared" si="8"/>
        <v>79</v>
      </c>
      <c r="K23" s="114"/>
      <c r="L23" s="25">
        <f t="shared" ref="L23:AR23" si="9">L16/L$11</f>
        <v>31</v>
      </c>
      <c r="M23" s="25">
        <f t="shared" si="9"/>
        <v>12.5</v>
      </c>
      <c r="N23" s="25">
        <f t="shared" si="9"/>
        <v>23</v>
      </c>
      <c r="O23" s="25">
        <f t="shared" si="9"/>
        <v>77</v>
      </c>
      <c r="P23" s="25">
        <f t="shared" si="9"/>
        <v>18</v>
      </c>
      <c r="Q23" s="25">
        <f t="shared" si="9"/>
        <v>74</v>
      </c>
      <c r="R23" s="25">
        <f t="shared" si="9"/>
        <v>18</v>
      </c>
      <c r="S23" s="25">
        <f t="shared" si="9"/>
        <v>25.5</v>
      </c>
      <c r="T23" s="25">
        <f t="shared" si="9"/>
        <v>50</v>
      </c>
      <c r="U23" s="25">
        <f t="shared" si="9"/>
        <v>122</v>
      </c>
      <c r="V23" s="25">
        <f t="shared" si="9"/>
        <v>9.5</v>
      </c>
      <c r="W23" s="25">
        <f t="shared" si="9"/>
        <v>25</v>
      </c>
      <c r="X23" s="25">
        <f t="shared" si="9"/>
        <v>42</v>
      </c>
      <c r="Y23" s="25">
        <f t="shared" si="9"/>
        <v>27</v>
      </c>
      <c r="Z23" s="25">
        <f t="shared" si="9"/>
        <v>75</v>
      </c>
      <c r="AA23" s="25">
        <f t="shared" si="9"/>
        <v>25</v>
      </c>
      <c r="AB23" s="25">
        <f t="shared" si="9"/>
        <v>22</v>
      </c>
      <c r="AC23" s="25">
        <f t="shared" si="9"/>
        <v>26</v>
      </c>
      <c r="AD23" s="25" t="e">
        <f t="shared" si="9"/>
        <v>#N/A</v>
      </c>
      <c r="AE23" s="25">
        <f t="shared" si="9"/>
        <v>0</v>
      </c>
      <c r="AF23" s="25">
        <f t="shared" si="9"/>
        <v>16</v>
      </c>
      <c r="AG23" s="25">
        <f t="shared" si="9"/>
        <v>33</v>
      </c>
      <c r="AH23" s="25">
        <f t="shared" si="9"/>
        <v>18</v>
      </c>
      <c r="AI23" s="25">
        <f t="shared" si="9"/>
        <v>17</v>
      </c>
      <c r="AJ23" s="25">
        <f t="shared" si="9"/>
        <v>51</v>
      </c>
      <c r="AK23" s="25">
        <f t="shared" si="9"/>
        <v>29</v>
      </c>
      <c r="AL23" s="25">
        <f t="shared" si="9"/>
        <v>29</v>
      </c>
      <c r="AM23" s="25">
        <f t="shared" si="9"/>
        <v>41</v>
      </c>
      <c r="AN23" s="25">
        <f t="shared" si="9"/>
        <v>21</v>
      </c>
      <c r="AO23" s="25">
        <f t="shared" si="9"/>
        <v>59</v>
      </c>
      <c r="AP23" s="25">
        <f t="shared" si="9"/>
        <v>3</v>
      </c>
      <c r="AQ23" s="25">
        <f t="shared" si="9"/>
        <v>79</v>
      </c>
      <c r="AR23" s="25">
        <f t="shared" si="9"/>
        <v>1</v>
      </c>
    </row>
    <row r="24" spans="1:44" ht="15.75" customHeight="1">
      <c r="C24" s="8" t="s">
        <v>2107</v>
      </c>
      <c r="D24" s="25">
        <f t="shared" si="1"/>
        <v>43.951219512195124</v>
      </c>
      <c r="E24" s="114"/>
      <c r="F24" s="25">
        <f t="shared" ref="F24:J24" si="10">F17/F$11</f>
        <v>42.31818181818182</v>
      </c>
      <c r="G24" s="25">
        <f t="shared" si="10"/>
        <v>41.263157894736842</v>
      </c>
      <c r="H24" s="25">
        <f t="shared" si="10"/>
        <v>34.5</v>
      </c>
      <c r="I24" s="25">
        <f t="shared" si="10"/>
        <v>40.4</v>
      </c>
      <c r="J24" s="25">
        <f t="shared" si="10"/>
        <v>191</v>
      </c>
      <c r="K24" s="114"/>
      <c r="L24" s="25">
        <f t="shared" ref="L24:AR24" si="11">L17/L$11</f>
        <v>34</v>
      </c>
      <c r="M24" s="25">
        <f t="shared" si="11"/>
        <v>18</v>
      </c>
      <c r="N24" s="25">
        <f t="shared" si="11"/>
        <v>26.5</v>
      </c>
      <c r="O24" s="25">
        <f t="shared" si="11"/>
        <v>93</v>
      </c>
      <c r="P24" s="25">
        <f t="shared" si="11"/>
        <v>18</v>
      </c>
      <c r="Q24" s="25">
        <f t="shared" si="11"/>
        <v>95</v>
      </c>
      <c r="R24" s="25">
        <f t="shared" si="11"/>
        <v>26</v>
      </c>
      <c r="S24" s="25">
        <f t="shared" si="11"/>
        <v>33</v>
      </c>
      <c r="T24" s="25">
        <f t="shared" si="11"/>
        <v>70</v>
      </c>
      <c r="U24" s="25">
        <f t="shared" si="11"/>
        <v>120</v>
      </c>
      <c r="V24" s="25">
        <f t="shared" si="11"/>
        <v>13.5</v>
      </c>
      <c r="W24" s="25">
        <f t="shared" si="11"/>
        <v>33</v>
      </c>
      <c r="X24" s="25">
        <f t="shared" si="11"/>
        <v>60</v>
      </c>
      <c r="Y24" s="25">
        <f t="shared" si="11"/>
        <v>44</v>
      </c>
      <c r="Z24" s="25">
        <f t="shared" si="11"/>
        <v>95</v>
      </c>
      <c r="AA24" s="25">
        <f t="shared" si="11"/>
        <v>34</v>
      </c>
      <c r="AB24" s="25">
        <f t="shared" si="11"/>
        <v>26</v>
      </c>
      <c r="AC24" s="25">
        <f t="shared" si="11"/>
        <v>36</v>
      </c>
      <c r="AD24" s="25" t="e">
        <f t="shared" si="11"/>
        <v>#N/A</v>
      </c>
      <c r="AE24" s="25">
        <f t="shared" si="11"/>
        <v>0</v>
      </c>
      <c r="AF24" s="25">
        <f t="shared" si="11"/>
        <v>25</v>
      </c>
      <c r="AG24" s="25">
        <f t="shared" si="11"/>
        <v>49</v>
      </c>
      <c r="AH24" s="25">
        <f t="shared" si="11"/>
        <v>22.5</v>
      </c>
      <c r="AI24" s="25">
        <f t="shared" si="11"/>
        <v>19</v>
      </c>
      <c r="AJ24" s="25">
        <f t="shared" si="11"/>
        <v>72</v>
      </c>
      <c r="AK24" s="25">
        <f t="shared" si="11"/>
        <v>47</v>
      </c>
      <c r="AL24" s="25">
        <f t="shared" si="11"/>
        <v>33</v>
      </c>
      <c r="AM24" s="25">
        <f t="shared" si="11"/>
        <v>52</v>
      </c>
      <c r="AN24" s="25">
        <f t="shared" si="11"/>
        <v>28</v>
      </c>
      <c r="AO24" s="25">
        <f t="shared" si="11"/>
        <v>69.5</v>
      </c>
      <c r="AP24" s="25">
        <f t="shared" si="11"/>
        <v>5</v>
      </c>
      <c r="AQ24" s="25">
        <f t="shared" si="11"/>
        <v>191</v>
      </c>
      <c r="AR24" s="25">
        <f t="shared" si="11"/>
        <v>1</v>
      </c>
    </row>
    <row r="25" spans="1:44" ht="15.75" customHeight="1">
      <c r="C25" s="8" t="s">
        <v>2108</v>
      </c>
      <c r="D25" s="25">
        <f t="shared" si="1"/>
        <v>33.292682926829265</v>
      </c>
      <c r="E25" s="114"/>
      <c r="F25" s="25">
        <f t="shared" ref="F25:J25" si="12">F18/F$11</f>
        <v>33.545454545454547</v>
      </c>
      <c r="G25" s="25">
        <f t="shared" si="12"/>
        <v>31.578947368421051</v>
      </c>
      <c r="H25" s="25">
        <f t="shared" si="12"/>
        <v>30.25</v>
      </c>
      <c r="I25" s="25">
        <f t="shared" si="12"/>
        <v>30.1</v>
      </c>
      <c r="J25" s="25">
        <f t="shared" si="12"/>
        <v>84</v>
      </c>
      <c r="K25" s="114"/>
      <c r="L25" s="25">
        <f t="shared" ref="L25:AR25" si="13">L18/L$11</f>
        <v>30</v>
      </c>
      <c r="M25" s="25">
        <f t="shared" si="13"/>
        <v>12</v>
      </c>
      <c r="N25" s="25">
        <f t="shared" si="13"/>
        <v>20.5</v>
      </c>
      <c r="O25" s="25">
        <f t="shared" si="13"/>
        <v>75</v>
      </c>
      <c r="P25" s="25">
        <f t="shared" si="13"/>
        <v>16</v>
      </c>
      <c r="Q25" s="25">
        <f t="shared" si="13"/>
        <v>74</v>
      </c>
      <c r="R25" s="25">
        <f t="shared" si="13"/>
        <v>20</v>
      </c>
      <c r="S25" s="25">
        <f t="shared" si="13"/>
        <v>27.5</v>
      </c>
      <c r="T25" s="25">
        <f t="shared" si="13"/>
        <v>53</v>
      </c>
      <c r="U25" s="25">
        <f t="shared" si="13"/>
        <v>116</v>
      </c>
      <c r="V25" s="25">
        <f t="shared" si="13"/>
        <v>11</v>
      </c>
      <c r="W25" s="25">
        <f t="shared" si="13"/>
        <v>25</v>
      </c>
      <c r="X25" s="25">
        <f t="shared" si="13"/>
        <v>40</v>
      </c>
      <c r="Y25" s="25">
        <f t="shared" si="13"/>
        <v>23</v>
      </c>
      <c r="Z25" s="25">
        <f t="shared" si="13"/>
        <v>76</v>
      </c>
      <c r="AA25" s="25">
        <f t="shared" si="13"/>
        <v>25</v>
      </c>
      <c r="AB25" s="25">
        <f t="shared" si="13"/>
        <v>22</v>
      </c>
      <c r="AC25" s="25">
        <f t="shared" si="13"/>
        <v>32</v>
      </c>
      <c r="AD25" s="25" t="e">
        <f t="shared" si="13"/>
        <v>#N/A</v>
      </c>
      <c r="AE25" s="25">
        <f t="shared" si="13"/>
        <v>0</v>
      </c>
      <c r="AF25" s="25">
        <f t="shared" si="13"/>
        <v>19</v>
      </c>
      <c r="AG25" s="25">
        <f t="shared" si="13"/>
        <v>43</v>
      </c>
      <c r="AH25" s="25">
        <f t="shared" si="13"/>
        <v>19</v>
      </c>
      <c r="AI25" s="25">
        <f t="shared" si="13"/>
        <v>18</v>
      </c>
      <c r="AJ25" s="25">
        <f t="shared" si="13"/>
        <v>50</v>
      </c>
      <c r="AK25" s="25">
        <f t="shared" si="13"/>
        <v>29</v>
      </c>
      <c r="AL25" s="25">
        <f t="shared" si="13"/>
        <v>21</v>
      </c>
      <c r="AM25" s="25">
        <f t="shared" si="13"/>
        <v>44</v>
      </c>
      <c r="AN25" s="25">
        <f t="shared" si="13"/>
        <v>21</v>
      </c>
      <c r="AO25" s="25">
        <f t="shared" si="13"/>
        <v>54.5</v>
      </c>
      <c r="AP25" s="25">
        <f t="shared" si="13"/>
        <v>6</v>
      </c>
      <c r="AQ25" s="25">
        <f t="shared" si="13"/>
        <v>84</v>
      </c>
      <c r="AR25" s="25">
        <f t="shared" si="13"/>
        <v>1</v>
      </c>
    </row>
    <row r="26" spans="1:44" ht="4.5" customHeight="1">
      <c r="D26" s="380"/>
      <c r="E26" s="381"/>
      <c r="F26" s="380"/>
      <c r="G26" s="380"/>
      <c r="H26" s="380"/>
      <c r="I26" s="380"/>
      <c r="J26" s="380"/>
      <c r="K26" s="381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80"/>
      <c r="AO26" s="380"/>
      <c r="AP26" s="380"/>
      <c r="AQ26" s="380"/>
      <c r="AR26" s="380"/>
    </row>
    <row r="27" spans="1:44" ht="15.75" customHeight="1">
      <c r="A27" s="42"/>
      <c r="B27" s="42"/>
      <c r="C27" s="56" t="s">
        <v>2109</v>
      </c>
      <c r="D27" s="90">
        <f t="shared" ref="D27:D31" si="14">D14/D$13</f>
        <v>0.69028006589785829</v>
      </c>
      <c r="E27" s="382"/>
      <c r="F27" s="90">
        <f t="shared" ref="F27:J27" si="15">F14/F$13</f>
        <v>0.66356877323420072</v>
      </c>
      <c r="G27" s="90">
        <f t="shared" si="15"/>
        <v>0.64640111809923129</v>
      </c>
      <c r="H27" s="90">
        <f t="shared" si="15"/>
        <v>0.7808510638297872</v>
      </c>
      <c r="I27" s="90">
        <f t="shared" si="15"/>
        <v>0.6643059490084986</v>
      </c>
      <c r="J27" s="90">
        <f t="shared" si="15"/>
        <v>0.76734693877551019</v>
      </c>
      <c r="K27" s="382"/>
      <c r="L27" s="90">
        <f t="shared" ref="L27:AR27" si="16">L14/L$13</f>
        <v>0.6785714285714286</v>
      </c>
      <c r="M27" s="90">
        <f t="shared" si="16"/>
        <v>0.46153846153846156</v>
      </c>
      <c r="N27" s="90">
        <f t="shared" si="16"/>
        <v>0.77215189873417722</v>
      </c>
      <c r="O27" s="90">
        <f t="shared" si="16"/>
        <v>0.75352112676056338</v>
      </c>
      <c r="P27" s="90">
        <f t="shared" si="16"/>
        <v>0.46296296296296297</v>
      </c>
      <c r="Q27" s="90">
        <f t="shared" si="16"/>
        <v>0.76190476190476186</v>
      </c>
      <c r="R27" s="90">
        <f t="shared" si="16"/>
        <v>0.62903225806451613</v>
      </c>
      <c r="S27" s="90">
        <f t="shared" si="16"/>
        <v>0.7321428571428571</v>
      </c>
      <c r="T27" s="90">
        <f t="shared" si="16"/>
        <v>0.86</v>
      </c>
      <c r="U27" s="90">
        <f t="shared" si="16"/>
        <v>0.82857142857142863</v>
      </c>
      <c r="V27" s="90">
        <f t="shared" si="16"/>
        <v>0.69767441860465118</v>
      </c>
      <c r="W27" s="90">
        <f t="shared" si="16"/>
        <v>0.55072463768115942</v>
      </c>
      <c r="X27" s="90">
        <f t="shared" si="16"/>
        <v>0.7142857142857143</v>
      </c>
      <c r="Y27" s="90">
        <f t="shared" si="16"/>
        <v>0.57647058823529407</v>
      </c>
      <c r="Z27" s="90">
        <f t="shared" si="16"/>
        <v>0.7769784172661871</v>
      </c>
      <c r="AA27" s="90">
        <f t="shared" si="16"/>
        <v>0.56923076923076921</v>
      </c>
      <c r="AB27" s="90">
        <f t="shared" si="16"/>
        <v>0.5</v>
      </c>
      <c r="AC27" s="90">
        <f t="shared" si="16"/>
        <v>0.74809160305343514</v>
      </c>
      <c r="AD27" s="90" t="e">
        <f t="shared" si="16"/>
        <v>#DIV/0!</v>
      </c>
      <c r="AE27" s="90" t="e">
        <f t="shared" si="16"/>
        <v>#DIV/0!</v>
      </c>
      <c r="AF27" s="90">
        <f t="shared" si="16"/>
        <v>0.80487804878048785</v>
      </c>
      <c r="AG27" s="90">
        <f t="shared" si="16"/>
        <v>0.79012345679012341</v>
      </c>
      <c r="AH27" s="90">
        <f t="shared" si="16"/>
        <v>0.8271604938271605</v>
      </c>
      <c r="AI27" s="90">
        <f t="shared" si="16"/>
        <v>0.5714285714285714</v>
      </c>
      <c r="AJ27" s="90">
        <f t="shared" si="16"/>
        <v>0.78095238095238095</v>
      </c>
      <c r="AK27" s="90">
        <f t="shared" si="16"/>
        <v>0.57425742574257421</v>
      </c>
      <c r="AL27" s="90">
        <f t="shared" si="16"/>
        <v>0.58208955223880599</v>
      </c>
      <c r="AM27" s="90">
        <f t="shared" si="16"/>
        <v>0.75903614457831325</v>
      </c>
      <c r="AN27" s="90">
        <f t="shared" si="16"/>
        <v>0.79487179487179482</v>
      </c>
      <c r="AO27" s="90">
        <f t="shared" si="16"/>
        <v>0.81025641025641026</v>
      </c>
      <c r="AP27" s="90">
        <f t="shared" si="16"/>
        <v>0.17948717948717949</v>
      </c>
      <c r="AQ27" s="90">
        <f t="shared" si="16"/>
        <v>0.76734693877551019</v>
      </c>
      <c r="AR27" s="90">
        <f t="shared" si="16"/>
        <v>4.1095890410958902E-2</v>
      </c>
    </row>
    <row r="28" spans="1:44" ht="15.75" customHeight="1">
      <c r="A28" s="42"/>
      <c r="B28" s="42"/>
      <c r="C28" s="56" t="s">
        <v>2110</v>
      </c>
      <c r="D28" s="90">
        <f t="shared" si="14"/>
        <v>0.53937397034596379</v>
      </c>
      <c r="E28" s="382"/>
      <c r="F28" s="90">
        <f t="shared" ref="F28:J28" si="17">F15/F$13</f>
        <v>0.52602230483271373</v>
      </c>
      <c r="G28" s="90">
        <f t="shared" si="17"/>
        <v>0.48986722571628233</v>
      </c>
      <c r="H28" s="90">
        <f t="shared" si="17"/>
        <v>0.55531914893617018</v>
      </c>
      <c r="I28" s="90">
        <f t="shared" si="17"/>
        <v>0.58073654390934848</v>
      </c>
      <c r="J28" s="90">
        <f t="shared" si="17"/>
        <v>0.47755102040816327</v>
      </c>
      <c r="K28" s="382"/>
      <c r="L28" s="90">
        <f t="shared" ref="L28:AR28" si="18">L15/L$13</f>
        <v>0.625</v>
      </c>
      <c r="M28" s="90">
        <f t="shared" si="18"/>
        <v>0.34065934065934067</v>
      </c>
      <c r="N28" s="90">
        <f t="shared" si="18"/>
        <v>0.65822784810126578</v>
      </c>
      <c r="O28" s="90">
        <f t="shared" si="18"/>
        <v>0.54225352112676062</v>
      </c>
      <c r="P28" s="90">
        <f t="shared" si="18"/>
        <v>0.29629629629629628</v>
      </c>
      <c r="Q28" s="90">
        <f t="shared" si="18"/>
        <v>0.59183673469387754</v>
      </c>
      <c r="R28" s="90">
        <f t="shared" si="18"/>
        <v>0.33870967741935482</v>
      </c>
      <c r="S28" s="90">
        <f t="shared" si="18"/>
        <v>0.5357142857142857</v>
      </c>
      <c r="T28" s="90">
        <f t="shared" si="18"/>
        <v>0.64</v>
      </c>
      <c r="U28" s="90">
        <f t="shared" si="18"/>
        <v>0.8928571428571429</v>
      </c>
      <c r="V28" s="90">
        <f t="shared" si="18"/>
        <v>0.53488372093023251</v>
      </c>
      <c r="W28" s="90">
        <f t="shared" si="18"/>
        <v>0.42028985507246375</v>
      </c>
      <c r="X28" s="90">
        <f t="shared" si="18"/>
        <v>0.58241758241758246</v>
      </c>
      <c r="Y28" s="90">
        <f t="shared" si="18"/>
        <v>0.35294117647058826</v>
      </c>
      <c r="Z28" s="90">
        <f t="shared" si="18"/>
        <v>0.61151079136690645</v>
      </c>
      <c r="AA28" s="90">
        <f t="shared" si="18"/>
        <v>0.55384615384615388</v>
      </c>
      <c r="AB28" s="90">
        <f t="shared" si="18"/>
        <v>0.34848484848484851</v>
      </c>
      <c r="AC28" s="90">
        <f t="shared" si="18"/>
        <v>0.49618320610687022</v>
      </c>
      <c r="AD28" s="90" t="e">
        <f t="shared" si="18"/>
        <v>#DIV/0!</v>
      </c>
      <c r="AE28" s="90" t="e">
        <f t="shared" si="18"/>
        <v>#DIV/0!</v>
      </c>
      <c r="AF28" s="90">
        <f t="shared" si="18"/>
        <v>0.53658536585365857</v>
      </c>
      <c r="AG28" s="90">
        <f t="shared" si="18"/>
        <v>0.55555555555555558</v>
      </c>
      <c r="AH28" s="90">
        <f t="shared" si="18"/>
        <v>0.5679012345679012</v>
      </c>
      <c r="AI28" s="90">
        <f t="shared" si="18"/>
        <v>0.61904761904761907</v>
      </c>
      <c r="AJ28" s="90">
        <f t="shared" si="18"/>
        <v>0.65714285714285714</v>
      </c>
      <c r="AK28" s="90">
        <f t="shared" si="18"/>
        <v>0.46534653465346537</v>
      </c>
      <c r="AL28" s="90">
        <f t="shared" si="18"/>
        <v>0.55223880597014929</v>
      </c>
      <c r="AM28" s="90">
        <f t="shared" si="18"/>
        <v>0.6506024096385542</v>
      </c>
      <c r="AN28" s="90">
        <f t="shared" si="18"/>
        <v>0.69230769230769229</v>
      </c>
      <c r="AO28" s="90">
        <f t="shared" si="18"/>
        <v>0.73333333333333328</v>
      </c>
      <c r="AP28" s="90">
        <f t="shared" si="18"/>
        <v>0.15384615384615385</v>
      </c>
      <c r="AQ28" s="90">
        <f t="shared" si="18"/>
        <v>0.47755102040816327</v>
      </c>
      <c r="AR28" s="90">
        <f t="shared" si="18"/>
        <v>2.7397260273972601E-2</v>
      </c>
    </row>
    <row r="29" spans="1:44" ht="15.75" customHeight="1">
      <c r="A29" s="42"/>
      <c r="B29" s="42"/>
      <c r="C29" s="56" t="s">
        <v>2111</v>
      </c>
      <c r="D29" s="90">
        <f t="shared" si="14"/>
        <v>0.44250411861614497</v>
      </c>
      <c r="E29" s="382"/>
      <c r="F29" s="90">
        <f t="shared" ref="F29:J29" si="19">F16/F$13</f>
        <v>0.46344485749690212</v>
      </c>
      <c r="G29" s="90">
        <f t="shared" si="19"/>
        <v>0.42417889587700908</v>
      </c>
      <c r="H29" s="90">
        <f t="shared" si="19"/>
        <v>0.43191489361702129</v>
      </c>
      <c r="I29" s="90">
        <f t="shared" si="19"/>
        <v>0.443342776203966</v>
      </c>
      <c r="J29" s="90">
        <f t="shared" si="19"/>
        <v>0.32244897959183672</v>
      </c>
      <c r="K29" s="382"/>
      <c r="L29" s="90">
        <f t="shared" ref="L29:AR29" si="20">L16/L$13</f>
        <v>0.5535714285714286</v>
      </c>
      <c r="M29" s="90">
        <f t="shared" si="20"/>
        <v>0.27472527472527475</v>
      </c>
      <c r="N29" s="90">
        <f t="shared" si="20"/>
        <v>0.58227848101265822</v>
      </c>
      <c r="O29" s="90">
        <f t="shared" si="20"/>
        <v>0.54225352112676062</v>
      </c>
      <c r="P29" s="90">
        <f t="shared" si="20"/>
        <v>0.33333333333333331</v>
      </c>
      <c r="Q29" s="90">
        <f t="shared" si="20"/>
        <v>0.50340136054421769</v>
      </c>
      <c r="R29" s="90">
        <f t="shared" si="20"/>
        <v>0.29032258064516131</v>
      </c>
      <c r="S29" s="90">
        <f t="shared" si="20"/>
        <v>0.45535714285714285</v>
      </c>
      <c r="T29" s="90">
        <f t="shared" si="20"/>
        <v>0.5</v>
      </c>
      <c r="U29" s="90">
        <f t="shared" si="20"/>
        <v>0.87142857142857144</v>
      </c>
      <c r="V29" s="90">
        <f t="shared" si="20"/>
        <v>0.44186046511627908</v>
      </c>
      <c r="W29" s="90">
        <f t="shared" si="20"/>
        <v>0.36231884057971014</v>
      </c>
      <c r="X29" s="90">
        <f t="shared" si="20"/>
        <v>0.46153846153846156</v>
      </c>
      <c r="Y29" s="90">
        <f t="shared" si="20"/>
        <v>0.31764705882352939</v>
      </c>
      <c r="Z29" s="90">
        <f t="shared" si="20"/>
        <v>0.53956834532374098</v>
      </c>
      <c r="AA29" s="90">
        <f t="shared" si="20"/>
        <v>0.38461538461538464</v>
      </c>
      <c r="AB29" s="90">
        <f t="shared" si="20"/>
        <v>0.33333333333333331</v>
      </c>
      <c r="AC29" s="90">
        <f t="shared" si="20"/>
        <v>0.39694656488549618</v>
      </c>
      <c r="AD29" s="90" t="e">
        <f t="shared" si="20"/>
        <v>#DIV/0!</v>
      </c>
      <c r="AE29" s="90" t="e">
        <f t="shared" si="20"/>
        <v>#DIV/0!</v>
      </c>
      <c r="AF29" s="90">
        <f t="shared" si="20"/>
        <v>0.3902439024390244</v>
      </c>
      <c r="AG29" s="90">
        <f t="shared" si="20"/>
        <v>0.40740740740740738</v>
      </c>
      <c r="AH29" s="90">
        <f t="shared" si="20"/>
        <v>0.44444444444444442</v>
      </c>
      <c r="AI29" s="90">
        <f t="shared" si="20"/>
        <v>0.40476190476190477</v>
      </c>
      <c r="AJ29" s="90">
        <f t="shared" si="20"/>
        <v>0.48571428571428571</v>
      </c>
      <c r="AK29" s="90">
        <f t="shared" si="20"/>
        <v>0.28712871287128711</v>
      </c>
      <c r="AL29" s="90">
        <f t="shared" si="20"/>
        <v>0.43283582089552236</v>
      </c>
      <c r="AM29" s="90">
        <f t="shared" si="20"/>
        <v>0.49397590361445781</v>
      </c>
      <c r="AN29" s="90">
        <f t="shared" si="20"/>
        <v>0.53846153846153844</v>
      </c>
      <c r="AO29" s="90">
        <f t="shared" si="20"/>
        <v>0.60512820512820509</v>
      </c>
      <c r="AP29" s="90">
        <f t="shared" si="20"/>
        <v>7.6923076923076927E-2</v>
      </c>
      <c r="AQ29" s="90">
        <f t="shared" si="20"/>
        <v>0.32244897959183672</v>
      </c>
      <c r="AR29" s="90">
        <f t="shared" si="20"/>
        <v>1.3698630136986301E-2</v>
      </c>
    </row>
    <row r="30" spans="1:44" ht="15.75" customHeight="1">
      <c r="A30" s="42"/>
      <c r="B30" s="42"/>
      <c r="C30" s="56" t="s">
        <v>2112</v>
      </c>
      <c r="D30" s="90">
        <f t="shared" si="14"/>
        <v>0.59373970345963756</v>
      </c>
      <c r="E30" s="382"/>
      <c r="F30" s="90">
        <f t="shared" ref="F30:J30" si="21">F17/F$13</f>
        <v>0.57682775712515488</v>
      </c>
      <c r="G30" s="90">
        <f t="shared" si="21"/>
        <v>0.54786862334032149</v>
      </c>
      <c r="H30" s="90">
        <f t="shared" si="21"/>
        <v>0.58723404255319145</v>
      </c>
      <c r="I30" s="90">
        <f t="shared" si="21"/>
        <v>0.57223796033994334</v>
      </c>
      <c r="J30" s="90">
        <f t="shared" si="21"/>
        <v>0.7795918367346939</v>
      </c>
      <c r="K30" s="382"/>
      <c r="L30" s="90">
        <f t="shared" ref="L30:AR30" si="22">L17/L$13</f>
        <v>0.6071428571428571</v>
      </c>
      <c r="M30" s="90">
        <f t="shared" si="22"/>
        <v>0.39560439560439559</v>
      </c>
      <c r="N30" s="90">
        <f t="shared" si="22"/>
        <v>0.67088607594936711</v>
      </c>
      <c r="O30" s="90">
        <f t="shared" si="22"/>
        <v>0.65492957746478875</v>
      </c>
      <c r="P30" s="90">
        <f t="shared" si="22"/>
        <v>0.33333333333333331</v>
      </c>
      <c r="Q30" s="90">
        <f t="shared" si="22"/>
        <v>0.6462585034013606</v>
      </c>
      <c r="R30" s="90">
        <f t="shared" si="22"/>
        <v>0.41935483870967744</v>
      </c>
      <c r="S30" s="90">
        <f t="shared" si="22"/>
        <v>0.5892857142857143</v>
      </c>
      <c r="T30" s="90">
        <f t="shared" si="22"/>
        <v>0.7</v>
      </c>
      <c r="U30" s="90">
        <f t="shared" si="22"/>
        <v>0.8571428571428571</v>
      </c>
      <c r="V30" s="90">
        <f t="shared" si="22"/>
        <v>0.62790697674418605</v>
      </c>
      <c r="W30" s="90">
        <f t="shared" si="22"/>
        <v>0.47826086956521741</v>
      </c>
      <c r="X30" s="90">
        <f t="shared" si="22"/>
        <v>0.65934065934065933</v>
      </c>
      <c r="Y30" s="90">
        <f t="shared" si="22"/>
        <v>0.51764705882352946</v>
      </c>
      <c r="Z30" s="90">
        <f t="shared" si="22"/>
        <v>0.68345323741007191</v>
      </c>
      <c r="AA30" s="90">
        <f t="shared" si="22"/>
        <v>0.52307692307692311</v>
      </c>
      <c r="AB30" s="90">
        <f t="shared" si="22"/>
        <v>0.39393939393939392</v>
      </c>
      <c r="AC30" s="90">
        <f t="shared" si="22"/>
        <v>0.54961832061068705</v>
      </c>
      <c r="AD30" s="90" t="e">
        <f t="shared" si="22"/>
        <v>#DIV/0!</v>
      </c>
      <c r="AE30" s="90" t="e">
        <f t="shared" si="22"/>
        <v>#DIV/0!</v>
      </c>
      <c r="AF30" s="90">
        <f t="shared" si="22"/>
        <v>0.6097560975609756</v>
      </c>
      <c r="AG30" s="90">
        <f t="shared" si="22"/>
        <v>0.60493827160493829</v>
      </c>
      <c r="AH30" s="90">
        <f t="shared" si="22"/>
        <v>0.55555555555555558</v>
      </c>
      <c r="AI30" s="90">
        <f t="shared" si="22"/>
        <v>0.45238095238095238</v>
      </c>
      <c r="AJ30" s="90">
        <f t="shared" si="22"/>
        <v>0.68571428571428572</v>
      </c>
      <c r="AK30" s="90">
        <f t="shared" si="22"/>
        <v>0.46534653465346537</v>
      </c>
      <c r="AL30" s="90">
        <f t="shared" si="22"/>
        <v>0.4925373134328358</v>
      </c>
      <c r="AM30" s="90">
        <f t="shared" si="22"/>
        <v>0.62650602409638556</v>
      </c>
      <c r="AN30" s="90">
        <f t="shared" si="22"/>
        <v>0.71794871794871795</v>
      </c>
      <c r="AO30" s="90">
        <f t="shared" si="22"/>
        <v>0.71282051282051284</v>
      </c>
      <c r="AP30" s="90">
        <f t="shared" si="22"/>
        <v>0.12820512820512819</v>
      </c>
      <c r="AQ30" s="90">
        <f t="shared" si="22"/>
        <v>0.7795918367346939</v>
      </c>
      <c r="AR30" s="90">
        <f t="shared" si="22"/>
        <v>1.3698630136986301E-2</v>
      </c>
    </row>
    <row r="31" spans="1:44" ht="15.75" customHeight="1">
      <c r="A31" s="42"/>
      <c r="B31" s="42"/>
      <c r="C31" s="56" t="s">
        <v>2113</v>
      </c>
      <c r="D31" s="90">
        <f t="shared" si="14"/>
        <v>0.44975288303130151</v>
      </c>
      <c r="E31" s="382"/>
      <c r="F31" s="90">
        <f t="shared" ref="F31:J31" si="23">F18/F$13</f>
        <v>0.45724907063197023</v>
      </c>
      <c r="G31" s="90">
        <f t="shared" si="23"/>
        <v>0.41928721174004191</v>
      </c>
      <c r="H31" s="90">
        <f t="shared" si="23"/>
        <v>0.51489361702127656</v>
      </c>
      <c r="I31" s="90">
        <f t="shared" si="23"/>
        <v>0.42634560906515578</v>
      </c>
      <c r="J31" s="90">
        <f t="shared" si="23"/>
        <v>0.34285714285714286</v>
      </c>
      <c r="K31" s="382"/>
      <c r="L31" s="90">
        <f t="shared" ref="L31:AR31" si="24">L18/L$13</f>
        <v>0.5357142857142857</v>
      </c>
      <c r="M31" s="90">
        <f t="shared" si="24"/>
        <v>0.26373626373626374</v>
      </c>
      <c r="N31" s="90">
        <f t="shared" si="24"/>
        <v>0.51898734177215189</v>
      </c>
      <c r="O31" s="90">
        <f t="shared" si="24"/>
        <v>0.528169014084507</v>
      </c>
      <c r="P31" s="90">
        <f t="shared" si="24"/>
        <v>0.29629629629629628</v>
      </c>
      <c r="Q31" s="90">
        <f t="shared" si="24"/>
        <v>0.50340136054421769</v>
      </c>
      <c r="R31" s="90">
        <f t="shared" si="24"/>
        <v>0.32258064516129031</v>
      </c>
      <c r="S31" s="90">
        <f t="shared" si="24"/>
        <v>0.49107142857142855</v>
      </c>
      <c r="T31" s="90">
        <f t="shared" si="24"/>
        <v>0.53</v>
      </c>
      <c r="U31" s="90">
        <f t="shared" si="24"/>
        <v>0.82857142857142863</v>
      </c>
      <c r="V31" s="90">
        <f t="shared" si="24"/>
        <v>0.51162790697674421</v>
      </c>
      <c r="W31" s="90">
        <f t="shared" si="24"/>
        <v>0.36231884057971014</v>
      </c>
      <c r="X31" s="90">
        <f t="shared" si="24"/>
        <v>0.43956043956043955</v>
      </c>
      <c r="Y31" s="90">
        <f t="shared" si="24"/>
        <v>0.27058823529411763</v>
      </c>
      <c r="Z31" s="90">
        <f t="shared" si="24"/>
        <v>0.5467625899280576</v>
      </c>
      <c r="AA31" s="90">
        <f t="shared" si="24"/>
        <v>0.38461538461538464</v>
      </c>
      <c r="AB31" s="90">
        <f t="shared" si="24"/>
        <v>0.33333333333333331</v>
      </c>
      <c r="AC31" s="90">
        <f t="shared" si="24"/>
        <v>0.48854961832061067</v>
      </c>
      <c r="AD31" s="90" t="e">
        <f t="shared" si="24"/>
        <v>#DIV/0!</v>
      </c>
      <c r="AE31" s="90" t="e">
        <f t="shared" si="24"/>
        <v>#DIV/0!</v>
      </c>
      <c r="AF31" s="90">
        <f t="shared" si="24"/>
        <v>0.46341463414634149</v>
      </c>
      <c r="AG31" s="90">
        <f t="shared" si="24"/>
        <v>0.53086419753086422</v>
      </c>
      <c r="AH31" s="90">
        <f t="shared" si="24"/>
        <v>0.46913580246913578</v>
      </c>
      <c r="AI31" s="90">
        <f t="shared" si="24"/>
        <v>0.42857142857142855</v>
      </c>
      <c r="AJ31" s="90">
        <f t="shared" si="24"/>
        <v>0.47619047619047616</v>
      </c>
      <c r="AK31" s="90">
        <f t="shared" si="24"/>
        <v>0.28712871287128711</v>
      </c>
      <c r="AL31" s="90">
        <f t="shared" si="24"/>
        <v>0.31343283582089554</v>
      </c>
      <c r="AM31" s="90">
        <f t="shared" si="24"/>
        <v>0.53012048192771088</v>
      </c>
      <c r="AN31" s="90">
        <f t="shared" si="24"/>
        <v>0.53846153846153844</v>
      </c>
      <c r="AO31" s="90">
        <f t="shared" si="24"/>
        <v>0.55897435897435899</v>
      </c>
      <c r="AP31" s="90">
        <f t="shared" si="24"/>
        <v>0.15384615384615385</v>
      </c>
      <c r="AQ31" s="90">
        <f t="shared" si="24"/>
        <v>0.34285714285714286</v>
      </c>
      <c r="AR31" s="90">
        <f t="shared" si="24"/>
        <v>1.3698630136986301E-2</v>
      </c>
    </row>
    <row r="32" spans="1:44" ht="15.75" customHeight="1">
      <c r="D32" s="380"/>
      <c r="E32" s="381"/>
      <c r="F32" s="380"/>
      <c r="G32" s="380"/>
      <c r="H32" s="380"/>
      <c r="I32" s="380"/>
      <c r="J32" s="380"/>
      <c r="K32" s="381"/>
      <c r="L32" s="380"/>
    </row>
    <row r="33" spans="3:44" ht="15.75" customHeight="1">
      <c r="C33" s="33" t="s">
        <v>2114</v>
      </c>
      <c r="D33" s="380"/>
      <c r="E33" s="381"/>
      <c r="F33" s="380"/>
      <c r="G33" s="380"/>
      <c r="H33" s="380"/>
      <c r="I33" s="380"/>
      <c r="J33" s="380"/>
      <c r="K33" s="381"/>
      <c r="L33" s="380"/>
    </row>
    <row r="34" spans="3:44" ht="15.75" customHeight="1">
      <c r="C34" s="8" t="s">
        <v>2115</v>
      </c>
      <c r="D34" s="383">
        <f>D51/D14</f>
        <v>1.6865751837708829</v>
      </c>
      <c r="E34" s="384"/>
      <c r="F34" s="383">
        <f t="shared" ref="F34:J34" si="25">F51/F14</f>
        <v>1.708426704014939</v>
      </c>
      <c r="G34" s="383">
        <f t="shared" si="25"/>
        <v>1.6143513513513512</v>
      </c>
      <c r="H34" s="383">
        <f t="shared" si="25"/>
        <v>1.245640326975477</v>
      </c>
      <c r="I34" s="383">
        <f t="shared" si="25"/>
        <v>1.6479211300639658</v>
      </c>
      <c r="J34" s="383">
        <f t="shared" si="25"/>
        <v>2.5192819148936172</v>
      </c>
      <c r="K34" s="384"/>
      <c r="L34" s="383">
        <f t="shared" ref="L34:AR34" si="26">L51/L14</f>
        <v>1.2552631578947369</v>
      </c>
      <c r="M34" s="383">
        <f t="shared" si="26"/>
        <v>2.2071428571428573</v>
      </c>
      <c r="N34" s="383">
        <f t="shared" si="26"/>
        <v>1.8434426229508196</v>
      </c>
      <c r="O34" s="383">
        <f t="shared" si="26"/>
        <v>1.4116822429906544</v>
      </c>
      <c r="P34" s="383">
        <f t="shared" si="26"/>
        <v>1.75</v>
      </c>
      <c r="Q34" s="383">
        <f t="shared" si="26"/>
        <v>1.5959821428571428</v>
      </c>
      <c r="R34" s="383">
        <f t="shared" si="26"/>
        <v>1.6205128205128205</v>
      </c>
      <c r="S34" s="383">
        <f t="shared" si="26"/>
        <v>1.6521341463414634</v>
      </c>
      <c r="T34" s="383">
        <f t="shared" si="26"/>
        <v>1.8616279069767441</v>
      </c>
      <c r="U34" s="383">
        <f t="shared" si="26"/>
        <v>2.6025862068965515</v>
      </c>
      <c r="V34" s="383">
        <f t="shared" si="26"/>
        <v>1.1516666666666666</v>
      </c>
      <c r="W34" s="383">
        <f t="shared" si="26"/>
        <v>1.0486842105263159</v>
      </c>
      <c r="X34" s="383">
        <f t="shared" si="26"/>
        <v>1.7776923076923077</v>
      </c>
      <c r="Y34" s="383">
        <f t="shared" si="26"/>
        <v>1.7903061224489796</v>
      </c>
      <c r="Z34" s="383">
        <f t="shared" si="26"/>
        <v>1.6988425925925925</v>
      </c>
      <c r="AA34" s="383">
        <f t="shared" si="26"/>
        <v>1.2006756756756756</v>
      </c>
      <c r="AB34" s="383">
        <f t="shared" si="26"/>
        <v>1.0901515151515151</v>
      </c>
      <c r="AC34" s="383">
        <f t="shared" si="26"/>
        <v>1.7747448979591838</v>
      </c>
      <c r="AD34" s="383" t="e">
        <f t="shared" si="26"/>
        <v>#VALUE!</v>
      </c>
      <c r="AE34" s="383" t="e">
        <f t="shared" si="26"/>
        <v>#DIV/0!</v>
      </c>
      <c r="AF34" s="383">
        <f t="shared" si="26"/>
        <v>1.5787878787878789</v>
      </c>
      <c r="AG34" s="383">
        <f t="shared" si="26"/>
        <v>1.591015625</v>
      </c>
      <c r="AH34" s="383">
        <f t="shared" si="26"/>
        <v>1.5399253731343283</v>
      </c>
      <c r="AI34" s="383">
        <f t="shared" si="26"/>
        <v>1.0885416666666667</v>
      </c>
      <c r="AJ34" s="383">
        <f t="shared" si="26"/>
        <v>1.5317073170731708</v>
      </c>
      <c r="AK34" s="383">
        <f t="shared" si="26"/>
        <v>1.5603449999999999</v>
      </c>
      <c r="AL34" s="383">
        <f t="shared" si="26"/>
        <v>1.6833333333333336</v>
      </c>
      <c r="AM34" s="383">
        <f t="shared" si="26"/>
        <v>1.6531746031746033</v>
      </c>
      <c r="AN34" s="383">
        <f t="shared" si="26"/>
        <v>1.5701612903225806</v>
      </c>
      <c r="AO34" s="383">
        <f t="shared" si="26"/>
        <v>1.7732594936708861</v>
      </c>
      <c r="AP34" s="383">
        <f t="shared" si="26"/>
        <v>1.3499999999999999</v>
      </c>
      <c r="AQ34" s="383">
        <f t="shared" si="26"/>
        <v>2.5192819148936172</v>
      </c>
      <c r="AR34" s="383">
        <f t="shared" si="26"/>
        <v>0.3666666666666667</v>
      </c>
    </row>
    <row r="35" spans="3:44" ht="15.75" customHeight="1">
      <c r="C35" s="8" t="s">
        <v>2116</v>
      </c>
      <c r="D35" s="383">
        <f>D49/D15</f>
        <v>3.2563305925473429</v>
      </c>
      <c r="E35" s="384"/>
      <c r="F35" s="383">
        <f t="shared" ref="F35:J35" si="27">F49/F15</f>
        <v>3.3282028621908126</v>
      </c>
      <c r="G35" s="383">
        <f t="shared" si="27"/>
        <v>2.6496882738944363</v>
      </c>
      <c r="H35" s="383">
        <f t="shared" si="27"/>
        <v>2.2383869731800767</v>
      </c>
      <c r="I35" s="383">
        <f t="shared" si="27"/>
        <v>3.8055558292682923</v>
      </c>
      <c r="J35" s="383">
        <f t="shared" si="27"/>
        <v>3.0809577777777779</v>
      </c>
      <c r="K35" s="384"/>
      <c r="L35" s="383">
        <f t="shared" ref="L35:AR35" si="28">L49/L15</f>
        <v>1.7991417142857145</v>
      </c>
      <c r="M35" s="383">
        <f t="shared" si="28"/>
        <v>2.7597903225806451</v>
      </c>
      <c r="N35" s="383">
        <f t="shared" si="28"/>
        <v>2.6373515384615382</v>
      </c>
      <c r="O35" s="383">
        <f t="shared" si="28"/>
        <v>2.2252416883116886</v>
      </c>
      <c r="P35" s="383">
        <f t="shared" si="28"/>
        <v>2.2041249999999999</v>
      </c>
      <c r="Q35" s="383">
        <f t="shared" si="28"/>
        <v>3.4052832183908044</v>
      </c>
      <c r="R35" s="383">
        <f t="shared" si="28"/>
        <v>2.7783333333333333</v>
      </c>
      <c r="S35" s="383">
        <f t="shared" si="28"/>
        <v>3.038011</v>
      </c>
      <c r="T35" s="383">
        <f t="shared" si="28"/>
        <v>2.8377906249999998</v>
      </c>
      <c r="U35" s="383">
        <f t="shared" si="28"/>
        <v>7.2857666400000003</v>
      </c>
      <c r="V35" s="383">
        <f t="shared" si="28"/>
        <v>2.4996486956521737</v>
      </c>
      <c r="W35" s="383">
        <f t="shared" si="28"/>
        <v>1.4689941379310345</v>
      </c>
      <c r="X35" s="383">
        <f t="shared" si="28"/>
        <v>2.5438113207547168</v>
      </c>
      <c r="Y35" s="383">
        <f t="shared" si="28"/>
        <v>2.8154499999999998</v>
      </c>
      <c r="Z35" s="383">
        <f t="shared" si="28"/>
        <v>3.2474009411764704</v>
      </c>
      <c r="AA35" s="383">
        <f t="shared" si="28"/>
        <v>1.7640972222222222</v>
      </c>
      <c r="AB35" s="383">
        <f t="shared" si="28"/>
        <v>1.5918695652173913</v>
      </c>
      <c r="AC35" s="383">
        <f t="shared" si="28"/>
        <v>3.3879904615384615</v>
      </c>
      <c r="AD35" s="383" t="e">
        <f t="shared" si="28"/>
        <v>#VALUE!</v>
      </c>
      <c r="AE35" s="383" t="e">
        <f t="shared" si="28"/>
        <v>#DIV/0!</v>
      </c>
      <c r="AF35" s="383">
        <f t="shared" si="28"/>
        <v>2.5023563636363635</v>
      </c>
      <c r="AG35" s="383">
        <f t="shared" si="28"/>
        <v>2.6087893333333336</v>
      </c>
      <c r="AH35" s="383">
        <f t="shared" si="28"/>
        <v>2.9943697826086959</v>
      </c>
      <c r="AI35" s="383">
        <f t="shared" si="28"/>
        <v>2.0696634615384615</v>
      </c>
      <c r="AJ35" s="383">
        <f t="shared" si="28"/>
        <v>3.2178771014492753</v>
      </c>
      <c r="AK35" s="383">
        <f t="shared" si="28"/>
        <v>2.6426310638297874</v>
      </c>
      <c r="AL35" s="383">
        <f t="shared" si="28"/>
        <v>3.2684829729729734</v>
      </c>
      <c r="AM35" s="383">
        <f t="shared" si="28"/>
        <v>2.9028748148148149</v>
      </c>
      <c r="AN35" s="383">
        <f t="shared" si="28"/>
        <v>3.8038287037037035</v>
      </c>
      <c r="AO35" s="383">
        <f t="shared" si="28"/>
        <v>4.9819639860139855</v>
      </c>
      <c r="AP35" s="383">
        <f t="shared" si="28"/>
        <v>3.0873333333333335</v>
      </c>
      <c r="AQ35" s="383">
        <f t="shared" si="28"/>
        <v>3.0809577777777779</v>
      </c>
      <c r="AR35" s="383">
        <f t="shared" si="28"/>
        <v>4.30816</v>
      </c>
    </row>
    <row r="36" spans="3:44" ht="15.75" customHeight="1">
      <c r="C36" s="8" t="s">
        <v>2117</v>
      </c>
      <c r="D36" s="383">
        <f>D53/D16</f>
        <v>1.1287598361876396</v>
      </c>
      <c r="E36" s="384"/>
      <c r="F36" s="383">
        <f t="shared" ref="F36:J36" si="29">F53/F16</f>
        <v>1.1263107754010697</v>
      </c>
      <c r="G36" s="383">
        <f t="shared" si="29"/>
        <v>1.103626787479407</v>
      </c>
      <c r="H36" s="383">
        <f t="shared" si="29"/>
        <v>0.94653201970443346</v>
      </c>
      <c r="I36" s="383">
        <f t="shared" si="29"/>
        <v>1.2215527156549522</v>
      </c>
      <c r="J36" s="383">
        <f t="shared" si="29"/>
        <v>1.2525569620253165</v>
      </c>
      <c r="K36" s="384"/>
      <c r="L36" s="383">
        <f t="shared" ref="L36:AR36" si="30">L53/L16</f>
        <v>0.73893548387096775</v>
      </c>
      <c r="M36" s="383">
        <f t="shared" si="30"/>
        <v>1.2414799999999999</v>
      </c>
      <c r="N36" s="383">
        <f t="shared" si="30"/>
        <v>1.2758913043478262</v>
      </c>
      <c r="O36" s="383">
        <f t="shared" si="30"/>
        <v>0.75127870129870122</v>
      </c>
      <c r="P36" s="383">
        <f t="shared" si="30"/>
        <v>1.2594444444444446</v>
      </c>
      <c r="Q36" s="383">
        <f t="shared" si="30"/>
        <v>1.2793243243243244</v>
      </c>
      <c r="R36" s="383">
        <f t="shared" si="30"/>
        <v>1.2888888888888888</v>
      </c>
      <c r="S36" s="383">
        <f t="shared" si="30"/>
        <v>1.2561372549019609</v>
      </c>
      <c r="T36" s="383">
        <f t="shared" si="30"/>
        <v>1.2551000000000001</v>
      </c>
      <c r="U36" s="383">
        <f t="shared" si="30"/>
        <v>1.274688524590164</v>
      </c>
      <c r="V36" s="383">
        <f t="shared" si="30"/>
        <v>0.89826315789473687</v>
      </c>
      <c r="W36" s="383">
        <f t="shared" si="30"/>
        <v>0.73120000000000007</v>
      </c>
      <c r="X36" s="383">
        <f t="shared" si="30"/>
        <v>1.2263095238095238</v>
      </c>
      <c r="Y36" s="383">
        <f t="shared" si="30"/>
        <v>1.3118888888888889</v>
      </c>
      <c r="Z36" s="383">
        <f t="shared" si="30"/>
        <v>1.2267866666666667</v>
      </c>
      <c r="AA36" s="383">
        <f t="shared" si="30"/>
        <v>0.73040000000000005</v>
      </c>
      <c r="AB36" s="383">
        <f t="shared" si="30"/>
        <v>0.7538636363636364</v>
      </c>
      <c r="AC36" s="383">
        <f t="shared" si="30"/>
        <v>1.3969423076923078</v>
      </c>
      <c r="AD36" s="383" t="e">
        <f t="shared" si="30"/>
        <v>#VALUE!</v>
      </c>
      <c r="AE36" s="383" t="e">
        <f t="shared" si="30"/>
        <v>#DIV/0!</v>
      </c>
      <c r="AF36" s="383">
        <f t="shared" si="30"/>
        <v>1.2296875</v>
      </c>
      <c r="AG36" s="383">
        <f t="shared" si="30"/>
        <v>1.2227272727272727</v>
      </c>
      <c r="AH36" s="383">
        <f t="shared" si="30"/>
        <v>1.2498333333333334</v>
      </c>
      <c r="AI36" s="383">
        <f t="shared" si="30"/>
        <v>0.85211764705882354</v>
      </c>
      <c r="AJ36" s="383">
        <f t="shared" si="30"/>
        <v>1.2317647058823529</v>
      </c>
      <c r="AK36" s="383">
        <f t="shared" si="30"/>
        <v>1.2917241379310345</v>
      </c>
      <c r="AL36" s="383">
        <f t="shared" si="30"/>
        <v>1.292448275862069</v>
      </c>
      <c r="AM36" s="383">
        <f t="shared" si="30"/>
        <v>1.2258780487804879</v>
      </c>
      <c r="AN36" s="383">
        <f t="shared" si="30"/>
        <v>1.2173809523809525</v>
      </c>
      <c r="AO36" s="383">
        <f t="shared" si="30"/>
        <v>1.1830000000000001</v>
      </c>
      <c r="AP36" s="383">
        <f t="shared" si="30"/>
        <v>1.2</v>
      </c>
      <c r="AQ36" s="383">
        <f t="shared" si="30"/>
        <v>1.2525569620253165</v>
      </c>
      <c r="AR36" s="383">
        <f t="shared" si="30"/>
        <v>0</v>
      </c>
    </row>
    <row r="37" spans="3:44" ht="15.75" customHeight="1">
      <c r="C37" s="8" t="s">
        <v>2118</v>
      </c>
      <c r="D37" s="383">
        <f t="shared" ref="D37:D38" si="31">D52/D17</f>
        <v>0.79107037180910111</v>
      </c>
      <c r="E37" s="384"/>
      <c r="F37" s="383">
        <f t="shared" ref="F37:J37" si="32">F52/F17</f>
        <v>0.83356827067669181</v>
      </c>
      <c r="G37" s="383">
        <f t="shared" si="32"/>
        <v>0.79484693877551027</v>
      </c>
      <c r="H37" s="383">
        <f t="shared" si="32"/>
        <v>0.61263315217391301</v>
      </c>
      <c r="I37" s="383">
        <f t="shared" si="32"/>
        <v>0.80487438118811871</v>
      </c>
      <c r="J37" s="383">
        <f t="shared" si="32"/>
        <v>0.81256937172774868</v>
      </c>
      <c r="K37" s="384"/>
      <c r="L37" s="383">
        <f t="shared" ref="L37:AR37" si="33">L52/L17</f>
        <v>0.75121323529411765</v>
      </c>
      <c r="M37" s="383">
        <f t="shared" si="33"/>
        <v>0.80909722222222225</v>
      </c>
      <c r="N37" s="383">
        <f t="shared" si="33"/>
        <v>0.7947877358490566</v>
      </c>
      <c r="O37" s="383">
        <f t="shared" si="33"/>
        <v>0.75721774193548386</v>
      </c>
      <c r="P37" s="383">
        <f t="shared" si="33"/>
        <v>0.80868055555555562</v>
      </c>
      <c r="Q37" s="383">
        <f t="shared" si="33"/>
        <v>0.82722368421052639</v>
      </c>
      <c r="R37" s="383">
        <f t="shared" si="33"/>
        <v>0.77524038461538458</v>
      </c>
      <c r="S37" s="383">
        <f t="shared" si="33"/>
        <v>0.79895833333333333</v>
      </c>
      <c r="T37" s="383">
        <f t="shared" si="33"/>
        <v>0.85228214285714288</v>
      </c>
      <c r="U37" s="383">
        <f t="shared" si="33"/>
        <v>1.1398296666666667</v>
      </c>
      <c r="V37" s="383">
        <f t="shared" si="33"/>
        <v>0.59675925925925932</v>
      </c>
      <c r="W37" s="383">
        <f t="shared" si="33"/>
        <v>0.75015151515151512</v>
      </c>
      <c r="X37" s="383">
        <f t="shared" si="33"/>
        <v>0.80512499999999998</v>
      </c>
      <c r="Y37" s="383">
        <f t="shared" si="33"/>
        <v>0.78366477272727275</v>
      </c>
      <c r="Z37" s="383">
        <f t="shared" si="33"/>
        <v>0.82150000000000001</v>
      </c>
      <c r="AA37" s="383">
        <f t="shared" si="33"/>
        <v>0.75250735294117643</v>
      </c>
      <c r="AB37" s="383">
        <f t="shared" si="33"/>
        <v>0.73403846153846153</v>
      </c>
      <c r="AC37" s="383">
        <f t="shared" si="33"/>
        <v>0.85992013888888896</v>
      </c>
      <c r="AD37" s="383" t="e">
        <f t="shared" si="33"/>
        <v>#VALUE!</v>
      </c>
      <c r="AE37" s="383" t="e">
        <f t="shared" si="33"/>
        <v>#DIV/0!</v>
      </c>
      <c r="AF37" s="383">
        <f t="shared" si="33"/>
        <v>0.82096999999999998</v>
      </c>
      <c r="AG37" s="383">
        <f t="shared" si="33"/>
        <v>0.76678571428571429</v>
      </c>
      <c r="AH37" s="383">
        <f t="shared" si="33"/>
        <v>0.77126111111111106</v>
      </c>
      <c r="AI37" s="383">
        <f t="shared" si="33"/>
        <v>0.75626315789473686</v>
      </c>
      <c r="AJ37" s="383">
        <f t="shared" si="33"/>
        <v>0.80519097222222225</v>
      </c>
      <c r="AK37" s="383">
        <f t="shared" si="33"/>
        <v>0.75327659574468098</v>
      </c>
      <c r="AL37" s="383">
        <f t="shared" si="33"/>
        <v>0.83553787878787877</v>
      </c>
      <c r="AM37" s="383">
        <f t="shared" si="33"/>
        <v>0.78319711538461534</v>
      </c>
      <c r="AN37" s="383">
        <f t="shared" si="33"/>
        <v>0.80722767857142852</v>
      </c>
      <c r="AO37" s="383">
        <f t="shared" si="33"/>
        <v>0.82392266187050356</v>
      </c>
      <c r="AP37" s="383">
        <f t="shared" si="33"/>
        <v>0.75250000000000006</v>
      </c>
      <c r="AQ37" s="383">
        <f t="shared" si="33"/>
        <v>0.81256937172774868</v>
      </c>
      <c r="AR37" s="383">
        <f t="shared" si="33"/>
        <v>0</v>
      </c>
    </row>
    <row r="38" spans="3:44" ht="15.75" customHeight="1">
      <c r="C38" s="8" t="s">
        <v>2119</v>
      </c>
      <c r="D38" s="383">
        <f t="shared" si="31"/>
        <v>1.11056736996337</v>
      </c>
      <c r="E38" s="384"/>
      <c r="F38" s="383">
        <f t="shared" ref="F38:J38" si="34">F53/F18</f>
        <v>1.1415724390243904</v>
      </c>
      <c r="G38" s="383">
        <f t="shared" si="34"/>
        <v>1.1165024333333333</v>
      </c>
      <c r="H38" s="383">
        <f t="shared" si="34"/>
        <v>0.79399173553719005</v>
      </c>
      <c r="I38" s="383">
        <f t="shared" si="34"/>
        <v>1.2702524916943523</v>
      </c>
      <c r="J38" s="383">
        <f t="shared" si="34"/>
        <v>1.1779999999999999</v>
      </c>
      <c r="K38" s="384"/>
      <c r="L38" s="383">
        <f t="shared" ref="L38:AR38" si="35">L53/L18</f>
        <v>0.76356666666666662</v>
      </c>
      <c r="M38" s="383">
        <f t="shared" si="35"/>
        <v>1.2932083333333333</v>
      </c>
      <c r="N38" s="383">
        <f t="shared" si="35"/>
        <v>1.4314878048780488</v>
      </c>
      <c r="O38" s="383">
        <f t="shared" si="35"/>
        <v>0.77131279999999991</v>
      </c>
      <c r="P38" s="383">
        <f t="shared" si="35"/>
        <v>1.4168750000000001</v>
      </c>
      <c r="Q38" s="383">
        <f t="shared" si="35"/>
        <v>1.2793243243243244</v>
      </c>
      <c r="R38" s="383">
        <f t="shared" si="35"/>
        <v>1.1599999999999999</v>
      </c>
      <c r="S38" s="383">
        <f t="shared" si="35"/>
        <v>1.1647818181818181</v>
      </c>
      <c r="T38" s="383">
        <f t="shared" si="35"/>
        <v>1.1840566037735849</v>
      </c>
      <c r="U38" s="383">
        <f t="shared" si="35"/>
        <v>1.3406206896551724</v>
      </c>
      <c r="V38" s="383">
        <f t="shared" si="35"/>
        <v>0.77577272727272728</v>
      </c>
      <c r="W38" s="383">
        <f t="shared" si="35"/>
        <v>0.73120000000000007</v>
      </c>
      <c r="X38" s="383">
        <f t="shared" si="35"/>
        <v>1.287625</v>
      </c>
      <c r="Y38" s="383">
        <f t="shared" si="35"/>
        <v>1.5400434782608696</v>
      </c>
      <c r="Z38" s="383">
        <f t="shared" si="35"/>
        <v>1.2106447368421052</v>
      </c>
      <c r="AA38" s="383">
        <f t="shared" si="35"/>
        <v>0.73040000000000005</v>
      </c>
      <c r="AB38" s="383">
        <f t="shared" si="35"/>
        <v>0.7538636363636364</v>
      </c>
      <c r="AC38" s="383">
        <f t="shared" si="35"/>
        <v>1.1350156250000001</v>
      </c>
      <c r="AD38" s="383" t="e">
        <f t="shared" si="35"/>
        <v>#VALUE!</v>
      </c>
      <c r="AE38" s="383" t="e">
        <f t="shared" si="35"/>
        <v>#DIV/0!</v>
      </c>
      <c r="AF38" s="383">
        <f t="shared" si="35"/>
        <v>1.0355263157894736</v>
      </c>
      <c r="AG38" s="383">
        <f t="shared" si="35"/>
        <v>0.93837209302325586</v>
      </c>
      <c r="AH38" s="383">
        <f t="shared" si="35"/>
        <v>1.1840526315789475</v>
      </c>
      <c r="AI38" s="383">
        <f t="shared" si="35"/>
        <v>0.80477777777777781</v>
      </c>
      <c r="AJ38" s="383">
        <f t="shared" si="35"/>
        <v>1.2564</v>
      </c>
      <c r="AK38" s="383">
        <f t="shared" si="35"/>
        <v>1.2917241379310345</v>
      </c>
      <c r="AL38" s="383">
        <f t="shared" si="35"/>
        <v>1.7848095238095238</v>
      </c>
      <c r="AM38" s="383">
        <f t="shared" si="35"/>
        <v>1.1422954545454547</v>
      </c>
      <c r="AN38" s="383">
        <f t="shared" si="35"/>
        <v>1.2173809523809525</v>
      </c>
      <c r="AO38" s="383">
        <f t="shared" si="35"/>
        <v>1.2806788990825688</v>
      </c>
      <c r="AP38" s="383">
        <f t="shared" si="35"/>
        <v>0.6</v>
      </c>
      <c r="AQ38" s="383">
        <f t="shared" si="35"/>
        <v>1.1779999999999999</v>
      </c>
      <c r="AR38" s="383">
        <f t="shared" si="35"/>
        <v>0</v>
      </c>
    </row>
    <row r="39" spans="3:44" ht="15.75" customHeight="1">
      <c r="C39" s="8" t="s">
        <v>2120</v>
      </c>
      <c r="D39" s="383">
        <f>SUM(D54:D59)/D$13</f>
        <v>0.66640874464579902</v>
      </c>
      <c r="E39" s="384"/>
      <c r="F39" s="383">
        <f t="shared" ref="F39:J39" si="36">SUM(F54:F59)/F$13</f>
        <v>0.78271323420074335</v>
      </c>
      <c r="G39" s="383">
        <f t="shared" si="36"/>
        <v>0.71655899371069176</v>
      </c>
      <c r="H39" s="383">
        <f t="shared" si="36"/>
        <v>0.61324691489361705</v>
      </c>
      <c r="I39" s="383">
        <f t="shared" si="36"/>
        <v>0.50485457507082154</v>
      </c>
      <c r="J39" s="383">
        <f t="shared" si="36"/>
        <v>0.46774693877551027</v>
      </c>
      <c r="K39" s="384"/>
      <c r="L39" s="383">
        <f t="shared" ref="L39:AR39" si="37">SUM(L54:L59)/L$13</f>
        <v>0.62535714285714283</v>
      </c>
      <c r="M39" s="383">
        <f t="shared" si="37"/>
        <v>0.64611538461538465</v>
      </c>
      <c r="N39" s="383">
        <f t="shared" si="37"/>
        <v>0.78896202531645565</v>
      </c>
      <c r="O39" s="383">
        <f t="shared" si="37"/>
        <v>0.77977683098591544</v>
      </c>
      <c r="P39" s="383">
        <f t="shared" si="37"/>
        <v>0.70219444444444445</v>
      </c>
      <c r="Q39" s="383">
        <f t="shared" si="37"/>
        <v>0.7832659863945578</v>
      </c>
      <c r="R39" s="383">
        <f t="shared" si="37"/>
        <v>0.63363709677419355</v>
      </c>
      <c r="S39" s="383">
        <f t="shared" si="37"/>
        <v>0.77079910714285726</v>
      </c>
      <c r="T39" s="383">
        <f t="shared" si="37"/>
        <v>0.82189999999999996</v>
      </c>
      <c r="U39" s="383">
        <f t="shared" si="37"/>
        <v>1.4175731428571428</v>
      </c>
      <c r="V39" s="383">
        <f t="shared" si="37"/>
        <v>0.91727906976744178</v>
      </c>
      <c r="W39" s="383">
        <f t="shared" si="37"/>
        <v>0.52347826086956517</v>
      </c>
      <c r="X39" s="383">
        <f t="shared" si="37"/>
        <v>0.78482967032967033</v>
      </c>
      <c r="Y39" s="383">
        <f t="shared" si="37"/>
        <v>0.73828823529411769</v>
      </c>
      <c r="Z39" s="383">
        <f t="shared" si="37"/>
        <v>1.0645899280575539</v>
      </c>
      <c r="AA39" s="383">
        <f t="shared" si="37"/>
        <v>0.69759230769230762</v>
      </c>
      <c r="AB39" s="383">
        <f t="shared" si="37"/>
        <v>0.56253045454545447</v>
      </c>
      <c r="AC39" s="383">
        <f t="shared" si="37"/>
        <v>0.76430572519083972</v>
      </c>
      <c r="AD39" s="383" t="e">
        <f t="shared" si="37"/>
        <v>#DIV/0!</v>
      </c>
      <c r="AE39" s="383" t="e">
        <f t="shared" si="37"/>
        <v>#DIV/0!</v>
      </c>
      <c r="AF39" s="383">
        <f t="shared" si="37"/>
        <v>0.89229268292682917</v>
      </c>
      <c r="AG39" s="383">
        <f t="shared" si="37"/>
        <v>0.78369135802469136</v>
      </c>
      <c r="AH39" s="383">
        <f t="shared" si="37"/>
        <v>0.64287654320987653</v>
      </c>
      <c r="AI39" s="383">
        <f t="shared" si="37"/>
        <v>0.85633333333333339</v>
      </c>
      <c r="AJ39" s="383">
        <f t="shared" si="37"/>
        <v>0.58381885714285708</v>
      </c>
      <c r="AK39" s="383">
        <f t="shared" si="37"/>
        <v>0.52929693069306927</v>
      </c>
      <c r="AL39" s="383">
        <f t="shared" si="37"/>
        <v>0.65666417910447761</v>
      </c>
      <c r="AM39" s="383">
        <f t="shared" si="37"/>
        <v>0.56420469879518065</v>
      </c>
      <c r="AN39" s="383">
        <f t="shared" si="37"/>
        <v>0.63449999999999995</v>
      </c>
      <c r="AO39" s="383">
        <f t="shared" si="37"/>
        <v>0.49303010256410251</v>
      </c>
      <c r="AP39" s="383">
        <f t="shared" si="37"/>
        <v>0.13358974358974357</v>
      </c>
      <c r="AQ39" s="383">
        <f t="shared" si="37"/>
        <v>0.46774693877551027</v>
      </c>
      <c r="AR39" s="383">
        <f t="shared" si="37"/>
        <v>-4.2232876712328768E-2</v>
      </c>
    </row>
    <row r="40" spans="3:44" ht="15.75" customHeight="1">
      <c r="C40" s="8" t="s">
        <v>2121</v>
      </c>
      <c r="D40" s="383">
        <f>D60/D13</f>
        <v>5.8708705403624393</v>
      </c>
      <c r="E40" s="384"/>
      <c r="F40" s="383">
        <f t="shared" ref="F40:J40" si="38">F60/F13</f>
        <v>6.0393283209417614</v>
      </c>
      <c r="G40" s="383">
        <f t="shared" si="38"/>
        <v>5.0469873235499669</v>
      </c>
      <c r="H40" s="383">
        <f t="shared" si="38"/>
        <v>4.7266444468085114</v>
      </c>
      <c r="I40" s="383">
        <f t="shared" si="38"/>
        <v>6.1350502549575081</v>
      </c>
      <c r="J40" s="383">
        <f t="shared" si="38"/>
        <v>6.194889020408163</v>
      </c>
      <c r="K40" s="384"/>
      <c r="L40" s="383">
        <f t="shared" ref="L40:AR40" si="39">L60/L13</f>
        <v>4.3417537500000005</v>
      </c>
      <c r="M40" s="383">
        <f t="shared" si="39"/>
        <v>4.0188406593406585</v>
      </c>
      <c r="N40" s="383">
        <f t="shared" si="39"/>
        <v>6.7156332911392402</v>
      </c>
      <c r="O40" s="383">
        <f t="shared" si="39"/>
        <v>5.0242368309859167</v>
      </c>
      <c r="P40" s="383">
        <f t="shared" si="39"/>
        <v>3.765013888888888</v>
      </c>
      <c r="Q40" s="383">
        <f t="shared" si="39"/>
        <v>6.6343944897959179</v>
      </c>
      <c r="R40" s="383">
        <f t="shared" si="39"/>
        <v>4.232850806451613</v>
      </c>
      <c r="S40" s="383">
        <f t="shared" si="39"/>
        <v>5.9310661607142867</v>
      </c>
      <c r="T40" s="383">
        <f t="shared" si="39"/>
        <v>6.9317335</v>
      </c>
      <c r="U40" s="383">
        <f t="shared" si="39"/>
        <v>16.528733071428572</v>
      </c>
      <c r="V40" s="383">
        <f t="shared" si="39"/>
        <v>4.9119632558139541</v>
      </c>
      <c r="W40" s="383">
        <f t="shared" si="39"/>
        <v>2.9363163768115941</v>
      </c>
      <c r="X40" s="383">
        <f t="shared" si="39"/>
        <v>5.9896043956043954</v>
      </c>
      <c r="Y40" s="383">
        <f t="shared" si="39"/>
        <v>4.2825911764705875</v>
      </c>
      <c r="Z40" s="383">
        <f t="shared" si="39"/>
        <v>7.3739825899280582</v>
      </c>
      <c r="AA40" s="383">
        <f t="shared" si="39"/>
        <v>3.7857115384615381</v>
      </c>
      <c r="AB40" s="383">
        <f t="shared" si="39"/>
        <v>2.7512880303030305</v>
      </c>
      <c r="AC40" s="383">
        <f t="shared" si="39"/>
        <v>6.3955631297709941</v>
      </c>
      <c r="AD40" s="383" t="e">
        <f t="shared" si="39"/>
        <v>#VALUE!</v>
      </c>
      <c r="AE40" s="383" t="e">
        <f t="shared" si="39"/>
        <v>#DIV/0!</v>
      </c>
      <c r="AF40" s="383">
        <f t="shared" si="39"/>
        <v>5.9715875609756104</v>
      </c>
      <c r="AG40" s="383">
        <f t="shared" si="39"/>
        <v>5.8866916049382727</v>
      </c>
      <c r="AH40" s="383">
        <f t="shared" si="39"/>
        <v>6.0041945679012336</v>
      </c>
      <c r="AI40" s="383">
        <f t="shared" si="39"/>
        <v>4.183505952380953</v>
      </c>
      <c r="AJ40" s="383">
        <f t="shared" si="39"/>
        <v>6.3638404761904761</v>
      </c>
      <c r="AK40" s="383">
        <f t="shared" si="39"/>
        <v>4.2799669306930683</v>
      </c>
      <c r="AL40" s="383">
        <f t="shared" si="39"/>
        <v>5.3072256716417918</v>
      </c>
      <c r="AM40" s="383">
        <f t="shared" si="39"/>
        <v>6.1912226506024108</v>
      </c>
      <c r="AN40" s="383">
        <f t="shared" si="39"/>
        <v>7.4292628205128199</v>
      </c>
      <c r="AO40" s="383">
        <f t="shared" si="39"/>
        <v>8.8496459999999999</v>
      </c>
      <c r="AP40" s="383">
        <f t="shared" si="39"/>
        <v>1.4422179487179489</v>
      </c>
      <c r="AQ40" s="383">
        <f t="shared" si="39"/>
        <v>6.194889020408163</v>
      </c>
      <c r="AR40" s="383">
        <f t="shared" si="39"/>
        <v>9.0867397260273985E-2</v>
      </c>
    </row>
    <row r="41" spans="3:44" ht="15.75" customHeight="1">
      <c r="C41" s="8"/>
      <c r="D41" s="383"/>
      <c r="E41" s="384"/>
      <c r="F41" s="383"/>
      <c r="G41" s="383"/>
      <c r="H41" s="383"/>
      <c r="I41" s="383"/>
      <c r="J41" s="383"/>
      <c r="K41" s="384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  <c r="AA41" s="383"/>
      <c r="AB41" s="383"/>
      <c r="AC41" s="383"/>
      <c r="AD41" s="383"/>
      <c r="AE41" s="383"/>
      <c r="AF41" s="383"/>
      <c r="AG41" s="383"/>
      <c r="AH41" s="383"/>
      <c r="AI41" s="383"/>
      <c r="AJ41" s="383"/>
      <c r="AK41" s="383"/>
      <c r="AL41" s="383"/>
      <c r="AM41" s="383"/>
      <c r="AN41" s="383"/>
      <c r="AO41" s="383"/>
      <c r="AP41" s="383"/>
      <c r="AQ41" s="383"/>
      <c r="AR41" s="383"/>
    </row>
    <row r="42" spans="3:44" ht="15.75" customHeight="1">
      <c r="C42" s="8" t="s">
        <v>2122</v>
      </c>
      <c r="D42" s="385">
        <f>D62/D$13</f>
        <v>5.1467523294892921</v>
      </c>
      <c r="E42" s="386"/>
      <c r="F42" s="385">
        <f t="shared" ref="F42:J42" si="40">F62/F$13</f>
        <v>5.1566798946716235</v>
      </c>
      <c r="G42" s="385">
        <f t="shared" si="40"/>
        <v>4.2720303354297693</v>
      </c>
      <c r="H42" s="385">
        <f t="shared" si="40"/>
        <v>3.4890047446808512</v>
      </c>
      <c r="I42" s="385">
        <f t="shared" si="40"/>
        <v>5.6814358356940504</v>
      </c>
      <c r="J42" s="385">
        <f t="shared" si="40"/>
        <v>6.7207593469387747</v>
      </c>
      <c r="K42" s="386"/>
      <c r="L42" s="385">
        <f t="shared" ref="L42:AR42" si="41">L62/L$13</f>
        <v>2.7763539285714285</v>
      </c>
      <c r="M42" s="385">
        <f t="shared" si="41"/>
        <v>4.1451960439560445</v>
      </c>
      <c r="N42" s="385">
        <f t="shared" si="41"/>
        <v>5.8332275949367087</v>
      </c>
      <c r="O42" s="385">
        <f t="shared" si="41"/>
        <v>3.4403871126760559</v>
      </c>
      <c r="P42" s="385">
        <f t="shared" si="41"/>
        <v>4.2648148148148151</v>
      </c>
      <c r="Q42" s="385">
        <f t="shared" si="41"/>
        <v>5.1003264625850333</v>
      </c>
      <c r="R42" s="385">
        <f t="shared" si="41"/>
        <v>3.2683064516129035</v>
      </c>
      <c r="S42" s="385">
        <f t="shared" si="41"/>
        <v>4.0877430357142854</v>
      </c>
      <c r="T42" s="385">
        <f t="shared" si="41"/>
        <v>3.8790058000000003</v>
      </c>
      <c r="U42" s="385">
        <f t="shared" si="41"/>
        <v>14.83647092857143</v>
      </c>
      <c r="V42" s="385">
        <f t="shared" si="41"/>
        <v>3.0813955813953489</v>
      </c>
      <c r="W42" s="385">
        <f t="shared" si="41"/>
        <v>1.9433165217391306</v>
      </c>
      <c r="X42" s="385">
        <f t="shared" si="41"/>
        <v>4.5021092307692303</v>
      </c>
      <c r="Y42" s="385">
        <f t="shared" si="41"/>
        <v>4.2427428235294116</v>
      </c>
      <c r="Z42" s="385">
        <f t="shared" si="41"/>
        <v>5.1173533093525174</v>
      </c>
      <c r="AA42" s="385">
        <f t="shared" si="41"/>
        <v>3.2801533846153847</v>
      </c>
      <c r="AB42" s="385">
        <f t="shared" si="41"/>
        <v>2.6065146969696973</v>
      </c>
      <c r="AC42" s="385">
        <f t="shared" si="41"/>
        <v>5.078321908396946</v>
      </c>
      <c r="AD42" s="385" t="e">
        <f t="shared" si="41"/>
        <v>#VALUE!</v>
      </c>
      <c r="AE42" s="385" t="e">
        <f t="shared" si="41"/>
        <v>#DIV/0!</v>
      </c>
      <c r="AF42" s="385">
        <f t="shared" si="41"/>
        <v>3.2133351219512192</v>
      </c>
      <c r="AG42" s="385">
        <f t="shared" si="41"/>
        <v>4.9733360493827163</v>
      </c>
      <c r="AH42" s="385">
        <f t="shared" si="41"/>
        <v>4.1135912345679015</v>
      </c>
      <c r="AI42" s="385">
        <f t="shared" si="41"/>
        <v>2.5815557142857144</v>
      </c>
      <c r="AJ42" s="385">
        <f t="shared" si="41"/>
        <v>4.904070285714285</v>
      </c>
      <c r="AK42" s="385">
        <f t="shared" si="41"/>
        <v>3.9546600000000001</v>
      </c>
      <c r="AL42" s="385">
        <f t="shared" si="41"/>
        <v>4.7959998507462691</v>
      </c>
      <c r="AM42" s="385">
        <f t="shared" si="41"/>
        <v>4.010855180722892</v>
      </c>
      <c r="AN42" s="385">
        <f t="shared" si="41"/>
        <v>7.9352757692307687</v>
      </c>
      <c r="AO42" s="385">
        <f t="shared" si="41"/>
        <v>7.4279852307692309</v>
      </c>
      <c r="AP42" s="385">
        <f t="shared" si="41"/>
        <v>9.6180528205128191</v>
      </c>
      <c r="AQ42" s="385">
        <f t="shared" si="41"/>
        <v>6.7207593469387747</v>
      </c>
      <c r="AR42" s="385">
        <f t="shared" si="41"/>
        <v>8.2445210958904109</v>
      </c>
    </row>
    <row r="43" spans="3:44" ht="15.75" customHeight="1">
      <c r="C43" s="8" t="s">
        <v>2123</v>
      </c>
      <c r="D43" s="385">
        <f>D61/D13</f>
        <v>5.0523327479406914</v>
      </c>
      <c r="E43" s="386"/>
      <c r="F43" s="385">
        <f t="shared" ref="F43:J43" si="42">F61/F13</f>
        <v>4.9378764250309777</v>
      </c>
      <c r="G43" s="385">
        <f t="shared" si="42"/>
        <v>4.5149292802236189</v>
      </c>
      <c r="H43" s="385">
        <f t="shared" si="42"/>
        <v>3.6897054680851062</v>
      </c>
      <c r="I43" s="385">
        <f t="shared" si="42"/>
        <v>5.5214750991501411</v>
      </c>
      <c r="J43" s="385">
        <f t="shared" si="42"/>
        <v>7.0684667346938772</v>
      </c>
      <c r="K43" s="386"/>
      <c r="L43" s="385">
        <f t="shared" ref="L43:AR43" si="43">L61/L13</f>
        <v>3.0326785714285718</v>
      </c>
      <c r="M43" s="385">
        <f t="shared" si="43"/>
        <v>5.4873514285714284</v>
      </c>
      <c r="N43" s="385">
        <f t="shared" si="43"/>
        <v>5.8550126582278477</v>
      </c>
      <c r="O43" s="385">
        <f t="shared" si="43"/>
        <v>3.5555400000000001</v>
      </c>
      <c r="P43" s="385">
        <f t="shared" si="43"/>
        <v>4.4337188888888894</v>
      </c>
      <c r="Q43" s="385">
        <f t="shared" si="43"/>
        <v>5.8644217006802721</v>
      </c>
      <c r="R43" s="385">
        <f t="shared" si="43"/>
        <v>5.2974838709677421</v>
      </c>
      <c r="S43" s="385">
        <f t="shared" si="43"/>
        <v>5.4340534821428568</v>
      </c>
      <c r="T43" s="385">
        <f t="shared" si="43"/>
        <v>4.6195398000000001</v>
      </c>
      <c r="U43" s="385">
        <f t="shared" si="43"/>
        <v>9.2166815</v>
      </c>
      <c r="V43" s="385">
        <f t="shared" si="43"/>
        <v>5.0821706976744192</v>
      </c>
      <c r="W43" s="385">
        <f t="shared" si="43"/>
        <v>2.725275217391304</v>
      </c>
      <c r="X43" s="385">
        <f t="shared" si="43"/>
        <v>5.2939427472527472</v>
      </c>
      <c r="Y43" s="385">
        <f t="shared" si="43"/>
        <v>5.0983367058823523</v>
      </c>
      <c r="Z43" s="385">
        <f t="shared" si="43"/>
        <v>5.630963956834532</v>
      </c>
      <c r="AA43" s="385">
        <f t="shared" si="43"/>
        <v>3.5602769230769233</v>
      </c>
      <c r="AB43" s="385">
        <f t="shared" si="43"/>
        <v>2.9049087878787883</v>
      </c>
      <c r="AC43" s="385">
        <f t="shared" si="43"/>
        <v>5.0506690076335872</v>
      </c>
      <c r="AD43" s="385" t="e">
        <f t="shared" si="43"/>
        <v>#VALUE!</v>
      </c>
      <c r="AE43" s="385" t="e">
        <f t="shared" si="43"/>
        <v>#DIV/0!</v>
      </c>
      <c r="AF43" s="385">
        <f t="shared" si="43"/>
        <v>4.7220480487804881</v>
      </c>
      <c r="AG43" s="385">
        <f t="shared" si="43"/>
        <v>4.451357777777778</v>
      </c>
      <c r="AH43" s="385">
        <f t="shared" si="43"/>
        <v>4.8262343209876546</v>
      </c>
      <c r="AI43" s="385">
        <f t="shared" si="43"/>
        <v>3.0341666666666667</v>
      </c>
      <c r="AJ43" s="385">
        <f t="shared" si="43"/>
        <v>5.3553905714285719</v>
      </c>
      <c r="AK43" s="385">
        <f t="shared" si="43"/>
        <v>5.4485638613861385</v>
      </c>
      <c r="AL43" s="385">
        <f t="shared" si="43"/>
        <v>5.0904925373134331</v>
      </c>
      <c r="AM43" s="385">
        <f t="shared" si="43"/>
        <v>4.8423373493975905</v>
      </c>
      <c r="AN43" s="385">
        <f t="shared" si="43"/>
        <v>6.9492564102564103</v>
      </c>
      <c r="AO43" s="385">
        <f t="shared" si="43"/>
        <v>7.0776910256410259</v>
      </c>
      <c r="AP43" s="385">
        <f t="shared" si="43"/>
        <v>3.0864541025641024</v>
      </c>
      <c r="AQ43" s="385">
        <f t="shared" si="43"/>
        <v>7.0684667346938772</v>
      </c>
      <c r="AR43" s="385">
        <f t="shared" si="43"/>
        <v>0.20208205479452054</v>
      </c>
    </row>
    <row r="44" spans="3:44" ht="15.75" customHeight="1">
      <c r="C44" s="8" t="s">
        <v>2124</v>
      </c>
      <c r="D44" s="385">
        <f>D64/D13</f>
        <v>3.0830680593080717</v>
      </c>
      <c r="E44" s="386"/>
      <c r="F44" s="385">
        <f t="shared" ref="F44:J44" si="44">F64/F13</f>
        <v>2.9437465241635685</v>
      </c>
      <c r="G44" s="385">
        <f t="shared" si="44"/>
        <v>2.6945922082459819</v>
      </c>
      <c r="H44" s="385">
        <f t="shared" si="44"/>
        <v>2.4007060212765956</v>
      </c>
      <c r="I44" s="385">
        <f t="shared" si="44"/>
        <v>3.5369452407932012</v>
      </c>
      <c r="J44" s="385">
        <f t="shared" si="44"/>
        <v>4.0019979591836732</v>
      </c>
      <c r="K44" s="386"/>
      <c r="L44" s="385">
        <f t="shared" ref="L44:AR44" si="45">L64/L13</f>
        <v>1.686580357142857</v>
      </c>
      <c r="M44" s="385">
        <f t="shared" si="45"/>
        <v>2.8998357142857141</v>
      </c>
      <c r="N44" s="385">
        <f t="shared" si="45"/>
        <v>3.59126582278481</v>
      </c>
      <c r="O44" s="385">
        <f t="shared" si="45"/>
        <v>1.9839423943661973</v>
      </c>
      <c r="P44" s="385">
        <f t="shared" si="45"/>
        <v>2.9805925925925925</v>
      </c>
      <c r="Q44" s="385">
        <f t="shared" si="45"/>
        <v>3.0184013605442175</v>
      </c>
      <c r="R44" s="385">
        <f t="shared" si="45"/>
        <v>3.2421290322580645</v>
      </c>
      <c r="S44" s="385">
        <f t="shared" si="45"/>
        <v>3.2071991071428569</v>
      </c>
      <c r="T44" s="385">
        <f t="shared" si="45"/>
        <v>3.1432890000000002</v>
      </c>
      <c r="U44" s="385">
        <f t="shared" si="45"/>
        <v>5.5970352857142851</v>
      </c>
      <c r="V44" s="385">
        <f t="shared" si="45"/>
        <v>2.5967558139534881</v>
      </c>
      <c r="W44" s="385">
        <f t="shared" si="45"/>
        <v>1.4250797101449275</v>
      </c>
      <c r="X44" s="385">
        <f t="shared" si="45"/>
        <v>3.0904395604395605</v>
      </c>
      <c r="Y44" s="385">
        <f t="shared" si="45"/>
        <v>2.836594117647059</v>
      </c>
      <c r="Z44" s="385">
        <f t="shared" si="45"/>
        <v>3.5293345323741008</v>
      </c>
      <c r="AA44" s="385">
        <f t="shared" si="45"/>
        <v>2.2156461538461536</v>
      </c>
      <c r="AB44" s="385">
        <f t="shared" si="45"/>
        <v>1.6140757575757576</v>
      </c>
      <c r="AC44" s="385">
        <f t="shared" si="45"/>
        <v>3.1638774045801523</v>
      </c>
      <c r="AD44" s="385" t="e">
        <f t="shared" si="45"/>
        <v>#VALUE!</v>
      </c>
      <c r="AE44" s="385" t="e">
        <f t="shared" si="45"/>
        <v>#DIV/0!</v>
      </c>
      <c r="AF44" s="385">
        <f t="shared" si="45"/>
        <v>2.9645419512195121</v>
      </c>
      <c r="AG44" s="385">
        <f t="shared" si="45"/>
        <v>3.1755308641975311</v>
      </c>
      <c r="AH44" s="385">
        <f t="shared" si="45"/>
        <v>3.1636872839506172</v>
      </c>
      <c r="AI44" s="385">
        <f t="shared" si="45"/>
        <v>1.8771666666666664</v>
      </c>
      <c r="AJ44" s="385">
        <f t="shared" si="45"/>
        <v>3.3365095238095241</v>
      </c>
      <c r="AK44" s="385">
        <f t="shared" si="45"/>
        <v>3.1925495049504948</v>
      </c>
      <c r="AL44" s="385">
        <f t="shared" si="45"/>
        <v>3.3195819402985074</v>
      </c>
      <c r="AM44" s="385">
        <f t="shared" si="45"/>
        <v>3.1887409638554218</v>
      </c>
      <c r="AN44" s="385">
        <f t="shared" si="45"/>
        <v>4.6489102564102556</v>
      </c>
      <c r="AO44" s="385">
        <f t="shared" si="45"/>
        <v>4.4245237435897442</v>
      </c>
      <c r="AP44" s="385">
        <f t="shared" si="45"/>
        <v>2.8673774358974358</v>
      </c>
      <c r="AQ44" s="385">
        <f t="shared" si="45"/>
        <v>4.0019979591836732</v>
      </c>
      <c r="AR44" s="385">
        <f t="shared" si="45"/>
        <v>1.2493065753424659</v>
      </c>
    </row>
    <row r="45" spans="3:44" ht="15.75" customHeight="1">
      <c r="C45" s="8" t="s">
        <v>2125</v>
      </c>
      <c r="D45" s="385">
        <f>D63/D13</f>
        <v>3.7751450741350894</v>
      </c>
      <c r="E45" s="386"/>
      <c r="F45" s="385">
        <f t="shared" ref="F45:J45" si="46">F63/F13</f>
        <v>3.7752801363073107</v>
      </c>
      <c r="G45" s="385">
        <f t="shared" si="46"/>
        <v>3.2432668832983924</v>
      </c>
      <c r="H45" s="385">
        <f t="shared" si="46"/>
        <v>2.8156323404255317</v>
      </c>
      <c r="I45" s="385">
        <f t="shared" si="46"/>
        <v>4.0109186543909345</v>
      </c>
      <c r="J45" s="385">
        <f t="shared" si="46"/>
        <v>4.9355403673469391</v>
      </c>
      <c r="K45" s="386"/>
      <c r="L45" s="385">
        <f t="shared" ref="L45:AR45" si="47">L63/L13</f>
        <v>2.4196919642857142</v>
      </c>
      <c r="M45" s="385">
        <f t="shared" si="47"/>
        <v>3.3780158241758245</v>
      </c>
      <c r="N45" s="385">
        <f t="shared" si="47"/>
        <v>4.4846332911392413</v>
      </c>
      <c r="O45" s="385">
        <f t="shared" si="47"/>
        <v>2.7682988028169015</v>
      </c>
      <c r="P45" s="385">
        <f t="shared" si="47"/>
        <v>3.1132796296296288</v>
      </c>
      <c r="Q45" s="385">
        <f t="shared" si="47"/>
        <v>4.1725729251700665</v>
      </c>
      <c r="R45" s="385">
        <f t="shared" si="47"/>
        <v>3.2417601612903231</v>
      </c>
      <c r="S45" s="385">
        <f t="shared" si="47"/>
        <v>3.7878248214285715</v>
      </c>
      <c r="T45" s="385">
        <f t="shared" si="47"/>
        <v>3.6935558000000004</v>
      </c>
      <c r="U45" s="385">
        <f t="shared" si="47"/>
        <v>9.4442416428571416</v>
      </c>
      <c r="V45" s="385">
        <f t="shared" si="47"/>
        <v>3.0231023255813954</v>
      </c>
      <c r="W45" s="385">
        <f t="shared" si="47"/>
        <v>1.8162062318840582</v>
      </c>
      <c r="X45" s="385">
        <f t="shared" si="47"/>
        <v>3.7680530769230769</v>
      </c>
      <c r="Y45" s="385">
        <f t="shared" si="47"/>
        <v>3.2973530588235294</v>
      </c>
      <c r="Z45" s="385">
        <f t="shared" si="47"/>
        <v>4.392704100719425</v>
      </c>
      <c r="AA45" s="385">
        <f t="shared" si="47"/>
        <v>2.5840538461538469</v>
      </c>
      <c r="AB45" s="385">
        <f t="shared" si="47"/>
        <v>1.9552272727272726</v>
      </c>
      <c r="AC45" s="385">
        <f t="shared" si="47"/>
        <v>3.8646632061068695</v>
      </c>
      <c r="AD45" s="385" t="e">
        <f t="shared" si="47"/>
        <v>#VALUE!</v>
      </c>
      <c r="AE45" s="385" t="e">
        <f t="shared" si="47"/>
        <v>#DIV/0!</v>
      </c>
      <c r="AF45" s="385">
        <f t="shared" si="47"/>
        <v>3.2235392682926829</v>
      </c>
      <c r="AG45" s="385">
        <f t="shared" si="47"/>
        <v>3.6984433333333326</v>
      </c>
      <c r="AH45" s="385">
        <f t="shared" si="47"/>
        <v>3.5324776543209877</v>
      </c>
      <c r="AI45" s="385">
        <f t="shared" si="47"/>
        <v>2.3620621428571424</v>
      </c>
      <c r="AJ45" s="385">
        <f t="shared" si="47"/>
        <v>3.9260403809523812</v>
      </c>
      <c r="AK45" s="385">
        <f t="shared" si="47"/>
        <v>3.2841564356435642</v>
      </c>
      <c r="AL45" s="385">
        <f t="shared" si="47"/>
        <v>3.537106865671642</v>
      </c>
      <c r="AM45" s="385">
        <f t="shared" si="47"/>
        <v>3.5754265060240957</v>
      </c>
      <c r="AN45" s="385">
        <f t="shared" si="47"/>
        <v>5.3741493589743579</v>
      </c>
      <c r="AO45" s="385">
        <f t="shared" si="47"/>
        <v>5.522347692307692</v>
      </c>
      <c r="AP45" s="385">
        <f t="shared" si="47"/>
        <v>1.4868338461538464</v>
      </c>
      <c r="AQ45" s="385">
        <f t="shared" si="47"/>
        <v>4.9355403673469391</v>
      </c>
      <c r="AR45" s="385">
        <f t="shared" si="47"/>
        <v>0.25590972602739726</v>
      </c>
    </row>
    <row r="46" spans="3:44" ht="15.75" customHeight="1">
      <c r="E46" s="14"/>
      <c r="K46" s="14"/>
    </row>
    <row r="47" spans="3:44" ht="15.75" customHeight="1">
      <c r="E47" s="14"/>
      <c r="K47" s="14"/>
    </row>
    <row r="48" spans="3:44" ht="15.75" customHeight="1">
      <c r="C48" s="33" t="s">
        <v>9</v>
      </c>
      <c r="D48" s="387"/>
      <c r="E48" s="388"/>
      <c r="F48" s="387"/>
      <c r="G48" s="387"/>
      <c r="H48" s="387"/>
      <c r="I48" s="387"/>
      <c r="J48" s="387"/>
      <c r="K48" s="388"/>
      <c r="L48" s="387"/>
    </row>
    <row r="49" spans="3:44" ht="15.75" customHeight="1">
      <c r="C49" s="3" t="s">
        <v>2126</v>
      </c>
      <c r="D49" s="389">
        <f t="shared" ref="D49:D64" si="48">SUM(L49:AR49)</f>
        <v>5330.6131800000003</v>
      </c>
      <c r="E49" s="390"/>
      <c r="F49" s="389">
        <f t="shared" ref="F49:F64" si="49">SUMIFS($L49:$AR49,$L$6:$AR$6,F$8)</f>
        <v>2825.6442299999999</v>
      </c>
      <c r="G49" s="389">
        <f t="shared" ref="G49:G64" si="50">F49-U49-V49</f>
        <v>1857.4314799999997</v>
      </c>
      <c r="H49" s="389">
        <f t="shared" ref="H49:J49" si="51">SUMIFS($L49:$AR49,$L$6:$AR$6,H$8)</f>
        <v>584.21900000000005</v>
      </c>
      <c r="I49" s="389">
        <f t="shared" si="51"/>
        <v>1560.2778899999998</v>
      </c>
      <c r="J49" s="389">
        <f t="shared" si="51"/>
        <v>360.47206</v>
      </c>
      <c r="K49" s="390"/>
      <c r="L49" s="391">
        <f t="array" ref="L49">IFERROR(INDEX('FY25 By Venue Financials'!$P$10:$BF$274,MATCH($C49,'FY25 By Venue Financials'!$H$10:$H$274,0),MATCH(L$8,'FY25 By Venue Financials'!$P$4:$BF$4,0)),"N/A ")</f>
        <v>62.969960000000007</v>
      </c>
      <c r="M49" s="391">
        <f t="array" ref="M49">IFERROR(INDEX('FY25 By Venue Financials'!$P$10:$BF$274,MATCH($C49,'FY25 By Venue Financials'!$H$10:$H$274,0),MATCH(M$8,'FY25 By Venue Financials'!$P$4:$BF$4,0)),"N/A ")</f>
        <v>85.5535</v>
      </c>
      <c r="N49" s="391">
        <f t="array" ref="N49">IFERROR(INDEX('FY25 By Venue Financials'!$P$10:$BF$274,MATCH($C49,'FY25 By Venue Financials'!$H$10:$H$274,0),MATCH(N$8,'FY25 By Venue Financials'!$P$4:$BF$4,0)),"N/A ")</f>
        <v>137.14228</v>
      </c>
      <c r="O49" s="391">
        <f t="array" ref="O49">IFERROR(INDEX('FY25 By Venue Financials'!$P$10:$BF$274,MATCH($C49,'FY25 By Venue Financials'!$H$10:$H$274,0),MATCH(O$8,'FY25 By Venue Financials'!$P$4:$BF$4,0)),"N/A ")</f>
        <v>171.34361000000001</v>
      </c>
      <c r="P49" s="391">
        <f t="array" ref="P49">IFERROR(INDEX('FY25 By Venue Financials'!$P$10:$BF$274,MATCH($C49,'FY25 By Venue Financials'!$H$10:$H$274,0),MATCH(P$8,'FY25 By Venue Financials'!$P$4:$BF$4,0)),"N/A ")</f>
        <v>35.265999999999998</v>
      </c>
      <c r="Q49" s="391">
        <f t="array" ref="Q49">IFERROR(INDEX('FY25 By Venue Financials'!$P$10:$BF$274,MATCH($C49,'FY25 By Venue Financials'!$H$10:$H$274,0),MATCH(Q$8,'FY25 By Venue Financials'!$P$4:$BF$4,0)),"N/A ")</f>
        <v>296.25963999999999</v>
      </c>
      <c r="R49" s="391">
        <f t="array" ref="R49">IFERROR(INDEX('FY25 By Venue Financials'!$P$10:$BF$274,MATCH($C49,'FY25 By Venue Financials'!$H$10:$H$274,0),MATCH(R$8,'FY25 By Venue Financials'!$P$4:$BF$4,0)),"N/A ")</f>
        <v>58.344999999999999</v>
      </c>
      <c r="S49" s="391">
        <f t="array" ref="S49">IFERROR(INDEX('FY25 By Venue Financials'!$P$10:$BF$274,MATCH($C49,'FY25 By Venue Financials'!$H$10:$H$274,0),MATCH(S$8,'FY25 By Venue Financials'!$P$4:$BF$4,0)),"N/A ")</f>
        <v>182.28066000000001</v>
      </c>
      <c r="T49" s="391">
        <f t="array" ref="T49">IFERROR(INDEX('FY25 By Venue Financials'!$P$10:$BF$274,MATCH($C49,'FY25 By Venue Financials'!$H$10:$H$274,0),MATCH(T$8,'FY25 By Venue Financials'!$P$4:$BF$4,0)),"N/A ")</f>
        <v>181.61859999999999</v>
      </c>
      <c r="U49" s="391">
        <f t="array" ref="U49">IFERROR(INDEX('FY25 By Venue Financials'!$P$10:$BF$274,MATCH($C49,'FY25 By Venue Financials'!$H$10:$H$274,0),MATCH(U$8,'FY25 By Venue Financials'!$P$4:$BF$4,0)),"N/A ")</f>
        <v>910.72083000000009</v>
      </c>
      <c r="V49" s="391">
        <f t="array" ref="V49">IFERROR(INDEX('FY25 By Venue Financials'!$P$10:$BF$274,MATCH($C49,'FY25 By Venue Financials'!$H$10:$H$274,0),MATCH(V$8,'FY25 By Venue Financials'!$P$4:$BF$4,0)),"N/A ")</f>
        <v>57.49192</v>
      </c>
      <c r="W49" s="391">
        <f t="array" ref="W49">IFERROR(INDEX('FY25 By Venue Financials'!$P$10:$BF$274,MATCH($C49,'FY25 By Venue Financials'!$H$10:$H$274,0),MATCH(W$8,'FY25 By Venue Financials'!$P$4:$BF$4,0)),"N/A ")</f>
        <v>42.600830000000002</v>
      </c>
      <c r="X49" s="391">
        <f t="array" ref="X49">IFERROR(INDEX('FY25 By Venue Financials'!$P$10:$BF$274,MATCH($C49,'FY25 By Venue Financials'!$H$10:$H$274,0),MATCH(X$8,'FY25 By Venue Financials'!$P$4:$BF$4,0)),"N/A ")</f>
        <v>134.822</v>
      </c>
      <c r="Y49" s="391">
        <f t="array" ref="Y49">IFERROR(INDEX('FY25 By Venue Financials'!$P$10:$BF$274,MATCH($C49,'FY25 By Venue Financials'!$H$10:$H$274,0),MATCH(Y$8,'FY25 By Venue Financials'!$P$4:$BF$4,0)),"N/A ")</f>
        <v>84.463499999999996</v>
      </c>
      <c r="Z49" s="391">
        <f t="array" ref="Z49">IFERROR(INDEX('FY25 By Venue Financials'!$P$10:$BF$274,MATCH($C49,'FY25 By Venue Financials'!$H$10:$H$274,0),MATCH(Z$8,'FY25 By Venue Financials'!$P$4:$BF$4,0)),"N/A ")</f>
        <v>276.02907999999996</v>
      </c>
      <c r="AA49" s="391">
        <f t="array" ref="AA49">IFERROR(INDEX('FY25 By Venue Financials'!$P$10:$BF$274,MATCH($C49,'FY25 By Venue Financials'!$H$10:$H$274,0),MATCH(AA$8,'FY25 By Venue Financials'!$P$4:$BF$4,0)),"N/A ")</f>
        <v>63.5075</v>
      </c>
      <c r="AB49" s="391">
        <f t="array" ref="AB49">IFERROR(INDEX('FY25 By Venue Financials'!$P$10:$BF$274,MATCH($C49,'FY25 By Venue Financials'!$H$10:$H$274,0),MATCH(AB$8,'FY25 By Venue Financials'!$P$4:$BF$4,0)),"N/A ")</f>
        <v>36.613</v>
      </c>
      <c r="AC49" s="391">
        <f t="array" ref="AC49">IFERROR(INDEX('FY25 By Venue Financials'!$P$10:$BF$274,MATCH($C49,'FY25 By Venue Financials'!$H$10:$H$274,0),MATCH(AC$8,'FY25 By Venue Financials'!$P$4:$BF$4,0)),"N/A ")</f>
        <v>220.21938</v>
      </c>
      <c r="AD49" s="391" t="str">
        <f t="array" ref="AD49">IFERROR(INDEX('FY25 By Venue Financials'!$P$10:$BF$274,MATCH($C49,'FY25 By Venue Financials'!$H$10:$H$274,0),MATCH(AD$8,'FY25 By Venue Financials'!$P$4:$BF$4,0)),"N/A ")</f>
        <v xml:space="preserve">N/A </v>
      </c>
      <c r="AE49" s="391">
        <f t="array" ref="AE49">IFERROR(INDEX('FY25 By Venue Financials'!$P$10:$BF$274,MATCH($C49,'FY25 By Venue Financials'!$H$10:$H$274,0),MATCH(AE$8,'FY25 By Venue Financials'!$P$4:$BF$4,0)),"N/A ")</f>
        <v>0</v>
      </c>
      <c r="AF49" s="391">
        <f t="array" ref="AF49">IFERROR(INDEX('FY25 By Venue Financials'!$P$10:$BF$274,MATCH($C49,'FY25 By Venue Financials'!$H$10:$H$274,0),MATCH(AF$8,'FY25 By Venue Financials'!$P$4:$BF$4,0)),"N/A ")</f>
        <v>55.051839999999999</v>
      </c>
      <c r="AG49" s="391">
        <f t="array" ref="AG49">IFERROR(INDEX('FY25 By Venue Financials'!$P$10:$BF$274,MATCH($C49,'FY25 By Venue Financials'!$H$10:$H$274,0),MATCH(AG$8,'FY25 By Venue Financials'!$P$4:$BF$4,0)),"N/A ")</f>
        <v>117.39552</v>
      </c>
      <c r="AH49" s="391">
        <f t="array" ref="AH49">IFERROR(INDEX('FY25 By Venue Financials'!$P$10:$BF$274,MATCH($C49,'FY25 By Venue Financials'!$H$10:$H$274,0),MATCH(AH$8,'FY25 By Venue Financials'!$P$4:$BF$4,0)),"N/A ")</f>
        <v>137.74101000000002</v>
      </c>
      <c r="AI49" s="391">
        <f t="array" ref="AI49">IFERROR(INDEX('FY25 By Venue Financials'!$P$10:$BF$274,MATCH($C49,'FY25 By Venue Financials'!$H$10:$H$274,0),MATCH(AI$8,'FY25 By Venue Financials'!$P$4:$BF$4,0)),"N/A ")</f>
        <v>53.811250000000001</v>
      </c>
      <c r="AJ49" s="391">
        <f t="array" ref="AJ49">IFERROR(INDEX('FY25 By Venue Financials'!$P$10:$BF$274,MATCH($C49,'FY25 By Venue Financials'!$H$10:$H$274,0),MATCH(AJ$8,'FY25 By Venue Financials'!$P$4:$BF$4,0)),"N/A ")</f>
        <v>222.03352000000001</v>
      </c>
      <c r="AK49" s="391">
        <f t="array" ref="AK49">IFERROR(INDEX('FY25 By Venue Financials'!$P$10:$BF$274,MATCH($C49,'FY25 By Venue Financials'!$H$10:$H$274,0),MATCH(AK$8,'FY25 By Venue Financials'!$P$4:$BF$4,0)),"N/A ")</f>
        <v>124.20366</v>
      </c>
      <c r="AL49" s="391">
        <f t="array" ref="AL49">IFERROR(INDEX('FY25 By Venue Financials'!$P$10:$BF$274,MATCH($C49,'FY25 By Venue Financials'!$H$10:$H$274,0),MATCH(AL$8,'FY25 By Venue Financials'!$P$4:$BF$4,0)),"N/A ")</f>
        <v>120.93387000000001</v>
      </c>
      <c r="AM49" s="391">
        <f t="array" ref="AM49">IFERROR(INDEX('FY25 By Venue Financials'!$P$10:$BF$274,MATCH($C49,'FY25 By Venue Financials'!$H$10:$H$274,0),MATCH(AM$8,'FY25 By Venue Financials'!$P$4:$BF$4,0)),"N/A ")</f>
        <v>156.75524000000001</v>
      </c>
      <c r="AN49" s="391">
        <f t="array" ref="AN49">IFERROR(INDEX('FY25 By Venue Financials'!$P$10:$BF$274,MATCH($C49,'FY25 By Venue Financials'!$H$10:$H$274,0),MATCH(AN$8,'FY25 By Venue Financials'!$P$4:$BF$4,0)),"N/A ")</f>
        <v>205.40674999999999</v>
      </c>
      <c r="AO49" s="391">
        <f t="array" ref="AO49">IFERROR(INDEX('FY25 By Venue Financials'!$P$10:$BF$274,MATCH($C49,'FY25 By Venue Financials'!$H$10:$H$274,0),MATCH(AO$8,'FY25 By Venue Financials'!$P$4:$BF$4,0)),"N/A ")</f>
        <v>712.42084999999997</v>
      </c>
      <c r="AP49" s="391">
        <f t="array" ref="AP49">IFERROR(INDEX('FY25 By Venue Financials'!$P$10:$BF$274,MATCH($C49,'FY25 By Venue Financials'!$H$10:$H$274,0),MATCH(AP$8,'FY25 By Venue Financials'!$P$4:$BF$4,0)),"N/A ")</f>
        <v>18.524000000000001</v>
      </c>
      <c r="AQ49" s="391">
        <f t="array" ref="AQ49">IFERROR(INDEX('FY25 By Venue Financials'!$P$10:$BF$274,MATCH($C49,'FY25 By Venue Financials'!$H$10:$H$274,0),MATCH(AQ$8,'FY25 By Venue Financials'!$P$4:$BF$4,0)),"N/A ")</f>
        <v>360.47206</v>
      </c>
      <c r="AR49" s="391">
        <f t="array" ref="AR49">IFERROR(INDEX('FY25 By Venue Financials'!$P$10:$BF$274,MATCH($C49,'FY25 By Venue Financials'!$H$10:$H$274,0),MATCH(AR$8,'FY25 By Venue Financials'!$P$4:$BF$4,0)),"N/A ")</f>
        <v>8.61632</v>
      </c>
    </row>
    <row r="50" spans="3:44" ht="15.75" customHeight="1">
      <c r="C50" s="3" t="s">
        <v>2127</v>
      </c>
      <c r="D50" s="389">
        <f t="shared" si="48"/>
        <v>3990.120089999999</v>
      </c>
      <c r="E50" s="390"/>
      <c r="F50" s="389">
        <f t="shared" si="49"/>
        <v>2210.2749999999996</v>
      </c>
      <c r="G50" s="389">
        <f t="shared" si="50"/>
        <v>1553.0749999999996</v>
      </c>
      <c r="H50" s="389">
        <f t="shared" ref="H50:J50" si="52">SUMIFS($L50:$AR50,$L$6:$AR$6,H$8)</f>
        <v>530.69509000000005</v>
      </c>
      <c r="I50" s="389">
        <f t="shared" si="52"/>
        <v>934.25</v>
      </c>
      <c r="J50" s="389">
        <f t="shared" si="52"/>
        <v>314.89999999999998</v>
      </c>
      <c r="K50" s="390"/>
      <c r="L50" s="391">
        <f t="array" ref="L50">IFERROR(INDEX('FY25 By Venue Financials'!$P$10:$BF$274,MATCH($C50,'FY25 By Venue Financials'!$H$10:$H$274,0),MATCH(L$8,'FY25 By Venue Financials'!$P$4:$BF$4,0)),"N/A ")</f>
        <v>49</v>
      </c>
      <c r="M50" s="391">
        <f t="array" ref="M50">IFERROR(INDEX('FY25 By Venue Financials'!$P$10:$BF$274,MATCH($C50,'FY25 By Venue Financials'!$H$10:$H$274,0),MATCH(M$8,'FY25 By Venue Financials'!$P$4:$BF$4,0)),"N/A ")</f>
        <v>68.5</v>
      </c>
      <c r="N50" s="391">
        <f t="array" ref="N50">IFERROR(INDEX('FY25 By Venue Financials'!$P$10:$BF$274,MATCH($C50,'FY25 By Venue Financials'!$H$10:$H$274,0),MATCH(N$8,'FY25 By Venue Financials'!$P$4:$BF$4,0)),"N/A ")</f>
        <v>117.8</v>
      </c>
      <c r="O50" s="391">
        <f t="array" ref="O50">IFERROR(INDEX('FY25 By Venue Financials'!$P$10:$BF$274,MATCH($C50,'FY25 By Venue Financials'!$H$10:$H$274,0),MATCH(O$8,'FY25 By Venue Financials'!$P$4:$BF$4,0)),"N/A ")</f>
        <v>152.05000000000001</v>
      </c>
      <c r="P50" s="391">
        <f t="array" ref="P50">IFERROR(INDEX('FY25 By Venue Financials'!$P$10:$BF$274,MATCH($C50,'FY25 By Venue Financials'!$H$10:$H$274,0),MATCH(P$8,'FY25 By Venue Financials'!$P$4:$BF$4,0)),"N/A ")</f>
        <v>49.15</v>
      </c>
      <c r="Q50" s="391">
        <f t="array" ref="Q50">IFERROR(INDEX('FY25 By Venue Financials'!$P$10:$BF$274,MATCH($C50,'FY25 By Venue Financials'!$H$10:$H$274,0),MATCH(Q$8,'FY25 By Venue Financials'!$P$4:$BF$4,0)),"N/A ")</f>
        <v>211.85</v>
      </c>
      <c r="R50" s="391">
        <f t="array" ref="R50">IFERROR(INDEX('FY25 By Venue Financials'!$P$10:$BF$274,MATCH($C50,'FY25 By Venue Financials'!$H$10:$H$274,0),MATCH(R$8,'FY25 By Venue Financials'!$P$4:$BF$4,0)),"N/A ")</f>
        <v>58.25</v>
      </c>
      <c r="S50" s="391">
        <f t="array" ref="S50">IFERROR(INDEX('FY25 By Venue Financials'!$P$10:$BF$274,MATCH($C50,'FY25 By Venue Financials'!$H$10:$H$274,0),MATCH(S$8,'FY25 By Venue Financials'!$P$4:$BF$4,0)),"N/A ")</f>
        <v>143.4</v>
      </c>
      <c r="T50" s="391">
        <f t="array" ref="T50">IFERROR(INDEX('FY25 By Venue Financials'!$P$10:$BF$274,MATCH($C50,'FY25 By Venue Financials'!$H$10:$H$274,0),MATCH(T$8,'FY25 By Venue Financials'!$P$4:$BF$4,0)),"N/A ")</f>
        <v>146.85</v>
      </c>
      <c r="U50" s="391">
        <f t="array" ref="U50">IFERROR(INDEX('FY25 By Venue Financials'!$P$10:$BF$274,MATCH($C50,'FY25 By Venue Financials'!$H$10:$H$274,0),MATCH(U$8,'FY25 By Venue Financials'!$P$4:$BF$4,0)),"N/A ")</f>
        <v>610.65</v>
      </c>
      <c r="V50" s="391">
        <f t="array" ref="V50">IFERROR(INDEX('FY25 By Venue Financials'!$P$10:$BF$274,MATCH($C50,'FY25 By Venue Financials'!$H$10:$H$274,0),MATCH(V$8,'FY25 By Venue Financials'!$P$4:$BF$4,0)),"N/A ")</f>
        <v>46.55</v>
      </c>
      <c r="W50" s="391">
        <f t="array" ref="W50">IFERROR(INDEX('FY25 By Venue Financials'!$P$10:$BF$274,MATCH($C50,'FY25 By Venue Financials'!$H$10:$H$274,0),MATCH(W$8,'FY25 By Venue Financials'!$P$4:$BF$4,0)),"N/A ")</f>
        <v>41</v>
      </c>
      <c r="X50" s="391">
        <f t="array" ref="X50">IFERROR(INDEX('FY25 By Venue Financials'!$P$10:$BF$274,MATCH($C50,'FY25 By Venue Financials'!$H$10:$H$274,0),MATCH(X$8,'FY25 By Venue Financials'!$P$4:$BF$4,0)),"N/A ")</f>
        <v>123.45</v>
      </c>
      <c r="Y50" s="391">
        <f t="array" ref="Y50">IFERROR(INDEX('FY25 By Venue Financials'!$P$10:$BF$274,MATCH($C50,'FY25 By Venue Financials'!$H$10:$H$274,0),MATCH(Y$8,'FY25 By Venue Financials'!$P$4:$BF$4,0)),"N/A ")</f>
        <v>59.174999999999997</v>
      </c>
      <c r="Z50" s="391">
        <f t="array" ref="Z50">IFERROR(INDEX('FY25 By Venue Financials'!$P$10:$BF$274,MATCH($C50,'FY25 By Venue Financials'!$H$10:$H$274,0),MATCH(Z$8,'FY25 By Venue Financials'!$P$4:$BF$4,0)),"N/A ")</f>
        <v>247.45</v>
      </c>
      <c r="AA50" s="391">
        <f t="array" ref="AA50">IFERROR(INDEX('FY25 By Venue Financials'!$P$10:$BF$274,MATCH($C50,'FY25 By Venue Financials'!$H$10:$H$274,0),MATCH(AA$8,'FY25 By Venue Financials'!$P$4:$BF$4,0)),"N/A ")</f>
        <v>48.95</v>
      </c>
      <c r="AB50" s="391">
        <f t="array" ref="AB50">IFERROR(INDEX('FY25 By Venue Financials'!$P$10:$BF$274,MATCH($C50,'FY25 By Venue Financials'!$H$10:$H$274,0),MATCH(AB$8,'FY25 By Venue Financials'!$P$4:$BF$4,0)),"N/A ")</f>
        <v>36.200000000000003</v>
      </c>
      <c r="AC50" s="391">
        <f t="array" ref="AC50">IFERROR(INDEX('FY25 By Venue Financials'!$P$10:$BF$274,MATCH($C50,'FY25 By Venue Financials'!$H$10:$H$274,0),MATCH(AC$8,'FY25 By Venue Financials'!$P$4:$BF$4,0)),"N/A ")</f>
        <v>208.99509</v>
      </c>
      <c r="AD50" s="391" t="str">
        <f t="array" ref="AD50">IFERROR(INDEX('FY25 By Venue Financials'!$P$10:$BF$274,MATCH($C50,'FY25 By Venue Financials'!$H$10:$H$274,0),MATCH(AD$8,'FY25 By Venue Financials'!$P$4:$BF$4,0)),"N/A ")</f>
        <v xml:space="preserve">N/A </v>
      </c>
      <c r="AE50" s="391">
        <f t="array" ref="AE50">IFERROR(INDEX('FY25 By Venue Financials'!$P$10:$BF$274,MATCH($C50,'FY25 By Venue Financials'!$H$10:$H$274,0),MATCH(AE$8,'FY25 By Venue Financials'!$P$4:$BF$4,0)),"N/A ")</f>
        <v>0</v>
      </c>
      <c r="AF50" s="391">
        <f t="array" ref="AF50">IFERROR(INDEX('FY25 By Venue Financials'!$P$10:$BF$274,MATCH($C50,'FY25 By Venue Financials'!$H$10:$H$274,0),MATCH(AF$8,'FY25 By Venue Financials'!$P$4:$BF$4,0)),"N/A ")</f>
        <v>60.9</v>
      </c>
      <c r="AG50" s="391">
        <f t="array" ref="AG50">IFERROR(INDEX('FY25 By Venue Financials'!$P$10:$BF$274,MATCH($C50,'FY25 By Venue Financials'!$H$10:$H$274,0),MATCH(AG$8,'FY25 By Venue Financials'!$P$4:$BF$4,0)),"N/A ")</f>
        <v>116.2</v>
      </c>
      <c r="AH50" s="391">
        <f t="array" ref="AH50">IFERROR(INDEX('FY25 By Venue Financials'!$P$10:$BF$274,MATCH($C50,'FY25 By Venue Financials'!$H$10:$H$274,0),MATCH(AH$8,'FY25 By Venue Financials'!$P$4:$BF$4,0)),"N/A ")</f>
        <v>113.65</v>
      </c>
      <c r="AI50" s="391">
        <f t="array" ref="AI50">IFERROR(INDEX('FY25 By Venue Financials'!$P$10:$BF$274,MATCH($C50,'FY25 By Venue Financials'!$H$10:$H$274,0),MATCH(AI$8,'FY25 By Venue Financials'!$P$4:$BF$4,0)),"N/A ")</f>
        <v>30.95</v>
      </c>
      <c r="AJ50" s="391">
        <f t="array" ref="AJ50">IFERROR(INDEX('FY25 By Venue Financials'!$P$10:$BF$274,MATCH($C50,'FY25 By Venue Financials'!$H$10:$H$274,0),MATCH(AJ$8,'FY25 By Venue Financials'!$P$4:$BF$4,0)),"N/A ")</f>
        <v>138.47499999999999</v>
      </c>
      <c r="AK50" s="391">
        <f t="array" ref="AK50">IFERROR(INDEX('FY25 By Venue Financials'!$P$10:$BF$274,MATCH($C50,'FY25 By Venue Financials'!$H$10:$H$274,0),MATCH(AK$8,'FY25 By Venue Financials'!$P$4:$BF$4,0)),"N/A ")</f>
        <v>91.25</v>
      </c>
      <c r="AL50" s="391">
        <f t="array" ref="AL50">IFERROR(INDEX('FY25 By Venue Financials'!$P$10:$BF$274,MATCH($C50,'FY25 By Venue Financials'!$H$10:$H$274,0),MATCH(AL$8,'FY25 By Venue Financials'!$P$4:$BF$4,0)),"N/A ")</f>
        <v>59.95</v>
      </c>
      <c r="AM50" s="391">
        <f t="array" ref="AM50">IFERROR(INDEX('FY25 By Venue Financials'!$P$10:$BF$274,MATCH($C50,'FY25 By Venue Financials'!$H$10:$H$274,0),MATCH(AM$8,'FY25 By Venue Financials'!$P$4:$BF$4,0)),"N/A ")</f>
        <v>115.15</v>
      </c>
      <c r="AN50" s="391">
        <f t="array" ref="AN50">IFERROR(INDEX('FY25 By Venue Financials'!$P$10:$BF$274,MATCH($C50,'FY25 By Venue Financials'!$H$10:$H$274,0),MATCH(AN$8,'FY25 By Venue Financials'!$P$4:$BF$4,0)),"N/A ")</f>
        <v>130.9</v>
      </c>
      <c r="AO50" s="391">
        <f t="array" ref="AO50">IFERROR(INDEX('FY25 By Venue Financials'!$P$10:$BF$274,MATCH($C50,'FY25 By Venue Financials'!$H$10:$H$274,0),MATCH(AO$8,'FY25 By Venue Financials'!$P$4:$BF$4,0)),"N/A ")</f>
        <v>382.82499999999999</v>
      </c>
      <c r="AP50" s="391">
        <f t="array" ref="AP50">IFERROR(INDEX('FY25 By Venue Financials'!$P$10:$BF$274,MATCH($C50,'FY25 By Venue Financials'!$H$10:$H$274,0),MATCH(AP$8,'FY25 By Venue Financials'!$P$4:$BF$4,0)),"N/A ")</f>
        <v>15.7</v>
      </c>
      <c r="AQ50" s="391">
        <f t="array" ref="AQ50">IFERROR(INDEX('FY25 By Venue Financials'!$P$10:$BF$274,MATCH($C50,'FY25 By Venue Financials'!$H$10:$H$274,0),MATCH(AQ$8,'FY25 By Venue Financials'!$P$4:$BF$4,0)),"N/A ")</f>
        <v>314.89999999999998</v>
      </c>
      <c r="AR50" s="391">
        <f t="array" ref="AR50">IFERROR(INDEX('FY25 By Venue Financials'!$P$10:$BF$274,MATCH($C50,'FY25 By Venue Financials'!$H$10:$H$274,0),MATCH(AR$8,'FY25 By Venue Financials'!$P$4:$BF$4,0)),"N/A ")</f>
        <v>0</v>
      </c>
    </row>
    <row r="51" spans="3:44" ht="15.75" customHeight="1">
      <c r="C51" s="3" t="s">
        <v>2128</v>
      </c>
      <c r="D51" s="389">
        <f t="shared" si="48"/>
        <v>3533.3750099999997</v>
      </c>
      <c r="E51" s="390"/>
      <c r="F51" s="389">
        <f t="shared" si="49"/>
        <v>1829.7249999999997</v>
      </c>
      <c r="G51" s="389">
        <f t="shared" si="50"/>
        <v>1493.2749999999999</v>
      </c>
      <c r="H51" s="389">
        <f t="shared" ref="H51:J51" si="53">SUMIFS($L51:$AR51,$L$6:$AR$6,H$8)</f>
        <v>457.15000000000003</v>
      </c>
      <c r="I51" s="389">
        <f t="shared" si="53"/>
        <v>772.87500999999997</v>
      </c>
      <c r="J51" s="389">
        <f t="shared" si="53"/>
        <v>473.625</v>
      </c>
      <c r="K51" s="390"/>
      <c r="L51" s="391">
        <f t="array" ref="L51">IFERROR(INDEX('FY25 By Venue Financials'!$P$10:$BF$274,MATCH($C51,'FY25 By Venue Financials'!$H$10:$H$274,0),MATCH(L$8,'FY25 By Venue Financials'!$P$4:$BF$4,0)),"N/A ")</f>
        <v>47.7</v>
      </c>
      <c r="M51" s="391">
        <f t="array" ref="M51">IFERROR(INDEX('FY25 By Venue Financials'!$P$10:$BF$274,MATCH($C51,'FY25 By Venue Financials'!$H$10:$H$274,0),MATCH(M$8,'FY25 By Venue Financials'!$P$4:$BF$4,0)),"N/A ")</f>
        <v>92.7</v>
      </c>
      <c r="N51" s="391">
        <f t="array" ref="N51">IFERROR(INDEX('FY25 By Venue Financials'!$P$10:$BF$274,MATCH($C51,'FY25 By Venue Financials'!$H$10:$H$274,0),MATCH(N$8,'FY25 By Venue Financials'!$P$4:$BF$4,0)),"N/A ")</f>
        <v>112.45</v>
      </c>
      <c r="O51" s="391">
        <f t="array" ref="O51">IFERROR(INDEX('FY25 By Venue Financials'!$P$10:$BF$274,MATCH($C51,'FY25 By Venue Financials'!$H$10:$H$274,0),MATCH(O$8,'FY25 By Venue Financials'!$P$4:$BF$4,0)),"N/A ")</f>
        <v>151.05000000000001</v>
      </c>
      <c r="P51" s="391">
        <f t="array" ref="P51">IFERROR(INDEX('FY25 By Venue Financials'!$P$10:$BF$274,MATCH($C51,'FY25 By Venue Financials'!$H$10:$H$274,0),MATCH(P$8,'FY25 By Venue Financials'!$P$4:$BF$4,0)),"N/A ")</f>
        <v>43.75</v>
      </c>
      <c r="Q51" s="391">
        <f t="array" ref="Q51">IFERROR(INDEX('FY25 By Venue Financials'!$P$10:$BF$274,MATCH($C51,'FY25 By Venue Financials'!$H$10:$H$274,0),MATCH(Q$8,'FY25 By Venue Financials'!$P$4:$BF$4,0)),"N/A ")</f>
        <v>178.75</v>
      </c>
      <c r="R51" s="391">
        <f t="array" ref="R51">IFERROR(INDEX('FY25 By Venue Financials'!$P$10:$BF$274,MATCH($C51,'FY25 By Venue Financials'!$H$10:$H$274,0),MATCH(R$8,'FY25 By Venue Financials'!$P$4:$BF$4,0)),"N/A ")</f>
        <v>63.2</v>
      </c>
      <c r="S51" s="391">
        <f t="array" ref="S51">IFERROR(INDEX('FY25 By Venue Financials'!$P$10:$BF$274,MATCH($C51,'FY25 By Venue Financials'!$H$10:$H$274,0),MATCH(S$8,'FY25 By Venue Financials'!$P$4:$BF$4,0)),"N/A ")</f>
        <v>135.47499999999999</v>
      </c>
      <c r="T51" s="391">
        <f t="array" ref="T51">IFERROR(INDEX('FY25 By Venue Financials'!$P$10:$BF$274,MATCH($C51,'FY25 By Venue Financials'!$H$10:$H$274,0),MATCH(T$8,'FY25 By Venue Financials'!$P$4:$BF$4,0)),"N/A ")</f>
        <v>160.1</v>
      </c>
      <c r="U51" s="391">
        <f t="array" ref="U51">IFERROR(INDEX('FY25 By Venue Financials'!$P$10:$BF$274,MATCH($C51,'FY25 By Venue Financials'!$H$10:$H$274,0),MATCH(U$8,'FY25 By Venue Financials'!$P$4:$BF$4,0)),"N/A ")</f>
        <v>301.89999999999998</v>
      </c>
      <c r="V51" s="391">
        <f t="array" ref="V51">IFERROR(INDEX('FY25 By Venue Financials'!$P$10:$BF$274,MATCH($C51,'FY25 By Venue Financials'!$H$10:$H$274,0),MATCH(V$8,'FY25 By Venue Financials'!$P$4:$BF$4,0)),"N/A ")</f>
        <v>34.549999999999997</v>
      </c>
      <c r="W51" s="391">
        <f t="array" ref="W51">IFERROR(INDEX('FY25 By Venue Financials'!$P$10:$BF$274,MATCH($C51,'FY25 By Venue Financials'!$H$10:$H$274,0),MATCH(W$8,'FY25 By Venue Financials'!$P$4:$BF$4,0)),"N/A ")</f>
        <v>39.85</v>
      </c>
      <c r="X51" s="391">
        <f t="array" ref="X51">IFERROR(INDEX('FY25 By Venue Financials'!$P$10:$BF$274,MATCH($C51,'FY25 By Venue Financials'!$H$10:$H$274,0),MATCH(X$8,'FY25 By Venue Financials'!$P$4:$BF$4,0)),"N/A ")</f>
        <v>115.55</v>
      </c>
      <c r="Y51" s="391">
        <f t="array" ref="Y51">IFERROR(INDEX('FY25 By Venue Financials'!$P$10:$BF$274,MATCH($C51,'FY25 By Venue Financials'!$H$10:$H$274,0),MATCH(Y$8,'FY25 By Venue Financials'!$P$4:$BF$4,0)),"N/A ")</f>
        <v>87.724999999999994</v>
      </c>
      <c r="Z51" s="391">
        <f t="array" ref="Z51">IFERROR(INDEX('FY25 By Venue Financials'!$P$10:$BF$274,MATCH($C51,'FY25 By Venue Financials'!$H$10:$H$274,0),MATCH(Z$8,'FY25 By Venue Financials'!$P$4:$BF$4,0)),"N/A ")</f>
        <v>183.47499999999999</v>
      </c>
      <c r="AA51" s="391">
        <f t="array" ref="AA51">IFERROR(INDEX('FY25 By Venue Financials'!$P$10:$BF$274,MATCH($C51,'FY25 By Venue Financials'!$H$10:$H$274,0),MATCH(AA$8,'FY25 By Venue Financials'!$P$4:$BF$4,0)),"N/A ")</f>
        <v>44.424999999999997</v>
      </c>
      <c r="AB51" s="391">
        <f t="array" ref="AB51">IFERROR(INDEX('FY25 By Venue Financials'!$P$10:$BF$274,MATCH($C51,'FY25 By Venue Financials'!$H$10:$H$274,0),MATCH(AB$8,'FY25 By Venue Financials'!$P$4:$BF$4,0)),"N/A ")</f>
        <v>35.975000000000001</v>
      </c>
      <c r="AC51" s="391">
        <f t="array" ref="AC51">IFERROR(INDEX('FY25 By Venue Financials'!$P$10:$BF$274,MATCH($C51,'FY25 By Venue Financials'!$H$10:$H$274,0),MATCH(AC$8,'FY25 By Venue Financials'!$P$4:$BF$4,0)),"N/A ")</f>
        <v>173.92500000000001</v>
      </c>
      <c r="AD51" s="391" t="str">
        <f t="array" ref="AD51">IFERROR(INDEX('FY25 By Venue Financials'!$P$10:$BF$274,MATCH($C51,'FY25 By Venue Financials'!$H$10:$H$274,0),MATCH(AD$8,'FY25 By Venue Financials'!$P$4:$BF$4,0)),"N/A ")</f>
        <v xml:space="preserve">N/A </v>
      </c>
      <c r="AE51" s="391">
        <f t="array" ref="AE51">IFERROR(INDEX('FY25 By Venue Financials'!$P$10:$BF$274,MATCH($C51,'FY25 By Venue Financials'!$H$10:$H$274,0),MATCH(AE$8,'FY25 By Venue Financials'!$P$4:$BF$4,0)),"N/A ")</f>
        <v>0</v>
      </c>
      <c r="AF51" s="391">
        <f t="array" ref="AF51">IFERROR(INDEX('FY25 By Venue Financials'!$P$10:$BF$274,MATCH($C51,'FY25 By Venue Financials'!$H$10:$H$274,0),MATCH(AF$8,'FY25 By Venue Financials'!$P$4:$BF$4,0)),"N/A ")</f>
        <v>52.1</v>
      </c>
      <c r="AG51" s="391">
        <f t="array" ref="AG51">IFERROR(INDEX('FY25 By Venue Financials'!$P$10:$BF$274,MATCH($C51,'FY25 By Venue Financials'!$H$10:$H$274,0),MATCH(AG$8,'FY25 By Venue Financials'!$P$4:$BF$4,0)),"N/A ")</f>
        <v>101.825</v>
      </c>
      <c r="AH51" s="391">
        <f t="array" ref="AH51">IFERROR(INDEX('FY25 By Venue Financials'!$P$10:$BF$274,MATCH($C51,'FY25 By Venue Financials'!$H$10:$H$274,0),MATCH(AH$8,'FY25 By Venue Financials'!$P$4:$BF$4,0)),"N/A ")</f>
        <v>103.175</v>
      </c>
      <c r="AI51" s="391">
        <f t="array" ref="AI51">IFERROR(INDEX('FY25 By Venue Financials'!$P$10:$BF$274,MATCH($C51,'FY25 By Venue Financials'!$H$10:$H$274,0),MATCH(AI$8,'FY25 By Venue Financials'!$P$4:$BF$4,0)),"N/A ")</f>
        <v>26.125</v>
      </c>
      <c r="AJ51" s="391">
        <f t="array" ref="AJ51">IFERROR(INDEX('FY25 By Venue Financials'!$P$10:$BF$274,MATCH($C51,'FY25 By Venue Financials'!$H$10:$H$274,0),MATCH(AJ$8,'FY25 By Venue Financials'!$P$4:$BF$4,0)),"N/A ")</f>
        <v>125.6</v>
      </c>
      <c r="AK51" s="391">
        <f t="array" ref="AK51">IFERROR(INDEX('FY25 By Venue Financials'!$P$10:$BF$274,MATCH($C51,'FY25 By Venue Financials'!$H$10:$H$274,0),MATCH(AK$8,'FY25 By Venue Financials'!$P$4:$BF$4,0)),"N/A ")</f>
        <v>90.500009999999989</v>
      </c>
      <c r="AL51" s="391">
        <f t="array" ref="AL51">IFERROR(INDEX('FY25 By Venue Financials'!$P$10:$BF$274,MATCH($C51,'FY25 By Venue Financials'!$H$10:$H$274,0),MATCH(AL$8,'FY25 By Venue Financials'!$P$4:$BF$4,0)),"N/A ")</f>
        <v>65.650000000000006</v>
      </c>
      <c r="AM51" s="391">
        <f t="array" ref="AM51">IFERROR(INDEX('FY25 By Venue Financials'!$P$10:$BF$274,MATCH($C51,'FY25 By Venue Financials'!$H$10:$H$274,0),MATCH(AM$8,'FY25 By Venue Financials'!$P$4:$BF$4,0)),"N/A ")</f>
        <v>104.15</v>
      </c>
      <c r="AN51" s="391">
        <f t="array" ref="AN51">IFERROR(INDEX('FY25 By Venue Financials'!$P$10:$BF$274,MATCH($C51,'FY25 By Venue Financials'!$H$10:$H$274,0),MATCH(AN$8,'FY25 By Venue Financials'!$P$4:$BF$4,0)),"N/A ")</f>
        <v>97.35</v>
      </c>
      <c r="AO51" s="391">
        <f t="array" ref="AO51">IFERROR(INDEX('FY25 By Venue Financials'!$P$10:$BF$274,MATCH($C51,'FY25 By Venue Financials'!$H$10:$H$274,0),MATCH(AO$8,'FY25 By Venue Financials'!$P$4:$BF$4,0)),"N/A ")</f>
        <v>280.17500000000001</v>
      </c>
      <c r="AP51" s="391">
        <f t="array" ref="AP51">IFERROR(INDEX('FY25 By Venue Financials'!$P$10:$BF$274,MATCH($C51,'FY25 By Venue Financials'!$H$10:$H$274,0),MATCH(AP$8,'FY25 By Venue Financials'!$P$4:$BF$4,0)),"N/A ")</f>
        <v>9.4499999999999993</v>
      </c>
      <c r="AQ51" s="391">
        <f t="array" ref="AQ51">IFERROR(INDEX('FY25 By Venue Financials'!$P$10:$BF$274,MATCH($C51,'FY25 By Venue Financials'!$H$10:$H$274,0),MATCH(AQ$8,'FY25 By Venue Financials'!$P$4:$BF$4,0)),"N/A ")</f>
        <v>473.625</v>
      </c>
      <c r="AR51" s="391">
        <f t="array" ref="AR51">IFERROR(INDEX('FY25 By Venue Financials'!$P$10:$BF$274,MATCH($C51,'FY25 By Venue Financials'!$H$10:$H$274,0),MATCH(AR$8,'FY25 By Venue Financials'!$P$4:$BF$4,0)),"N/A ")</f>
        <v>1.1000000000000001</v>
      </c>
    </row>
    <row r="52" spans="3:44" ht="15.75" customHeight="1">
      <c r="C52" s="3" t="s">
        <v>2129</v>
      </c>
      <c r="D52" s="389">
        <f t="shared" si="48"/>
        <v>1425.5088100000003</v>
      </c>
      <c r="E52" s="390"/>
      <c r="F52" s="389">
        <f t="shared" si="49"/>
        <v>776.0520600000001</v>
      </c>
      <c r="G52" s="389">
        <f t="shared" si="50"/>
        <v>623.16000000000008</v>
      </c>
      <c r="H52" s="389">
        <f t="shared" ref="H52:J52" si="54">SUMIFS($L52:$AR52,$L$6:$AR$6,H$8)</f>
        <v>169.08674999999999</v>
      </c>
      <c r="I52" s="389">
        <f t="shared" si="54"/>
        <v>325.16924999999998</v>
      </c>
      <c r="J52" s="389">
        <f t="shared" si="54"/>
        <v>155.20075</v>
      </c>
      <c r="K52" s="390"/>
      <c r="L52" s="391">
        <f t="array" ref="L52">IFERROR(INDEX('FY25 By Venue Financials'!$P$10:$BF$274,MATCH($C52,'FY25 By Venue Financials'!$H$10:$H$274,0),MATCH(L$8,'FY25 By Venue Financials'!$P$4:$BF$4,0)),"N/A ")</f>
        <v>25.541250000000002</v>
      </c>
      <c r="M52" s="391">
        <f t="array" ref="M52">IFERROR(INDEX('FY25 By Venue Financials'!$P$10:$BF$274,MATCH($C52,'FY25 By Venue Financials'!$H$10:$H$274,0),MATCH(M$8,'FY25 By Venue Financials'!$P$4:$BF$4,0)),"N/A ")</f>
        <v>29.127500000000001</v>
      </c>
      <c r="N52" s="391">
        <f t="array" ref="N52">IFERROR(INDEX('FY25 By Venue Financials'!$P$10:$BF$274,MATCH($C52,'FY25 By Venue Financials'!$H$10:$H$274,0),MATCH(N$8,'FY25 By Venue Financials'!$P$4:$BF$4,0)),"N/A ")</f>
        <v>42.123750000000001</v>
      </c>
      <c r="O52" s="391">
        <f t="array" ref="O52">IFERROR(INDEX('FY25 By Venue Financials'!$P$10:$BF$274,MATCH($C52,'FY25 By Venue Financials'!$H$10:$H$274,0),MATCH(O$8,'FY25 By Venue Financials'!$P$4:$BF$4,0)),"N/A ")</f>
        <v>70.421250000000001</v>
      </c>
      <c r="P52" s="391">
        <f t="array" ref="P52">IFERROR(INDEX('FY25 By Venue Financials'!$P$10:$BF$274,MATCH($C52,'FY25 By Venue Financials'!$H$10:$H$274,0),MATCH(P$8,'FY25 By Venue Financials'!$P$4:$BF$4,0)),"N/A ")</f>
        <v>14.55625</v>
      </c>
      <c r="Q52" s="391">
        <f t="array" ref="Q52">IFERROR(INDEX('FY25 By Venue Financials'!$P$10:$BF$274,MATCH($C52,'FY25 By Venue Financials'!$H$10:$H$274,0),MATCH(Q$8,'FY25 By Venue Financials'!$P$4:$BF$4,0)),"N/A ")</f>
        <v>78.586250000000007</v>
      </c>
      <c r="R52" s="391">
        <f t="array" ref="R52">IFERROR(INDEX('FY25 By Venue Financials'!$P$10:$BF$274,MATCH($C52,'FY25 By Venue Financials'!$H$10:$H$274,0),MATCH(R$8,'FY25 By Venue Financials'!$P$4:$BF$4,0)),"N/A ")</f>
        <v>20.15625</v>
      </c>
      <c r="S52" s="391">
        <f t="array" ref="S52">IFERROR(INDEX('FY25 By Venue Financials'!$P$10:$BF$274,MATCH($C52,'FY25 By Venue Financials'!$H$10:$H$274,0),MATCH(S$8,'FY25 By Venue Financials'!$P$4:$BF$4,0)),"N/A ")</f>
        <v>52.731250000000003</v>
      </c>
      <c r="T52" s="391">
        <f t="array" ref="T52">IFERROR(INDEX('FY25 By Venue Financials'!$P$10:$BF$274,MATCH($C52,'FY25 By Venue Financials'!$H$10:$H$274,0),MATCH(T$8,'FY25 By Venue Financials'!$P$4:$BF$4,0)),"N/A ")</f>
        <v>59.659750000000003</v>
      </c>
      <c r="U52" s="391">
        <f t="array" ref="U52">IFERROR(INDEX('FY25 By Venue Financials'!$P$10:$BF$274,MATCH($C52,'FY25 By Venue Financials'!$H$10:$H$274,0),MATCH(U$8,'FY25 By Venue Financials'!$P$4:$BF$4,0)),"N/A ")</f>
        <v>136.77956</v>
      </c>
      <c r="V52" s="391">
        <f t="array" ref="V52">IFERROR(INDEX('FY25 By Venue Financials'!$P$10:$BF$274,MATCH($C52,'FY25 By Venue Financials'!$H$10:$H$274,0),MATCH(V$8,'FY25 By Venue Financials'!$P$4:$BF$4,0)),"N/A ")</f>
        <v>16.112500000000001</v>
      </c>
      <c r="W52" s="391">
        <f t="array" ref="W52">IFERROR(INDEX('FY25 By Venue Financials'!$P$10:$BF$274,MATCH($C52,'FY25 By Venue Financials'!$H$10:$H$274,0),MATCH(W$8,'FY25 By Venue Financials'!$P$4:$BF$4,0)),"N/A ")</f>
        <v>24.754999999999999</v>
      </c>
      <c r="X52" s="391">
        <f t="array" ref="X52">IFERROR(INDEX('FY25 By Venue Financials'!$P$10:$BF$274,MATCH($C52,'FY25 By Venue Financials'!$H$10:$H$274,0),MATCH(X$8,'FY25 By Venue Financials'!$P$4:$BF$4,0)),"N/A ")</f>
        <v>48.307499999999997</v>
      </c>
      <c r="Y52" s="391">
        <f t="array" ref="Y52">IFERROR(INDEX('FY25 By Venue Financials'!$P$10:$BF$274,MATCH($C52,'FY25 By Venue Financials'!$H$10:$H$274,0),MATCH(Y$8,'FY25 By Venue Financials'!$P$4:$BF$4,0)),"N/A ")</f>
        <v>34.481250000000003</v>
      </c>
      <c r="Z52" s="391">
        <f t="array" ref="Z52">IFERROR(INDEX('FY25 By Venue Financials'!$P$10:$BF$274,MATCH($C52,'FY25 By Venue Financials'!$H$10:$H$274,0),MATCH(Z$8,'FY25 By Venue Financials'!$P$4:$BF$4,0)),"N/A ")</f>
        <v>78.042500000000004</v>
      </c>
      <c r="AA52" s="391">
        <f t="array" ref="AA52">IFERROR(INDEX('FY25 By Venue Financials'!$P$10:$BF$274,MATCH($C52,'FY25 By Venue Financials'!$H$10:$H$274,0),MATCH(AA$8,'FY25 By Venue Financials'!$P$4:$BF$4,0)),"N/A ")</f>
        <v>25.585249999999998</v>
      </c>
      <c r="AB52" s="391">
        <f t="array" ref="AB52">IFERROR(INDEX('FY25 By Venue Financials'!$P$10:$BF$274,MATCH($C52,'FY25 By Venue Financials'!$H$10:$H$274,0),MATCH(AB$8,'FY25 By Venue Financials'!$P$4:$BF$4,0)),"N/A ")</f>
        <v>19.085000000000001</v>
      </c>
      <c r="AC52" s="391">
        <f t="array" ref="AC52">IFERROR(INDEX('FY25 By Venue Financials'!$P$10:$BF$274,MATCH($C52,'FY25 By Venue Financials'!$H$10:$H$274,0),MATCH(AC$8,'FY25 By Venue Financials'!$P$4:$BF$4,0)),"N/A ")</f>
        <v>61.914250000000003</v>
      </c>
      <c r="AD52" s="391" t="str">
        <f t="array" ref="AD52">IFERROR(INDEX('FY25 By Venue Financials'!$P$10:$BF$274,MATCH($C52,'FY25 By Venue Financials'!$H$10:$H$274,0),MATCH(AD$8,'FY25 By Venue Financials'!$P$4:$BF$4,0)),"N/A ")</f>
        <v xml:space="preserve">N/A </v>
      </c>
      <c r="AE52" s="391">
        <f t="array" ref="AE52">IFERROR(INDEX('FY25 By Venue Financials'!$P$10:$BF$274,MATCH($C52,'FY25 By Venue Financials'!$H$10:$H$274,0),MATCH(AE$8,'FY25 By Venue Financials'!$P$4:$BF$4,0)),"N/A ")</f>
        <v>0</v>
      </c>
      <c r="AF52" s="391">
        <f t="array" ref="AF52">IFERROR(INDEX('FY25 By Venue Financials'!$P$10:$BF$274,MATCH($C52,'FY25 By Venue Financials'!$H$10:$H$274,0),MATCH(AF$8,'FY25 By Venue Financials'!$P$4:$BF$4,0)),"N/A ")</f>
        <v>20.524249999999999</v>
      </c>
      <c r="AG52" s="391">
        <f t="array" ref="AG52">IFERROR(INDEX('FY25 By Venue Financials'!$P$10:$BF$274,MATCH($C52,'FY25 By Venue Financials'!$H$10:$H$274,0),MATCH(AG$8,'FY25 By Venue Financials'!$P$4:$BF$4,0)),"N/A ")</f>
        <v>37.572499999999998</v>
      </c>
      <c r="AH52" s="391">
        <f t="array" ref="AH52">IFERROR(INDEX('FY25 By Venue Financials'!$P$10:$BF$274,MATCH($C52,'FY25 By Venue Financials'!$H$10:$H$274,0),MATCH(AH$8,'FY25 By Venue Financials'!$P$4:$BF$4,0)),"N/A ")</f>
        <v>34.70675</v>
      </c>
      <c r="AI52" s="391">
        <f t="array" ref="AI52">IFERROR(INDEX('FY25 By Venue Financials'!$P$10:$BF$274,MATCH($C52,'FY25 By Venue Financials'!$H$10:$H$274,0),MATCH(AI$8,'FY25 By Venue Financials'!$P$4:$BF$4,0)),"N/A ")</f>
        <v>14.369</v>
      </c>
      <c r="AJ52" s="391">
        <f t="array" ref="AJ52">IFERROR(INDEX('FY25 By Venue Financials'!$P$10:$BF$274,MATCH($C52,'FY25 By Venue Financials'!$H$10:$H$274,0),MATCH(AJ$8,'FY25 By Venue Financials'!$P$4:$BF$4,0)),"N/A ")</f>
        <v>57.973750000000003</v>
      </c>
      <c r="AK52" s="391">
        <f t="array" ref="AK52">IFERROR(INDEX('FY25 By Venue Financials'!$P$10:$BF$274,MATCH($C52,'FY25 By Venue Financials'!$H$10:$H$274,0),MATCH(AK$8,'FY25 By Venue Financials'!$P$4:$BF$4,0)),"N/A ")</f>
        <v>35.404000000000003</v>
      </c>
      <c r="AL52" s="391">
        <f t="array" ref="AL52">IFERROR(INDEX('FY25 By Venue Financials'!$P$10:$BF$274,MATCH($C52,'FY25 By Venue Financials'!$H$10:$H$274,0),MATCH(AL$8,'FY25 By Venue Financials'!$P$4:$BF$4,0)),"N/A ")</f>
        <v>27.572749999999999</v>
      </c>
      <c r="AM52" s="391">
        <f t="array" ref="AM52">IFERROR(INDEX('FY25 By Venue Financials'!$P$10:$BF$274,MATCH($C52,'FY25 By Venue Financials'!$H$10:$H$274,0),MATCH(AM$8,'FY25 By Venue Financials'!$P$4:$BF$4,0)),"N/A ")</f>
        <v>40.72625</v>
      </c>
      <c r="AN52" s="391">
        <f t="array" ref="AN52">IFERROR(INDEX('FY25 By Venue Financials'!$P$10:$BF$274,MATCH($C52,'FY25 By Venue Financials'!$H$10:$H$274,0),MATCH(AN$8,'FY25 By Venue Financials'!$P$4:$BF$4,0)),"N/A ")</f>
        <v>45.204749999999997</v>
      </c>
      <c r="AO52" s="391">
        <f t="array" ref="AO52">IFERROR(INDEX('FY25 By Venue Financials'!$P$10:$BF$274,MATCH($C52,'FY25 By Venue Financials'!$H$10:$H$274,0),MATCH(AO$8,'FY25 By Venue Financials'!$P$4:$BF$4,0)),"N/A ")</f>
        <v>114.52525</v>
      </c>
      <c r="AP52" s="391">
        <f t="array" ref="AP52">IFERROR(INDEX('FY25 By Venue Financials'!$P$10:$BF$274,MATCH($C52,'FY25 By Venue Financials'!$H$10:$H$274,0),MATCH(AP$8,'FY25 By Venue Financials'!$P$4:$BF$4,0)),"N/A ")</f>
        <v>3.7625000000000002</v>
      </c>
      <c r="AQ52" s="391">
        <f t="array" ref="AQ52">IFERROR(INDEX('FY25 By Venue Financials'!$P$10:$BF$274,MATCH($C52,'FY25 By Venue Financials'!$H$10:$H$274,0),MATCH(AQ$8,'FY25 By Venue Financials'!$P$4:$BF$4,0)),"N/A ")</f>
        <v>155.20075</v>
      </c>
      <c r="AR52" s="391">
        <f t="array" ref="AR52">IFERROR(INDEX('FY25 By Venue Financials'!$P$10:$BF$274,MATCH($C52,'FY25 By Venue Financials'!$H$10:$H$274,0),MATCH(AR$8,'FY25 By Venue Financials'!$P$4:$BF$4,0)),"N/A ")</f>
        <v>0</v>
      </c>
    </row>
    <row r="53" spans="3:44" ht="15.75" customHeight="1">
      <c r="C53" s="3" t="s">
        <v>2130</v>
      </c>
      <c r="D53" s="389">
        <f t="shared" si="48"/>
        <v>1515.9244600000002</v>
      </c>
      <c r="E53" s="390"/>
      <c r="F53" s="389">
        <f t="shared" si="49"/>
        <v>842.48046000000011</v>
      </c>
      <c r="G53" s="389">
        <f t="shared" si="50"/>
        <v>669.90146000000004</v>
      </c>
      <c r="H53" s="389">
        <f t="shared" ref="H53:J53" si="55">SUMIFS($L53:$AR53,$L$6:$AR$6,H$8)</f>
        <v>192.14599999999999</v>
      </c>
      <c r="I53" s="389">
        <f t="shared" si="55"/>
        <v>382.346</v>
      </c>
      <c r="J53" s="389">
        <f t="shared" si="55"/>
        <v>98.951999999999998</v>
      </c>
      <c r="K53" s="390"/>
      <c r="L53" s="391">
        <f t="array" ref="L53">IFERROR(INDEX('FY25 By Venue Financials'!$P$10:$BF$274,MATCH($C53,'FY25 By Venue Financials'!$H$10:$H$274,0),MATCH(L$8,'FY25 By Venue Financials'!$P$4:$BF$4,0)),"N/A ")</f>
        <v>22.907</v>
      </c>
      <c r="M53" s="391">
        <f t="array" ref="M53">IFERROR(INDEX('FY25 By Venue Financials'!$P$10:$BF$274,MATCH($C53,'FY25 By Venue Financials'!$H$10:$H$274,0),MATCH(M$8,'FY25 By Venue Financials'!$P$4:$BF$4,0)),"N/A ")</f>
        <v>31.036999999999999</v>
      </c>
      <c r="N53" s="391">
        <f t="array" ref="N53">IFERROR(INDEX('FY25 By Venue Financials'!$P$10:$BF$274,MATCH($C53,'FY25 By Venue Financials'!$H$10:$H$274,0),MATCH(N$8,'FY25 By Venue Financials'!$P$4:$BF$4,0)),"N/A ")</f>
        <v>58.691000000000003</v>
      </c>
      <c r="O53" s="391">
        <f t="array" ref="O53">IFERROR(INDEX('FY25 By Venue Financials'!$P$10:$BF$274,MATCH($C53,'FY25 By Venue Financials'!$H$10:$H$274,0),MATCH(O$8,'FY25 By Venue Financials'!$P$4:$BF$4,0)),"N/A ")</f>
        <v>57.848459999999996</v>
      </c>
      <c r="P53" s="391">
        <f t="array" ref="P53">IFERROR(INDEX('FY25 By Venue Financials'!$P$10:$BF$274,MATCH($C53,'FY25 By Venue Financials'!$H$10:$H$274,0),MATCH(P$8,'FY25 By Venue Financials'!$P$4:$BF$4,0)),"N/A ")</f>
        <v>22.67</v>
      </c>
      <c r="Q53" s="391">
        <f t="array" ref="Q53">IFERROR(INDEX('FY25 By Venue Financials'!$P$10:$BF$274,MATCH($C53,'FY25 By Venue Financials'!$H$10:$H$274,0),MATCH(Q$8,'FY25 By Venue Financials'!$P$4:$BF$4,0)),"N/A ")</f>
        <v>94.67</v>
      </c>
      <c r="R53" s="391">
        <f t="array" ref="R53">IFERROR(INDEX('FY25 By Venue Financials'!$P$10:$BF$274,MATCH($C53,'FY25 By Venue Financials'!$H$10:$H$274,0),MATCH(R$8,'FY25 By Venue Financials'!$P$4:$BF$4,0)),"N/A ")</f>
        <v>23.2</v>
      </c>
      <c r="S53" s="391">
        <f t="array" ref="S53">IFERROR(INDEX('FY25 By Venue Financials'!$P$10:$BF$274,MATCH($C53,'FY25 By Venue Financials'!$H$10:$H$274,0),MATCH(S$8,'FY25 By Venue Financials'!$P$4:$BF$4,0)),"N/A ")</f>
        <v>64.063000000000002</v>
      </c>
      <c r="T53" s="391">
        <f t="array" ref="T53">IFERROR(INDEX('FY25 By Venue Financials'!$P$10:$BF$274,MATCH($C53,'FY25 By Venue Financials'!$H$10:$H$274,0),MATCH(T$8,'FY25 By Venue Financials'!$P$4:$BF$4,0)),"N/A ")</f>
        <v>62.755000000000003</v>
      </c>
      <c r="U53" s="391">
        <f t="array" ref="U53">IFERROR(INDEX('FY25 By Venue Financials'!$P$10:$BF$274,MATCH($C53,'FY25 By Venue Financials'!$H$10:$H$274,0),MATCH(U$8,'FY25 By Venue Financials'!$P$4:$BF$4,0)),"N/A ")</f>
        <v>155.512</v>
      </c>
      <c r="V53" s="391">
        <f t="array" ref="V53">IFERROR(INDEX('FY25 By Venue Financials'!$P$10:$BF$274,MATCH($C53,'FY25 By Venue Financials'!$H$10:$H$274,0),MATCH(V$8,'FY25 By Venue Financials'!$P$4:$BF$4,0)),"N/A ")</f>
        <v>17.067</v>
      </c>
      <c r="W53" s="391">
        <f t="array" ref="W53">IFERROR(INDEX('FY25 By Venue Financials'!$P$10:$BF$274,MATCH($C53,'FY25 By Venue Financials'!$H$10:$H$274,0),MATCH(W$8,'FY25 By Venue Financials'!$P$4:$BF$4,0)),"N/A ")</f>
        <v>18.28</v>
      </c>
      <c r="X53" s="391">
        <f t="array" ref="X53">IFERROR(INDEX('FY25 By Venue Financials'!$P$10:$BF$274,MATCH($C53,'FY25 By Venue Financials'!$H$10:$H$274,0),MATCH(X$8,'FY25 By Venue Financials'!$P$4:$BF$4,0)),"N/A ")</f>
        <v>51.505000000000003</v>
      </c>
      <c r="Y53" s="391">
        <f t="array" ref="Y53">IFERROR(INDEX('FY25 By Venue Financials'!$P$10:$BF$274,MATCH($C53,'FY25 By Venue Financials'!$H$10:$H$274,0),MATCH(Y$8,'FY25 By Venue Financials'!$P$4:$BF$4,0)),"N/A ")</f>
        <v>35.420999999999999</v>
      </c>
      <c r="Z53" s="391">
        <f t="array" ref="Z53">IFERROR(INDEX('FY25 By Venue Financials'!$P$10:$BF$274,MATCH($C53,'FY25 By Venue Financials'!$H$10:$H$274,0),MATCH(Z$8,'FY25 By Venue Financials'!$P$4:$BF$4,0)),"N/A ")</f>
        <v>92.009</v>
      </c>
      <c r="AA53" s="391">
        <f t="array" ref="AA53">IFERROR(INDEX('FY25 By Venue Financials'!$P$10:$BF$274,MATCH($C53,'FY25 By Venue Financials'!$H$10:$H$274,0),MATCH(AA$8,'FY25 By Venue Financials'!$P$4:$BF$4,0)),"N/A ")</f>
        <v>18.260000000000002</v>
      </c>
      <c r="AB53" s="391">
        <f t="array" ref="AB53">IFERROR(INDEX('FY25 By Venue Financials'!$P$10:$BF$274,MATCH($C53,'FY25 By Venue Financials'!$H$10:$H$274,0),MATCH(AB$8,'FY25 By Venue Financials'!$P$4:$BF$4,0)),"N/A ")</f>
        <v>16.585000000000001</v>
      </c>
      <c r="AC53" s="391">
        <f t="array" ref="AC53">IFERROR(INDEX('FY25 By Venue Financials'!$P$10:$BF$274,MATCH($C53,'FY25 By Venue Financials'!$H$10:$H$274,0),MATCH(AC$8,'FY25 By Venue Financials'!$P$4:$BF$4,0)),"N/A ")</f>
        <v>72.641000000000005</v>
      </c>
      <c r="AD53" s="391" t="str">
        <f t="array" ref="AD53">IFERROR(INDEX('FY25 By Venue Financials'!$P$10:$BF$274,MATCH($C53,'FY25 By Venue Financials'!$H$10:$H$274,0),MATCH(AD$8,'FY25 By Venue Financials'!$P$4:$BF$4,0)),"N/A ")</f>
        <v xml:space="preserve">N/A </v>
      </c>
      <c r="AE53" s="391">
        <f t="array" ref="AE53">IFERROR(INDEX('FY25 By Venue Financials'!$P$10:$BF$274,MATCH($C53,'FY25 By Venue Financials'!$H$10:$H$274,0),MATCH(AE$8,'FY25 By Venue Financials'!$P$4:$BF$4,0)),"N/A ")</f>
        <v>0</v>
      </c>
      <c r="AF53" s="391">
        <f t="array" ref="AF53">IFERROR(INDEX('FY25 By Venue Financials'!$P$10:$BF$274,MATCH($C53,'FY25 By Venue Financials'!$H$10:$H$274,0),MATCH(AF$8,'FY25 By Venue Financials'!$P$4:$BF$4,0)),"N/A ")</f>
        <v>19.675000000000001</v>
      </c>
      <c r="AG53" s="391">
        <f t="array" ref="AG53">IFERROR(INDEX('FY25 By Venue Financials'!$P$10:$BF$274,MATCH($C53,'FY25 By Venue Financials'!$H$10:$H$274,0),MATCH(AG$8,'FY25 By Venue Financials'!$P$4:$BF$4,0)),"N/A ")</f>
        <v>40.35</v>
      </c>
      <c r="AH53" s="391">
        <f t="array" ref="AH53">IFERROR(INDEX('FY25 By Venue Financials'!$P$10:$BF$274,MATCH($C53,'FY25 By Venue Financials'!$H$10:$H$274,0),MATCH(AH$8,'FY25 By Venue Financials'!$P$4:$BF$4,0)),"N/A ")</f>
        <v>44.994</v>
      </c>
      <c r="AI53" s="391">
        <f t="array" ref="AI53">IFERROR(INDEX('FY25 By Venue Financials'!$P$10:$BF$274,MATCH($C53,'FY25 By Venue Financials'!$H$10:$H$274,0),MATCH(AI$8,'FY25 By Venue Financials'!$P$4:$BF$4,0)),"N/A ")</f>
        <v>14.486000000000001</v>
      </c>
      <c r="AJ53" s="391">
        <f t="array" ref="AJ53">IFERROR(INDEX('FY25 By Venue Financials'!$P$10:$BF$274,MATCH($C53,'FY25 By Venue Financials'!$H$10:$H$274,0),MATCH(AJ$8,'FY25 By Venue Financials'!$P$4:$BF$4,0)),"N/A ")</f>
        <v>62.82</v>
      </c>
      <c r="AK53" s="391">
        <f t="array" ref="AK53">IFERROR(INDEX('FY25 By Venue Financials'!$P$10:$BF$274,MATCH($C53,'FY25 By Venue Financials'!$H$10:$H$274,0),MATCH(AK$8,'FY25 By Venue Financials'!$P$4:$BF$4,0)),"N/A ")</f>
        <v>37.46</v>
      </c>
      <c r="AL53" s="391">
        <f t="array" ref="AL53">IFERROR(INDEX('FY25 By Venue Financials'!$P$10:$BF$274,MATCH($C53,'FY25 By Venue Financials'!$H$10:$H$274,0),MATCH(AL$8,'FY25 By Venue Financials'!$P$4:$BF$4,0)),"N/A ")</f>
        <v>37.481000000000002</v>
      </c>
      <c r="AM53" s="391">
        <f t="array" ref="AM53">IFERROR(INDEX('FY25 By Venue Financials'!$P$10:$BF$274,MATCH($C53,'FY25 By Venue Financials'!$H$10:$H$274,0),MATCH(AM$8,'FY25 By Venue Financials'!$P$4:$BF$4,0)),"N/A ")</f>
        <v>50.261000000000003</v>
      </c>
      <c r="AN53" s="391">
        <f t="array" ref="AN53">IFERROR(INDEX('FY25 By Venue Financials'!$P$10:$BF$274,MATCH($C53,'FY25 By Venue Financials'!$H$10:$H$274,0),MATCH(AN$8,'FY25 By Venue Financials'!$P$4:$BF$4,0)),"N/A ")</f>
        <v>51.13</v>
      </c>
      <c r="AO53" s="391">
        <f t="array" ref="AO53">IFERROR(INDEX('FY25 By Venue Financials'!$P$10:$BF$274,MATCH($C53,'FY25 By Venue Financials'!$H$10:$H$274,0),MATCH(AO$8,'FY25 By Venue Financials'!$P$4:$BF$4,0)),"N/A ")</f>
        <v>139.59399999999999</v>
      </c>
      <c r="AP53" s="391">
        <f t="array" ref="AP53">IFERROR(INDEX('FY25 By Venue Financials'!$P$10:$BF$274,MATCH($C53,'FY25 By Venue Financials'!$H$10:$H$274,0),MATCH(AP$8,'FY25 By Venue Financials'!$P$4:$BF$4,0)),"N/A ")</f>
        <v>3.6</v>
      </c>
      <c r="AQ53" s="391">
        <f t="array" ref="AQ53">IFERROR(INDEX('FY25 By Venue Financials'!$P$10:$BF$274,MATCH($C53,'FY25 By Venue Financials'!$H$10:$H$274,0),MATCH(AQ$8,'FY25 By Venue Financials'!$P$4:$BF$4,0)),"N/A ")</f>
        <v>98.951999999999998</v>
      </c>
      <c r="AR53" s="391">
        <f t="array" ref="AR53">IFERROR(INDEX('FY25 By Venue Financials'!$P$10:$BF$274,MATCH($C53,'FY25 By Venue Financials'!$H$10:$H$274,0),MATCH(AR$8,'FY25 By Venue Financials'!$P$4:$BF$4,0)),"N/A ")</f>
        <v>0</v>
      </c>
    </row>
    <row r="54" spans="3:44" ht="15.75" customHeight="1">
      <c r="C54" s="3" t="s">
        <v>2131</v>
      </c>
      <c r="D54" s="389">
        <f t="shared" si="48"/>
        <v>447.22499999999997</v>
      </c>
      <c r="E54" s="390"/>
      <c r="F54" s="389">
        <f t="shared" si="49"/>
        <v>307.6925</v>
      </c>
      <c r="G54" s="389">
        <f t="shared" si="50"/>
        <v>178.6925</v>
      </c>
      <c r="H54" s="389">
        <f t="shared" ref="H54:J54" si="56">SUMIFS($L54:$AR54,$L$6:$AR$6,H$8)</f>
        <v>25.157499999999999</v>
      </c>
      <c r="I54" s="389">
        <f t="shared" si="56"/>
        <v>59.875</v>
      </c>
      <c r="J54" s="389">
        <f t="shared" si="56"/>
        <v>54.5</v>
      </c>
      <c r="K54" s="390"/>
      <c r="L54" s="391">
        <f t="array" ref="L54">IFERROR(INDEX('FY25 By Venue Financials'!$P$10:$BF$274,MATCH($C54,'FY25 By Venue Financials'!$H$10:$H$274,0),MATCH(L$8,'FY25 By Venue Financials'!$P$4:$BF$4,0)),"N/A ")</f>
        <v>3.25</v>
      </c>
      <c r="M54" s="391">
        <f t="array" ref="M54">IFERROR(INDEX('FY25 By Venue Financials'!$P$10:$BF$274,MATCH($C54,'FY25 By Venue Financials'!$H$10:$H$274,0),MATCH(M$8,'FY25 By Venue Financials'!$P$4:$BF$4,0)),"N/A ")</f>
        <v>4.09</v>
      </c>
      <c r="N54" s="391">
        <f t="array" ref="N54">IFERROR(INDEX('FY25 By Venue Financials'!$P$10:$BF$274,MATCH($C54,'FY25 By Venue Financials'!$H$10:$H$274,0),MATCH(N$8,'FY25 By Venue Financials'!$P$4:$BF$4,0)),"N/A ")</f>
        <v>9</v>
      </c>
      <c r="O54" s="391">
        <f t="array" ref="O54">IFERROR(INDEX('FY25 By Venue Financials'!$P$10:$BF$274,MATCH($C54,'FY25 By Venue Financials'!$H$10:$H$274,0),MATCH(O$8,'FY25 By Venue Financials'!$P$4:$BF$4,0)),"N/A ")</f>
        <v>9.8699999999999992</v>
      </c>
      <c r="P54" s="391">
        <f t="array" ref="P54">IFERROR(INDEX('FY25 By Venue Financials'!$P$10:$BF$274,MATCH($C54,'FY25 By Venue Financials'!$H$10:$H$274,0),MATCH(P$8,'FY25 By Venue Financials'!$P$4:$BF$4,0)),"N/A ")</f>
        <v>3.75</v>
      </c>
      <c r="Q54" s="391">
        <f t="array" ref="Q54">IFERROR(INDEX('FY25 By Venue Financials'!$P$10:$BF$274,MATCH($C54,'FY25 By Venue Financials'!$H$10:$H$274,0),MATCH(Q$8,'FY25 By Venue Financials'!$P$4:$BF$4,0)),"N/A ")</f>
        <v>15.317500000000001</v>
      </c>
      <c r="R54" s="391">
        <f t="array" ref="R54">IFERROR(INDEX('FY25 By Venue Financials'!$P$10:$BF$274,MATCH($C54,'FY25 By Venue Financials'!$H$10:$H$274,0),MATCH(R$8,'FY25 By Venue Financials'!$P$4:$BF$4,0)),"N/A ")</f>
        <v>4.5</v>
      </c>
      <c r="S54" s="391">
        <f t="array" ref="S54">IFERROR(INDEX('FY25 By Venue Financials'!$P$10:$BF$274,MATCH($C54,'FY25 By Venue Financials'!$H$10:$H$274,0),MATCH(S$8,'FY25 By Venue Financials'!$P$4:$BF$4,0)),"N/A ")</f>
        <v>14.5</v>
      </c>
      <c r="T54" s="391">
        <f t="array" ref="T54">IFERROR(INDEX('FY25 By Venue Financials'!$P$10:$BF$274,MATCH($C54,'FY25 By Venue Financials'!$H$10:$H$274,0),MATCH(T$8,'FY25 By Venue Financials'!$P$4:$BF$4,0)),"N/A ")</f>
        <v>9.7899999999999991</v>
      </c>
      <c r="U54" s="391">
        <f t="array" ref="U54">IFERROR(INDEX('FY25 By Venue Financials'!$P$10:$BF$274,MATCH($C54,'FY25 By Venue Financials'!$H$10:$H$274,0),MATCH(U$8,'FY25 By Venue Financials'!$P$4:$BF$4,0)),"N/A ")</f>
        <v>126.75</v>
      </c>
      <c r="V54" s="391">
        <f t="array" ref="V54">IFERROR(INDEX('FY25 By Venue Financials'!$P$10:$BF$274,MATCH($C54,'FY25 By Venue Financials'!$H$10:$H$274,0),MATCH(V$8,'FY25 By Venue Financials'!$P$4:$BF$4,0)),"N/A ")</f>
        <v>2.25</v>
      </c>
      <c r="W54" s="391">
        <f t="array" ref="W54">IFERROR(INDEX('FY25 By Venue Financials'!$P$10:$BF$274,MATCH($C54,'FY25 By Venue Financials'!$H$10:$H$274,0),MATCH(W$8,'FY25 By Venue Financials'!$P$4:$BF$4,0)),"N/A ")</f>
        <v>1.75</v>
      </c>
      <c r="X54" s="391">
        <f t="array" ref="X54">IFERROR(INDEX('FY25 By Venue Financials'!$P$10:$BF$274,MATCH($C54,'FY25 By Venue Financials'!$H$10:$H$274,0),MATCH(X$8,'FY25 By Venue Financials'!$P$4:$BF$4,0)),"N/A ")</f>
        <v>8.25</v>
      </c>
      <c r="Y54" s="391">
        <f t="array" ref="Y54">IFERROR(INDEX('FY25 By Venue Financials'!$P$10:$BF$274,MATCH($C54,'FY25 By Venue Financials'!$H$10:$H$274,0),MATCH(Y$8,'FY25 By Venue Financials'!$P$4:$BF$4,0)),"N/A ")</f>
        <v>8.5</v>
      </c>
      <c r="Z54" s="391">
        <f t="array" ref="Z54">IFERROR(INDEX('FY25 By Venue Financials'!$P$10:$BF$274,MATCH($C54,'FY25 By Venue Financials'!$H$10:$H$274,0),MATCH(Z$8,'FY25 By Venue Financials'!$P$4:$BF$4,0)),"N/A ")</f>
        <v>79.875</v>
      </c>
      <c r="AA54" s="391">
        <f t="array" ref="AA54">IFERROR(INDEX('FY25 By Venue Financials'!$P$10:$BF$274,MATCH($C54,'FY25 By Venue Financials'!$H$10:$H$274,0),MATCH(AA$8,'FY25 By Venue Financials'!$P$4:$BF$4,0)),"N/A ")</f>
        <v>4</v>
      </c>
      <c r="AB54" s="391">
        <f t="array" ref="AB54">IFERROR(INDEX('FY25 By Venue Financials'!$P$10:$BF$274,MATCH($C54,'FY25 By Venue Financials'!$H$10:$H$274,0),MATCH(AB$8,'FY25 By Venue Financials'!$P$4:$BF$4,0)),"N/A ")</f>
        <v>2.25</v>
      </c>
      <c r="AC54" s="391">
        <f t="array" ref="AC54">IFERROR(INDEX('FY25 By Venue Financials'!$P$10:$BF$274,MATCH($C54,'FY25 By Venue Financials'!$H$10:$H$274,0),MATCH(AC$8,'FY25 By Venue Financials'!$P$4:$BF$4,0)),"N/A ")</f>
        <v>8.8825000000000003</v>
      </c>
      <c r="AD54" s="391" t="str">
        <f t="array" ref="AD54">IFERROR(INDEX('FY25 By Venue Financials'!$P$10:$BF$274,MATCH($C54,'FY25 By Venue Financials'!$H$10:$H$274,0),MATCH(AD$8,'FY25 By Venue Financials'!$P$4:$BF$4,0)),"N/A ")</f>
        <v xml:space="preserve">N/A </v>
      </c>
      <c r="AE54" s="391">
        <f t="array" ref="AE54">IFERROR(INDEX('FY25 By Venue Financials'!$P$10:$BF$274,MATCH($C54,'FY25 By Venue Financials'!$H$10:$H$274,0),MATCH(AE$8,'FY25 By Venue Financials'!$P$4:$BF$4,0)),"N/A ")</f>
        <v>0</v>
      </c>
      <c r="AF54" s="391">
        <f t="array" ref="AF54">IFERROR(INDEX('FY25 By Venue Financials'!$P$10:$BF$274,MATCH($C54,'FY25 By Venue Financials'!$H$10:$H$274,0),MATCH(AF$8,'FY25 By Venue Financials'!$P$4:$BF$4,0)),"N/A ")</f>
        <v>3.75</v>
      </c>
      <c r="AG54" s="391">
        <f t="array" ref="AG54">IFERROR(INDEX('FY25 By Venue Financials'!$P$10:$BF$274,MATCH($C54,'FY25 By Venue Financials'!$H$10:$H$274,0),MATCH(AG$8,'FY25 By Venue Financials'!$P$4:$BF$4,0)),"N/A ")</f>
        <v>7</v>
      </c>
      <c r="AH54" s="391">
        <f t="array" ref="AH54">IFERROR(INDEX('FY25 By Venue Financials'!$P$10:$BF$274,MATCH($C54,'FY25 By Venue Financials'!$H$10:$H$274,0),MATCH(AH$8,'FY25 By Venue Financials'!$P$4:$BF$4,0)),"N/A ")</f>
        <v>5.5250000000000004</v>
      </c>
      <c r="AI54" s="391">
        <f t="array" ref="AI54">IFERROR(INDEX('FY25 By Venue Financials'!$P$10:$BF$274,MATCH($C54,'FY25 By Venue Financials'!$H$10:$H$274,0),MATCH(AI$8,'FY25 By Venue Financials'!$P$4:$BF$4,0)),"N/A ")</f>
        <v>0</v>
      </c>
      <c r="AJ54" s="391">
        <f t="array" ref="AJ54">IFERROR(INDEX('FY25 By Venue Financials'!$P$10:$BF$274,MATCH($C54,'FY25 By Venue Financials'!$H$10:$H$274,0),MATCH(AJ$8,'FY25 By Venue Financials'!$P$4:$BF$4,0)),"N/A ")</f>
        <v>7.75</v>
      </c>
      <c r="AK54" s="391">
        <f t="array" ref="AK54">IFERROR(INDEX('FY25 By Venue Financials'!$P$10:$BF$274,MATCH($C54,'FY25 By Venue Financials'!$H$10:$H$274,0),MATCH(AK$8,'FY25 By Venue Financials'!$P$4:$BF$4,0)),"N/A ")</f>
        <v>4.5</v>
      </c>
      <c r="AL54" s="391">
        <f t="array" ref="AL54">IFERROR(INDEX('FY25 By Venue Financials'!$P$10:$BF$274,MATCH($C54,'FY25 By Venue Financials'!$H$10:$H$274,0),MATCH(AL$8,'FY25 By Venue Financials'!$P$4:$BF$4,0)),"N/A ")</f>
        <v>2.25</v>
      </c>
      <c r="AM54" s="391">
        <f t="array" ref="AM54">IFERROR(INDEX('FY25 By Venue Financials'!$P$10:$BF$274,MATCH($C54,'FY25 By Venue Financials'!$H$10:$H$274,0),MATCH(AM$8,'FY25 By Venue Financials'!$P$4:$BF$4,0)),"N/A ")</f>
        <v>5.5</v>
      </c>
      <c r="AN54" s="391">
        <f t="array" ref="AN54">IFERROR(INDEX('FY25 By Venue Financials'!$P$10:$BF$274,MATCH($C54,'FY25 By Venue Financials'!$H$10:$H$274,0),MATCH(AN$8,'FY25 By Venue Financials'!$P$4:$BF$4,0)),"N/A ")</f>
        <v>5.5</v>
      </c>
      <c r="AO54" s="391">
        <f t="array" ref="AO54">IFERROR(INDEX('FY25 By Venue Financials'!$P$10:$BF$274,MATCH($C54,'FY25 By Venue Financials'!$H$10:$H$274,0),MATCH(AO$8,'FY25 By Venue Financials'!$P$4:$BF$4,0)),"N/A ")</f>
        <v>33.625</v>
      </c>
      <c r="AP54" s="391">
        <f t="array" ref="AP54">IFERROR(INDEX('FY25 By Venue Financials'!$P$10:$BF$274,MATCH($C54,'FY25 By Venue Financials'!$H$10:$H$274,0),MATCH(AP$8,'FY25 By Venue Financials'!$P$4:$BF$4,0)),"N/A ")</f>
        <v>0.75</v>
      </c>
      <c r="AQ54" s="391">
        <f t="array" ref="AQ54">IFERROR(INDEX('FY25 By Venue Financials'!$P$10:$BF$274,MATCH($C54,'FY25 By Venue Financials'!$H$10:$H$274,0),MATCH(AQ$8,'FY25 By Venue Financials'!$P$4:$BF$4,0)),"N/A ")</f>
        <v>54.5</v>
      </c>
      <c r="AR54" s="391">
        <f t="array" ref="AR54">IFERROR(INDEX('FY25 By Venue Financials'!$P$10:$BF$274,MATCH($C54,'FY25 By Venue Financials'!$H$10:$H$274,0),MATCH(AR$8,'FY25 By Venue Financials'!$P$4:$BF$4,0)),"N/A ")</f>
        <v>0</v>
      </c>
    </row>
    <row r="55" spans="3:44" ht="15.75" customHeight="1">
      <c r="C55" s="3" t="s">
        <v>2132</v>
      </c>
      <c r="D55" s="389">
        <f t="shared" si="48"/>
        <v>1226.7550000000001</v>
      </c>
      <c r="E55" s="390"/>
      <c r="F55" s="389">
        <f t="shared" si="49"/>
        <v>724.59699999999998</v>
      </c>
      <c r="G55" s="389">
        <f t="shared" si="50"/>
        <v>641.28499999999997</v>
      </c>
      <c r="H55" s="389">
        <f t="shared" ref="H55:J55" si="57">SUMIFS($L55:$AR55,$L$6:$AR$6,H$8)</f>
        <v>154.65799999999999</v>
      </c>
      <c r="I55" s="389">
        <f t="shared" si="57"/>
        <v>250.386</v>
      </c>
      <c r="J55" s="389">
        <f t="shared" si="57"/>
        <v>97.114000000000004</v>
      </c>
      <c r="K55" s="390"/>
      <c r="L55" s="391">
        <f t="array" ref="L55">IFERROR(INDEX('FY25 By Venue Financials'!$P$10:$BF$274,MATCH($C55,'FY25 By Venue Financials'!$H$10:$H$274,0),MATCH(L$8,'FY25 By Venue Financials'!$P$4:$BF$4,0)),"N/A ")</f>
        <v>21.785</v>
      </c>
      <c r="M55" s="391">
        <f t="array" ref="M55">IFERROR(INDEX('FY25 By Venue Financials'!$P$10:$BF$274,MATCH($C55,'FY25 By Venue Financials'!$H$10:$H$274,0),MATCH(M$8,'FY25 By Venue Financials'!$P$4:$BF$4,0)),"N/A ")</f>
        <v>48.802999999999997</v>
      </c>
      <c r="N55" s="391">
        <f t="array" ref="N55">IFERROR(INDEX('FY25 By Venue Financials'!$P$10:$BF$274,MATCH($C55,'FY25 By Venue Financials'!$H$10:$H$274,0),MATCH(N$8,'FY25 By Venue Financials'!$P$4:$BF$4,0)),"N/A ")</f>
        <v>31.169</v>
      </c>
      <c r="O55" s="391">
        <f t="array" ref="O55">IFERROR(INDEX('FY25 By Venue Financials'!$P$10:$BF$274,MATCH($C55,'FY25 By Venue Financials'!$H$10:$H$274,0),MATCH(O$8,'FY25 By Venue Financials'!$P$4:$BF$4,0)),"N/A ")</f>
        <v>57.262999999999998</v>
      </c>
      <c r="P55" s="391">
        <f t="array" ref="P55">IFERROR(INDEX('FY25 By Venue Financials'!$P$10:$BF$274,MATCH($C55,'FY25 By Venue Financials'!$H$10:$H$274,0),MATCH(P$8,'FY25 By Venue Financials'!$P$4:$BF$4,0)),"N/A ")</f>
        <v>22.593</v>
      </c>
      <c r="Q55" s="391">
        <f t="array" ref="Q55">IFERROR(INDEX('FY25 By Venue Financials'!$P$10:$BF$274,MATCH($C55,'FY25 By Venue Financials'!$H$10:$H$274,0),MATCH(Q$8,'FY25 By Venue Financials'!$P$4:$BF$4,0)),"N/A ")</f>
        <v>80.61</v>
      </c>
      <c r="R55" s="391">
        <f t="array" ref="R55">IFERROR(INDEX('FY25 By Venue Financials'!$P$10:$BF$274,MATCH($C55,'FY25 By Venue Financials'!$H$10:$H$274,0),MATCH(R$8,'FY25 By Venue Financials'!$P$4:$BF$4,0)),"N/A ")</f>
        <v>27.1</v>
      </c>
      <c r="S55" s="391">
        <f t="array" ref="S55">IFERROR(INDEX('FY25 By Venue Financials'!$P$10:$BF$274,MATCH($C55,'FY25 By Venue Financials'!$H$10:$H$274,0),MATCH(S$8,'FY25 By Venue Financials'!$P$4:$BF$4,0)),"N/A ")</f>
        <v>53.067</v>
      </c>
      <c r="T55" s="391">
        <f t="array" ref="T55">IFERROR(INDEX('FY25 By Venue Financials'!$P$10:$BF$274,MATCH($C55,'FY25 By Venue Financials'!$H$10:$H$274,0),MATCH(T$8,'FY25 By Venue Financials'!$P$4:$BF$4,0)),"N/A ")</f>
        <v>51.177</v>
      </c>
      <c r="U55" s="391">
        <f t="array" ref="U55">IFERROR(INDEX('FY25 By Venue Financials'!$P$10:$BF$274,MATCH($C55,'FY25 By Venue Financials'!$H$10:$H$274,0),MATCH(U$8,'FY25 By Venue Financials'!$P$4:$BF$4,0)),"N/A ")</f>
        <v>66.962000000000003</v>
      </c>
      <c r="V55" s="391">
        <f t="array" ref="V55">IFERROR(INDEX('FY25 By Venue Financials'!$P$10:$BF$274,MATCH($C55,'FY25 By Venue Financials'!$H$10:$H$274,0),MATCH(V$8,'FY25 By Venue Financials'!$P$4:$BF$4,0)),"N/A ")</f>
        <v>16.350000000000001</v>
      </c>
      <c r="W55" s="391">
        <f t="array" ref="W55">IFERROR(INDEX('FY25 By Venue Financials'!$P$10:$BF$274,MATCH($C55,'FY25 By Venue Financials'!$H$10:$H$274,0),MATCH(W$8,'FY25 By Venue Financials'!$P$4:$BF$4,0)),"N/A ")</f>
        <v>24.74</v>
      </c>
      <c r="X55" s="391">
        <f t="array" ref="X55">IFERROR(INDEX('FY25 By Venue Financials'!$P$10:$BF$274,MATCH($C55,'FY25 By Venue Financials'!$H$10:$H$274,0),MATCH(X$8,'FY25 By Venue Financials'!$P$4:$BF$4,0)),"N/A ")</f>
        <v>46.033000000000001</v>
      </c>
      <c r="Y55" s="391">
        <f t="array" ref="Y55">IFERROR(INDEX('FY25 By Venue Financials'!$P$10:$BF$274,MATCH($C55,'FY25 By Venue Financials'!$H$10:$H$274,0),MATCH(Y$8,'FY25 By Venue Financials'!$P$4:$BF$4,0)),"N/A ")</f>
        <v>45.631</v>
      </c>
      <c r="Z55" s="391">
        <f t="array" ref="Z55">IFERROR(INDEX('FY25 By Venue Financials'!$P$10:$BF$274,MATCH($C55,'FY25 By Venue Financials'!$H$10:$H$274,0),MATCH(Z$8,'FY25 By Venue Financials'!$P$4:$BF$4,0)),"N/A ")</f>
        <v>70.944999999999993</v>
      </c>
      <c r="AA55" s="391">
        <f t="array" ref="AA55">IFERROR(INDEX('FY25 By Venue Financials'!$P$10:$BF$274,MATCH($C55,'FY25 By Venue Financials'!$H$10:$H$274,0),MATCH(AA$8,'FY25 By Venue Financials'!$P$4:$BF$4,0)),"N/A ")</f>
        <v>23.4</v>
      </c>
      <c r="AB55" s="391">
        <f t="array" ref="AB55">IFERROR(INDEX('FY25 By Venue Financials'!$P$10:$BF$274,MATCH($C55,'FY25 By Venue Financials'!$H$10:$H$274,0),MATCH(AB$8,'FY25 By Venue Financials'!$P$4:$BF$4,0)),"N/A ")</f>
        <v>27.212</v>
      </c>
      <c r="AC55" s="391">
        <f t="array" ref="AC55">IFERROR(INDEX('FY25 By Venue Financials'!$P$10:$BF$274,MATCH($C55,'FY25 By Venue Financials'!$H$10:$H$274,0),MATCH(AC$8,'FY25 By Venue Financials'!$P$4:$BF$4,0)),"N/A ")</f>
        <v>64.704999999999998</v>
      </c>
      <c r="AD55" s="391" t="str">
        <f t="array" ref="AD55">IFERROR(INDEX('FY25 By Venue Financials'!$P$10:$BF$274,MATCH($C55,'FY25 By Venue Financials'!$H$10:$H$274,0),MATCH(AD$8,'FY25 By Venue Financials'!$P$4:$BF$4,0)),"N/A ")</f>
        <v xml:space="preserve">N/A </v>
      </c>
      <c r="AE55" s="391">
        <f t="array" ref="AE55">IFERROR(INDEX('FY25 By Venue Financials'!$P$10:$BF$274,MATCH($C55,'FY25 By Venue Financials'!$H$10:$H$274,0),MATCH(AE$8,'FY25 By Venue Financials'!$P$4:$BF$4,0)),"N/A ")</f>
        <v>0</v>
      </c>
      <c r="AF55" s="391">
        <f t="array" ref="AF55">IFERROR(INDEX('FY25 By Venue Financials'!$P$10:$BF$274,MATCH($C55,'FY25 By Venue Financials'!$H$10:$H$274,0),MATCH(AF$8,'FY25 By Venue Financials'!$P$4:$BF$4,0)),"N/A ")</f>
        <v>19.292999999999999</v>
      </c>
      <c r="AG55" s="391">
        <f t="array" ref="AG55">IFERROR(INDEX('FY25 By Venue Financials'!$P$10:$BF$274,MATCH($C55,'FY25 By Venue Financials'!$H$10:$H$274,0),MATCH(AG$8,'FY25 By Venue Financials'!$P$4:$BF$4,0)),"N/A ")</f>
        <v>22.460999999999999</v>
      </c>
      <c r="AH55" s="391">
        <f t="array" ref="AH55">IFERROR(INDEX('FY25 By Venue Financials'!$P$10:$BF$274,MATCH($C55,'FY25 By Venue Financials'!$H$10:$H$274,0),MATCH(AH$8,'FY25 By Venue Financials'!$P$4:$BF$4,0)),"N/A ")</f>
        <v>38.167000000000002</v>
      </c>
      <c r="AI55" s="391">
        <f t="array" ref="AI55">IFERROR(INDEX('FY25 By Venue Financials'!$P$10:$BF$274,MATCH($C55,'FY25 By Venue Financials'!$H$10:$H$274,0),MATCH(AI$8,'FY25 By Venue Financials'!$P$4:$BF$4,0)),"N/A ")</f>
        <v>10.032</v>
      </c>
      <c r="AJ55" s="391">
        <f t="array" ref="AJ55">IFERROR(INDEX('FY25 By Venue Financials'!$P$10:$BF$274,MATCH($C55,'FY25 By Venue Financials'!$H$10:$H$274,0),MATCH(AJ$8,'FY25 By Venue Financials'!$P$4:$BF$4,0)),"N/A ")</f>
        <v>41.113999999999997</v>
      </c>
      <c r="AK55" s="391">
        <f t="array" ref="AK55">IFERROR(INDEX('FY25 By Venue Financials'!$P$10:$BF$274,MATCH($C55,'FY25 By Venue Financials'!$H$10:$H$274,0),MATCH(AK$8,'FY25 By Venue Financials'!$P$4:$BF$4,0)),"N/A ")</f>
        <v>36.164000000000001</v>
      </c>
      <c r="AL55" s="391">
        <f t="array" ref="AL55">IFERROR(INDEX('FY25 By Venue Financials'!$P$10:$BF$274,MATCH($C55,'FY25 By Venue Financials'!$H$10:$H$274,0),MATCH(AL$8,'FY25 By Venue Financials'!$P$4:$BF$4,0)),"N/A ")</f>
        <v>25.093</v>
      </c>
      <c r="AM55" s="391">
        <f t="array" ref="AM55">IFERROR(INDEX('FY25 By Venue Financials'!$P$10:$BF$274,MATCH($C55,'FY25 By Venue Financials'!$H$10:$H$274,0),MATCH(AM$8,'FY25 By Venue Financials'!$P$4:$BF$4,0)),"N/A ")</f>
        <v>39.728999999999999</v>
      </c>
      <c r="AN55" s="391">
        <f t="array" ref="AN55">IFERROR(INDEX('FY25 By Venue Financials'!$P$10:$BF$274,MATCH($C55,'FY25 By Venue Financials'!$H$10:$H$274,0),MATCH(AN$8,'FY25 By Venue Financials'!$P$4:$BF$4,0)),"N/A ")</f>
        <v>30.654</v>
      </c>
      <c r="AO55" s="391">
        <f t="array" ref="AO55">IFERROR(INDEX('FY25 By Venue Financials'!$P$10:$BF$274,MATCH($C55,'FY25 By Venue Financials'!$H$10:$H$274,0),MATCH(AO$8,'FY25 By Venue Financials'!$P$4:$BF$4,0)),"N/A ")</f>
        <v>71.531999999999996</v>
      </c>
      <c r="AP55" s="391">
        <f t="array" ref="AP55">IFERROR(INDEX('FY25 By Venue Financials'!$P$10:$BF$274,MATCH($C55,'FY25 By Venue Financials'!$H$10:$H$274,0),MATCH(AP$8,'FY25 By Venue Financials'!$P$4:$BF$4,0)),"N/A ")</f>
        <v>6.1</v>
      </c>
      <c r="AQ55" s="391">
        <f t="array" ref="AQ55">IFERROR(INDEX('FY25 By Venue Financials'!$P$10:$BF$274,MATCH($C55,'FY25 By Venue Financials'!$H$10:$H$274,0),MATCH(AQ$8,'FY25 By Venue Financials'!$P$4:$BF$4,0)),"N/A ")</f>
        <v>97.114000000000004</v>
      </c>
      <c r="AR55" s="391">
        <f t="array" ref="AR55">IFERROR(INDEX('FY25 By Venue Financials'!$P$10:$BF$274,MATCH($C55,'FY25 By Venue Financials'!$H$10:$H$274,0),MATCH(AR$8,'FY25 By Venue Financials'!$P$4:$BF$4,0)),"N/A ")</f>
        <v>9.7569999999999997</v>
      </c>
    </row>
    <row r="56" spans="3:44" ht="15.75" customHeight="1">
      <c r="C56" s="3" t="s">
        <v>2133</v>
      </c>
      <c r="D56" s="389">
        <f t="shared" si="48"/>
        <v>16.5</v>
      </c>
      <c r="E56" s="390"/>
      <c r="F56" s="389">
        <f t="shared" si="49"/>
        <v>14.3</v>
      </c>
      <c r="G56" s="389">
        <f t="shared" si="50"/>
        <v>17.600000000000001</v>
      </c>
      <c r="H56" s="389">
        <f t="shared" ref="H56:J56" si="58">SUMIFS($L56:$AR56,$L$6:$AR$6,H$8)</f>
        <v>2.2000000000000002</v>
      </c>
      <c r="I56" s="389">
        <f t="shared" si="58"/>
        <v>0</v>
      </c>
      <c r="J56" s="389">
        <f t="shared" si="58"/>
        <v>0</v>
      </c>
      <c r="K56" s="390"/>
      <c r="L56" s="391">
        <f t="array" ref="L56">IFERROR(INDEX('FY25 By Venue Financials'!$P$10:$BF$274,MATCH($C56,'FY25 By Venue Financials'!$H$10:$H$274,0),MATCH(L$8,'FY25 By Venue Financials'!$P$4:$BF$4,0)),"N/A ")</f>
        <v>0</v>
      </c>
      <c r="M56" s="391">
        <f t="array" ref="M56">IFERROR(INDEX('FY25 By Venue Financials'!$P$10:$BF$274,MATCH($C56,'FY25 By Venue Financials'!$H$10:$H$274,0),MATCH(M$8,'FY25 By Venue Financials'!$P$4:$BF$4,0)),"N/A ")</f>
        <v>0</v>
      </c>
      <c r="N56" s="391">
        <f t="array" ref="N56">IFERROR(INDEX('FY25 By Venue Financials'!$P$10:$BF$274,MATCH($C56,'FY25 By Venue Financials'!$H$10:$H$274,0),MATCH(N$8,'FY25 By Venue Financials'!$P$4:$BF$4,0)),"N/A ")</f>
        <v>0</v>
      </c>
      <c r="O56" s="391">
        <f t="array" ref="O56">IFERROR(INDEX('FY25 By Venue Financials'!$P$10:$BF$274,MATCH($C56,'FY25 By Venue Financials'!$H$10:$H$274,0),MATCH(O$8,'FY25 By Venue Financials'!$P$4:$BF$4,0)),"N/A ")</f>
        <v>3.96</v>
      </c>
      <c r="P56" s="391">
        <f t="array" ref="P56">IFERROR(INDEX('FY25 By Venue Financials'!$P$10:$BF$274,MATCH($C56,'FY25 By Venue Financials'!$H$10:$H$274,0),MATCH(P$8,'FY25 By Venue Financials'!$P$4:$BF$4,0)),"N/A ")</f>
        <v>2.2000000000000002</v>
      </c>
      <c r="Q56" s="391">
        <f t="array" ref="Q56">IFERROR(INDEX('FY25 By Venue Financials'!$P$10:$BF$274,MATCH($C56,'FY25 By Venue Financials'!$H$10:$H$274,0),MATCH(Q$8,'FY25 By Venue Financials'!$P$4:$BF$4,0)),"N/A ")</f>
        <v>2.2000000000000002</v>
      </c>
      <c r="R56" s="391">
        <f t="array" ref="R56">IFERROR(INDEX('FY25 By Venue Financials'!$P$10:$BF$274,MATCH($C56,'FY25 By Venue Financials'!$H$10:$H$274,0),MATCH(R$8,'FY25 By Venue Financials'!$P$4:$BF$4,0)),"N/A ")</f>
        <v>0</v>
      </c>
      <c r="S56" s="391">
        <f t="array" ref="S56">IFERROR(INDEX('FY25 By Venue Financials'!$P$10:$BF$274,MATCH($C56,'FY25 By Venue Financials'!$H$10:$H$274,0),MATCH(S$8,'FY25 By Venue Financials'!$P$4:$BF$4,0)),"N/A ")</f>
        <v>0</v>
      </c>
      <c r="T56" s="391">
        <f t="array" ref="T56">IFERROR(INDEX('FY25 By Venue Financials'!$P$10:$BF$274,MATCH($C56,'FY25 By Venue Financials'!$H$10:$H$274,0),MATCH(T$8,'FY25 By Venue Financials'!$P$4:$BF$4,0)),"N/A ")</f>
        <v>2.2000000000000002</v>
      </c>
      <c r="U56" s="391">
        <f t="array" ref="U56">IFERROR(INDEX('FY25 By Venue Financials'!$P$10:$BF$274,MATCH($C56,'FY25 By Venue Financials'!$H$10:$H$274,0),MATCH(U$8,'FY25 By Venue Financials'!$P$4:$BF$4,0)),"N/A ")</f>
        <v>-3.3</v>
      </c>
      <c r="V56" s="391">
        <f t="array" ref="V56">IFERROR(INDEX('FY25 By Venue Financials'!$P$10:$BF$274,MATCH($C56,'FY25 By Venue Financials'!$H$10:$H$274,0),MATCH(V$8,'FY25 By Venue Financials'!$P$4:$BF$4,0)),"N/A ")</f>
        <v>0</v>
      </c>
      <c r="W56" s="391">
        <f t="array" ref="W56">IFERROR(INDEX('FY25 By Venue Financials'!$P$10:$BF$274,MATCH($C56,'FY25 By Venue Financials'!$H$10:$H$274,0),MATCH(W$8,'FY25 By Venue Financials'!$P$4:$BF$4,0)),"N/A ")</f>
        <v>0</v>
      </c>
      <c r="X56" s="391">
        <f t="array" ref="X56">IFERROR(INDEX('FY25 By Venue Financials'!$P$10:$BF$274,MATCH($C56,'FY25 By Venue Financials'!$H$10:$H$274,0),MATCH(X$8,'FY25 By Venue Financials'!$P$4:$BF$4,0)),"N/A ")</f>
        <v>0</v>
      </c>
      <c r="Y56" s="391">
        <f t="array" ref="Y56">IFERROR(INDEX('FY25 By Venue Financials'!$P$10:$BF$274,MATCH($C56,'FY25 By Venue Financials'!$H$10:$H$274,0),MATCH(Y$8,'FY25 By Venue Financials'!$P$4:$BF$4,0)),"N/A ")</f>
        <v>0</v>
      </c>
      <c r="Z56" s="391">
        <f t="array" ref="Z56">IFERROR(INDEX('FY25 By Venue Financials'!$P$10:$BF$274,MATCH($C56,'FY25 By Venue Financials'!$H$10:$H$274,0),MATCH(Z$8,'FY25 By Venue Financials'!$P$4:$BF$4,0)),"N/A ")</f>
        <v>4.4000000000000004</v>
      </c>
      <c r="AA56" s="391">
        <f t="array" ref="AA56">IFERROR(INDEX('FY25 By Venue Financials'!$P$10:$BF$274,MATCH($C56,'FY25 By Venue Financials'!$H$10:$H$274,0),MATCH(AA$8,'FY25 By Venue Financials'!$P$4:$BF$4,0)),"N/A ")</f>
        <v>2.64</v>
      </c>
      <c r="AB56" s="391">
        <f t="array" ref="AB56">IFERROR(INDEX('FY25 By Venue Financials'!$P$10:$BF$274,MATCH($C56,'FY25 By Venue Financials'!$H$10:$H$274,0),MATCH(AB$8,'FY25 By Venue Financials'!$P$4:$BF$4,0)),"N/A ")</f>
        <v>0</v>
      </c>
      <c r="AC56" s="391">
        <f t="array" ref="AC56">IFERROR(INDEX('FY25 By Venue Financials'!$P$10:$BF$274,MATCH($C56,'FY25 By Venue Financials'!$H$10:$H$274,0),MATCH(AC$8,'FY25 By Venue Financials'!$P$4:$BF$4,0)),"N/A ")</f>
        <v>0</v>
      </c>
      <c r="AD56" s="391" t="str">
        <f t="array" ref="AD56">IFERROR(INDEX('FY25 By Venue Financials'!$P$10:$BF$274,MATCH($C56,'FY25 By Venue Financials'!$H$10:$H$274,0),MATCH(AD$8,'FY25 By Venue Financials'!$P$4:$BF$4,0)),"N/A ")</f>
        <v xml:space="preserve">N/A </v>
      </c>
      <c r="AE56" s="391">
        <f t="array" ref="AE56">IFERROR(INDEX('FY25 By Venue Financials'!$P$10:$BF$274,MATCH($C56,'FY25 By Venue Financials'!$H$10:$H$274,0),MATCH(AE$8,'FY25 By Venue Financials'!$P$4:$BF$4,0)),"N/A ")</f>
        <v>0</v>
      </c>
      <c r="AF56" s="391">
        <f t="array" ref="AF56">IFERROR(INDEX('FY25 By Venue Financials'!$P$10:$BF$274,MATCH($C56,'FY25 By Venue Financials'!$H$10:$H$274,0),MATCH(AF$8,'FY25 By Venue Financials'!$P$4:$BF$4,0)),"N/A ")</f>
        <v>2.2000000000000002</v>
      </c>
      <c r="AG56" s="391">
        <f t="array" ref="AG56">IFERROR(INDEX('FY25 By Venue Financials'!$P$10:$BF$274,MATCH($C56,'FY25 By Venue Financials'!$H$10:$H$274,0),MATCH(AG$8,'FY25 By Venue Financials'!$P$4:$BF$4,0)),"N/A ")</f>
        <v>0</v>
      </c>
      <c r="AH56" s="391">
        <f t="array" ref="AH56">IFERROR(INDEX('FY25 By Venue Financials'!$P$10:$BF$274,MATCH($C56,'FY25 By Venue Financials'!$H$10:$H$274,0),MATCH(AH$8,'FY25 By Venue Financials'!$P$4:$BF$4,0)),"N/A ")</f>
        <v>0</v>
      </c>
      <c r="AI56" s="391">
        <f t="array" ref="AI56">IFERROR(INDEX('FY25 By Venue Financials'!$P$10:$BF$274,MATCH($C56,'FY25 By Venue Financials'!$H$10:$H$274,0),MATCH(AI$8,'FY25 By Venue Financials'!$P$4:$BF$4,0)),"N/A ")</f>
        <v>0</v>
      </c>
      <c r="AJ56" s="391">
        <f t="array" ref="AJ56">IFERROR(INDEX('FY25 By Venue Financials'!$P$10:$BF$274,MATCH($C56,'FY25 By Venue Financials'!$H$10:$H$274,0),MATCH(AJ$8,'FY25 By Venue Financials'!$P$4:$BF$4,0)),"N/A ")</f>
        <v>0</v>
      </c>
      <c r="AK56" s="391">
        <f t="array" ref="AK56">IFERROR(INDEX('FY25 By Venue Financials'!$P$10:$BF$274,MATCH($C56,'FY25 By Venue Financials'!$H$10:$H$274,0),MATCH(AK$8,'FY25 By Venue Financials'!$P$4:$BF$4,0)),"N/A ")</f>
        <v>0</v>
      </c>
      <c r="AL56" s="391">
        <f t="array" ref="AL56">IFERROR(INDEX('FY25 By Venue Financials'!$P$10:$BF$274,MATCH($C56,'FY25 By Venue Financials'!$H$10:$H$274,0),MATCH(AL$8,'FY25 By Venue Financials'!$P$4:$BF$4,0)),"N/A ")</f>
        <v>0</v>
      </c>
      <c r="AM56" s="391">
        <f t="array" ref="AM56">IFERROR(INDEX('FY25 By Venue Financials'!$P$10:$BF$274,MATCH($C56,'FY25 By Venue Financials'!$H$10:$H$274,0),MATCH(AM$8,'FY25 By Venue Financials'!$P$4:$BF$4,0)),"N/A ")</f>
        <v>0</v>
      </c>
      <c r="AN56" s="391">
        <f t="array" ref="AN56">IFERROR(INDEX('FY25 By Venue Financials'!$P$10:$BF$274,MATCH($C56,'FY25 By Venue Financials'!$H$10:$H$274,0),MATCH(AN$8,'FY25 By Venue Financials'!$P$4:$BF$4,0)),"N/A ")</f>
        <v>0</v>
      </c>
      <c r="AO56" s="391">
        <f t="array" ref="AO56">IFERROR(INDEX('FY25 By Venue Financials'!$P$10:$BF$274,MATCH($C56,'FY25 By Venue Financials'!$H$10:$H$274,0),MATCH(AO$8,'FY25 By Venue Financials'!$P$4:$BF$4,0)),"N/A ")</f>
        <v>0</v>
      </c>
      <c r="AP56" s="391">
        <f t="array" ref="AP56">IFERROR(INDEX('FY25 By Venue Financials'!$P$10:$BF$274,MATCH($C56,'FY25 By Venue Financials'!$H$10:$H$274,0),MATCH(AP$8,'FY25 By Venue Financials'!$P$4:$BF$4,0)),"N/A ")</f>
        <v>0</v>
      </c>
      <c r="AQ56" s="391">
        <f t="array" ref="AQ56">IFERROR(INDEX('FY25 By Venue Financials'!$P$10:$BF$274,MATCH($C56,'FY25 By Venue Financials'!$H$10:$H$274,0),MATCH(AQ$8,'FY25 By Venue Financials'!$P$4:$BF$4,0)),"N/A ")</f>
        <v>0</v>
      </c>
      <c r="AR56" s="391">
        <f t="array" ref="AR56">IFERROR(INDEX('FY25 By Venue Financials'!$P$10:$BF$274,MATCH($C56,'FY25 By Venue Financials'!$H$10:$H$274,0),MATCH(AR$8,'FY25 By Venue Financials'!$P$4:$BF$4,0)),"N/A ")</f>
        <v>0</v>
      </c>
    </row>
    <row r="57" spans="3:44" ht="15.75" customHeight="1">
      <c r="C57" s="3" t="s">
        <v>2134</v>
      </c>
      <c r="D57" s="389">
        <f t="shared" si="48"/>
        <v>3.5</v>
      </c>
      <c r="E57" s="390"/>
      <c r="F57" s="389">
        <f t="shared" si="49"/>
        <v>3.5</v>
      </c>
      <c r="G57" s="389">
        <f t="shared" si="50"/>
        <v>3.5</v>
      </c>
      <c r="H57" s="389">
        <f t="shared" ref="H57:J57" si="59">SUMIFS($L57:$AR57,$L$6:$AR$6,H$8)</f>
        <v>0</v>
      </c>
      <c r="I57" s="389">
        <f t="shared" si="59"/>
        <v>0</v>
      </c>
      <c r="J57" s="389">
        <f t="shared" si="59"/>
        <v>0</v>
      </c>
      <c r="K57" s="390"/>
      <c r="L57" s="391">
        <f t="array" ref="L57">IFERROR(INDEX('FY25 By Venue Financials'!$P$10:$BF$274,MATCH($C57,'FY25 By Venue Financials'!$H$10:$H$274,0),MATCH(L$8,'FY25 By Venue Financials'!$P$4:$BF$4,0)),"N/A ")</f>
        <v>0</v>
      </c>
      <c r="M57" s="391">
        <f t="array" ref="M57">IFERROR(INDEX('FY25 By Venue Financials'!$P$10:$BF$274,MATCH($C57,'FY25 By Venue Financials'!$H$10:$H$274,0),MATCH(M$8,'FY25 By Venue Financials'!$P$4:$BF$4,0)),"N/A ")</f>
        <v>0.5</v>
      </c>
      <c r="N57" s="391">
        <f t="array" ref="N57">IFERROR(INDEX('FY25 By Venue Financials'!$P$10:$BF$274,MATCH($C57,'FY25 By Venue Financials'!$H$10:$H$274,0),MATCH(N$8,'FY25 By Venue Financials'!$P$4:$BF$4,0)),"N/A ")</f>
        <v>0.5</v>
      </c>
      <c r="O57" s="391">
        <f t="array" ref="O57">IFERROR(INDEX('FY25 By Venue Financials'!$P$10:$BF$274,MATCH($C57,'FY25 By Venue Financials'!$H$10:$H$274,0),MATCH(O$8,'FY25 By Venue Financials'!$P$4:$BF$4,0)),"N/A ")</f>
        <v>0</v>
      </c>
      <c r="P57" s="391">
        <f t="array" ref="P57">IFERROR(INDEX('FY25 By Venue Financials'!$P$10:$BF$274,MATCH($C57,'FY25 By Venue Financials'!$H$10:$H$274,0),MATCH(P$8,'FY25 By Venue Financials'!$P$4:$BF$4,0)),"N/A ")</f>
        <v>0</v>
      </c>
      <c r="Q57" s="391">
        <f t="array" ref="Q57">IFERROR(INDEX('FY25 By Venue Financials'!$P$10:$BF$274,MATCH($C57,'FY25 By Venue Financials'!$H$10:$H$274,0),MATCH(Q$8,'FY25 By Venue Financials'!$P$4:$BF$4,0)),"N/A ")</f>
        <v>0.5</v>
      </c>
      <c r="R57" s="391">
        <f t="array" ref="R57">IFERROR(INDEX('FY25 By Venue Financials'!$P$10:$BF$274,MATCH($C57,'FY25 By Venue Financials'!$H$10:$H$274,0),MATCH(R$8,'FY25 By Venue Financials'!$P$4:$BF$4,0)),"N/A ")</f>
        <v>0</v>
      </c>
      <c r="S57" s="391">
        <f t="array" ref="S57">IFERROR(INDEX('FY25 By Venue Financials'!$P$10:$BF$274,MATCH($C57,'FY25 By Venue Financials'!$H$10:$H$274,0),MATCH(S$8,'FY25 By Venue Financials'!$P$4:$BF$4,0)),"N/A ")</f>
        <v>0.5</v>
      </c>
      <c r="T57" s="391">
        <f t="array" ref="T57">IFERROR(INDEX('FY25 By Venue Financials'!$P$10:$BF$274,MATCH($C57,'FY25 By Venue Financials'!$H$10:$H$274,0),MATCH(T$8,'FY25 By Venue Financials'!$P$4:$BF$4,0)),"N/A ")</f>
        <v>0.5</v>
      </c>
      <c r="U57" s="391">
        <f t="array" ref="U57">IFERROR(INDEX('FY25 By Venue Financials'!$P$10:$BF$274,MATCH($C57,'FY25 By Venue Financials'!$H$10:$H$274,0),MATCH(U$8,'FY25 By Venue Financials'!$P$4:$BF$4,0)),"N/A ")</f>
        <v>0</v>
      </c>
      <c r="V57" s="391">
        <f t="array" ref="V57">IFERROR(INDEX('FY25 By Venue Financials'!$P$10:$BF$274,MATCH($C57,'FY25 By Venue Financials'!$H$10:$H$274,0),MATCH(V$8,'FY25 By Venue Financials'!$P$4:$BF$4,0)),"N/A ")</f>
        <v>0</v>
      </c>
      <c r="W57" s="391">
        <f t="array" ref="W57">IFERROR(INDEX('FY25 By Venue Financials'!$P$10:$BF$274,MATCH($C57,'FY25 By Venue Financials'!$H$10:$H$274,0),MATCH(W$8,'FY25 By Venue Financials'!$P$4:$BF$4,0)),"N/A ")</f>
        <v>0</v>
      </c>
      <c r="X57" s="391">
        <f t="array" ref="X57">IFERROR(INDEX('FY25 By Venue Financials'!$P$10:$BF$274,MATCH($C57,'FY25 By Venue Financials'!$H$10:$H$274,0),MATCH(X$8,'FY25 By Venue Financials'!$P$4:$BF$4,0)),"N/A ")</f>
        <v>0</v>
      </c>
      <c r="Y57" s="391">
        <f t="array" ref="Y57">IFERROR(INDEX('FY25 By Venue Financials'!$P$10:$BF$274,MATCH($C57,'FY25 By Venue Financials'!$H$10:$H$274,0),MATCH(Y$8,'FY25 By Venue Financials'!$P$4:$BF$4,0)),"N/A ")</f>
        <v>0</v>
      </c>
      <c r="Z57" s="391">
        <f t="array" ref="Z57">IFERROR(INDEX('FY25 By Venue Financials'!$P$10:$BF$274,MATCH($C57,'FY25 By Venue Financials'!$H$10:$H$274,0),MATCH(Z$8,'FY25 By Venue Financials'!$P$4:$BF$4,0)),"N/A ")</f>
        <v>0.5</v>
      </c>
      <c r="AA57" s="391">
        <f t="array" ref="AA57">IFERROR(INDEX('FY25 By Venue Financials'!$P$10:$BF$274,MATCH($C57,'FY25 By Venue Financials'!$H$10:$H$274,0),MATCH(AA$8,'FY25 By Venue Financials'!$P$4:$BF$4,0)),"N/A ")</f>
        <v>0.5</v>
      </c>
      <c r="AB57" s="391">
        <f t="array" ref="AB57">IFERROR(INDEX('FY25 By Venue Financials'!$P$10:$BF$274,MATCH($C57,'FY25 By Venue Financials'!$H$10:$H$274,0),MATCH(AB$8,'FY25 By Venue Financials'!$P$4:$BF$4,0)),"N/A ")</f>
        <v>0</v>
      </c>
      <c r="AC57" s="391">
        <f t="array" ref="AC57">IFERROR(INDEX('FY25 By Venue Financials'!$P$10:$BF$274,MATCH($C57,'FY25 By Venue Financials'!$H$10:$H$274,0),MATCH(AC$8,'FY25 By Venue Financials'!$P$4:$BF$4,0)),"N/A ")</f>
        <v>0</v>
      </c>
      <c r="AD57" s="391" t="str">
        <f t="array" ref="AD57">IFERROR(INDEX('FY25 By Venue Financials'!$P$10:$BF$274,MATCH($C57,'FY25 By Venue Financials'!$H$10:$H$274,0),MATCH(AD$8,'FY25 By Venue Financials'!$P$4:$BF$4,0)),"N/A ")</f>
        <v xml:space="preserve">N/A </v>
      </c>
      <c r="AE57" s="391">
        <f t="array" ref="AE57">IFERROR(INDEX('FY25 By Venue Financials'!$P$10:$BF$274,MATCH($C57,'FY25 By Venue Financials'!$H$10:$H$274,0),MATCH(AE$8,'FY25 By Venue Financials'!$P$4:$BF$4,0)),"N/A ")</f>
        <v>0</v>
      </c>
      <c r="AF57" s="391">
        <f t="array" ref="AF57">IFERROR(INDEX('FY25 By Venue Financials'!$P$10:$BF$274,MATCH($C57,'FY25 By Venue Financials'!$H$10:$H$274,0),MATCH(AF$8,'FY25 By Venue Financials'!$P$4:$BF$4,0)),"N/A ")</f>
        <v>0</v>
      </c>
      <c r="AG57" s="391">
        <f t="array" ref="AG57">IFERROR(INDEX('FY25 By Venue Financials'!$P$10:$BF$274,MATCH($C57,'FY25 By Venue Financials'!$H$10:$H$274,0),MATCH(AG$8,'FY25 By Venue Financials'!$P$4:$BF$4,0)),"N/A ")</f>
        <v>0</v>
      </c>
      <c r="AH57" s="391">
        <f t="array" ref="AH57">IFERROR(INDEX('FY25 By Venue Financials'!$P$10:$BF$274,MATCH($C57,'FY25 By Venue Financials'!$H$10:$H$274,0),MATCH(AH$8,'FY25 By Venue Financials'!$P$4:$BF$4,0)),"N/A ")</f>
        <v>0</v>
      </c>
      <c r="AI57" s="391">
        <f t="array" ref="AI57">IFERROR(INDEX('FY25 By Venue Financials'!$P$10:$BF$274,MATCH($C57,'FY25 By Venue Financials'!$H$10:$H$274,0),MATCH(AI$8,'FY25 By Venue Financials'!$P$4:$BF$4,0)),"N/A ")</f>
        <v>0</v>
      </c>
      <c r="AJ57" s="391">
        <f t="array" ref="AJ57">IFERROR(INDEX('FY25 By Venue Financials'!$P$10:$BF$274,MATCH($C57,'FY25 By Venue Financials'!$H$10:$H$274,0),MATCH(AJ$8,'FY25 By Venue Financials'!$P$4:$BF$4,0)),"N/A ")</f>
        <v>0</v>
      </c>
      <c r="AK57" s="391">
        <f t="array" ref="AK57">IFERROR(INDEX('FY25 By Venue Financials'!$P$10:$BF$274,MATCH($C57,'FY25 By Venue Financials'!$H$10:$H$274,0),MATCH(AK$8,'FY25 By Venue Financials'!$P$4:$BF$4,0)),"N/A ")</f>
        <v>0</v>
      </c>
      <c r="AL57" s="391">
        <f t="array" ref="AL57">IFERROR(INDEX('FY25 By Venue Financials'!$P$10:$BF$274,MATCH($C57,'FY25 By Venue Financials'!$H$10:$H$274,0),MATCH(AL$8,'FY25 By Venue Financials'!$P$4:$BF$4,0)),"N/A ")</f>
        <v>0</v>
      </c>
      <c r="AM57" s="391">
        <f t="array" ref="AM57">IFERROR(INDEX('FY25 By Venue Financials'!$P$10:$BF$274,MATCH($C57,'FY25 By Venue Financials'!$H$10:$H$274,0),MATCH(AM$8,'FY25 By Venue Financials'!$P$4:$BF$4,0)),"N/A ")</f>
        <v>0</v>
      </c>
      <c r="AN57" s="391">
        <f t="array" ref="AN57">IFERROR(INDEX('FY25 By Venue Financials'!$P$10:$BF$274,MATCH($C57,'FY25 By Venue Financials'!$H$10:$H$274,0),MATCH(AN$8,'FY25 By Venue Financials'!$P$4:$BF$4,0)),"N/A ")</f>
        <v>0</v>
      </c>
      <c r="AO57" s="391">
        <f t="array" ref="AO57">IFERROR(INDEX('FY25 By Venue Financials'!$P$10:$BF$274,MATCH($C57,'FY25 By Venue Financials'!$H$10:$H$274,0),MATCH(AO$8,'FY25 By Venue Financials'!$P$4:$BF$4,0)),"N/A ")</f>
        <v>0</v>
      </c>
      <c r="AP57" s="391">
        <f t="array" ref="AP57">IFERROR(INDEX('FY25 By Venue Financials'!$P$10:$BF$274,MATCH($C57,'FY25 By Venue Financials'!$H$10:$H$274,0),MATCH(AP$8,'FY25 By Venue Financials'!$P$4:$BF$4,0)),"N/A ")</f>
        <v>0</v>
      </c>
      <c r="AQ57" s="391">
        <f t="array" ref="AQ57">IFERROR(INDEX('FY25 By Venue Financials'!$P$10:$BF$274,MATCH($C57,'FY25 By Venue Financials'!$H$10:$H$274,0),MATCH(AQ$8,'FY25 By Venue Financials'!$P$4:$BF$4,0)),"N/A ")</f>
        <v>0</v>
      </c>
      <c r="AR57" s="391">
        <f t="array" ref="AR57">IFERROR(INDEX('FY25 By Venue Financials'!$P$10:$BF$274,MATCH($C57,'FY25 By Venue Financials'!$H$10:$H$274,0),MATCH(AR$8,'FY25 By Venue Financials'!$P$4:$BF$4,0)),"N/A ")</f>
        <v>0</v>
      </c>
    </row>
    <row r="58" spans="3:44" ht="15.75" customHeight="1">
      <c r="C58" s="3" t="s">
        <v>2135</v>
      </c>
      <c r="D58" s="389">
        <f t="shared" si="48"/>
        <v>259.57054000000011</v>
      </c>
      <c r="E58" s="390"/>
      <c r="F58" s="389">
        <f t="shared" si="49"/>
        <v>174.20966000000001</v>
      </c>
      <c r="G58" s="389">
        <f t="shared" si="50"/>
        <v>150.81842000000003</v>
      </c>
      <c r="H58" s="389">
        <f t="shared" ref="H58:J58" si="60">SUMIFS($L58:$AR58,$L$6:$AR$6,H$8)</f>
        <v>93.960549999999998</v>
      </c>
      <c r="I58" s="389">
        <f t="shared" si="60"/>
        <v>33.416329999999988</v>
      </c>
      <c r="J58" s="389">
        <f t="shared" si="60"/>
        <v>-42.015999999999998</v>
      </c>
      <c r="K58" s="390"/>
      <c r="L58" s="391">
        <f t="array" ref="L58">IFERROR(INDEX('FY25 By Venue Financials'!$P$10:$BF$274,MATCH($C58,'FY25 By Venue Financials'!$H$10:$H$274,0),MATCH(L$8,'FY25 By Venue Financials'!$P$4:$BF$4,0)),"N/A ")</f>
        <v>9.2349999999999994</v>
      </c>
      <c r="M58" s="391">
        <f t="array" ref="M58">IFERROR(INDEX('FY25 By Venue Financials'!$P$10:$BF$274,MATCH($C58,'FY25 By Venue Financials'!$H$10:$H$274,0),MATCH(M$8,'FY25 By Venue Financials'!$P$4:$BF$4,0)),"N/A ")</f>
        <v>3.9035000000000002</v>
      </c>
      <c r="N58" s="391">
        <f t="array" ref="N58">IFERROR(INDEX('FY25 By Venue Financials'!$P$10:$BF$274,MATCH($C58,'FY25 By Venue Financials'!$H$10:$H$274,0),MATCH(N$8,'FY25 By Venue Financials'!$P$4:$BF$4,0)),"N/A ")</f>
        <v>18.408999999999999</v>
      </c>
      <c r="O58" s="391">
        <f t="array" ref="O58">IFERROR(INDEX('FY25 By Venue Financials'!$P$10:$BF$274,MATCH($C58,'FY25 By Venue Financials'!$H$10:$H$274,0),MATCH(O$8,'FY25 By Venue Financials'!$P$4:$BF$4,0)),"N/A ")</f>
        <v>33.135309999999997</v>
      </c>
      <c r="P58" s="391">
        <f t="array" ref="P58">IFERROR(INDEX('FY25 By Venue Financials'!$P$10:$BF$274,MATCH($C58,'FY25 By Venue Financials'!$H$10:$H$274,0),MATCH(P$8,'FY25 By Venue Financials'!$P$4:$BF$4,0)),"N/A ")</f>
        <v>8.6255000000000006</v>
      </c>
      <c r="Q58" s="391">
        <f t="array" ref="Q58">IFERROR(INDEX('FY25 By Venue Financials'!$P$10:$BF$274,MATCH($C58,'FY25 By Venue Financials'!$H$10:$H$274,0),MATCH(Q$8,'FY25 By Venue Financials'!$P$4:$BF$4,0)),"N/A ")</f>
        <v>12.012600000000001</v>
      </c>
      <c r="R58" s="391">
        <f t="array" ref="R58">IFERROR(INDEX('FY25 By Venue Financials'!$P$10:$BF$274,MATCH($C58,'FY25 By Venue Financials'!$H$10:$H$274,0),MATCH(R$8,'FY25 By Venue Financials'!$P$4:$BF$4,0)),"N/A ")</f>
        <v>6.6855000000000002</v>
      </c>
      <c r="S58" s="391">
        <f t="array" ref="S58">IFERROR(INDEX('FY25 By Venue Financials'!$P$10:$BF$274,MATCH($C58,'FY25 By Venue Financials'!$H$10:$H$274,0),MATCH(S$8,'FY25 By Venue Financials'!$P$4:$BF$4,0)),"N/A ")</f>
        <v>16.012499999999999</v>
      </c>
      <c r="T58" s="391">
        <f t="array" ref="T58">IFERROR(INDEX('FY25 By Venue Financials'!$P$10:$BF$274,MATCH($C58,'FY25 By Venue Financials'!$H$10:$H$274,0),MATCH(T$8,'FY25 By Venue Financials'!$P$4:$BF$4,0)),"N/A ")</f>
        <v>16.523</v>
      </c>
      <c r="U58" s="391">
        <f t="array" ref="U58">IFERROR(INDEX('FY25 By Venue Financials'!$P$10:$BF$274,MATCH($C58,'FY25 By Venue Financials'!$H$10:$H$274,0),MATCH(U$8,'FY25 By Venue Financials'!$P$4:$BF$4,0)),"N/A ")</f>
        <v>3.0482399999999998</v>
      </c>
      <c r="V58" s="391">
        <f t="array" ref="V58">IFERROR(INDEX('FY25 By Venue Financials'!$P$10:$BF$274,MATCH($C58,'FY25 By Venue Financials'!$H$10:$H$274,0),MATCH(V$8,'FY25 By Venue Financials'!$P$4:$BF$4,0)),"N/A ")</f>
        <v>20.343</v>
      </c>
      <c r="W58" s="391">
        <f t="array" ref="W58">IFERROR(INDEX('FY25 By Venue Financials'!$P$10:$BF$274,MATCH($C58,'FY25 By Venue Financials'!$H$10:$H$274,0),MATCH(W$8,'FY25 By Venue Financials'!$P$4:$BF$4,0)),"N/A ")</f>
        <v>8.8800000000000008</v>
      </c>
      <c r="X58" s="391">
        <f t="array" ref="X58">IFERROR(INDEX('FY25 By Venue Financials'!$P$10:$BF$274,MATCH($C58,'FY25 By Venue Financials'!$H$10:$H$274,0),MATCH(X$8,'FY25 By Venue Financials'!$P$4:$BF$4,0)),"N/A ")</f>
        <v>16.386500000000002</v>
      </c>
      <c r="Y58" s="391">
        <f t="array" ref="Y58">IFERROR(INDEX('FY25 By Venue Financials'!$P$10:$BF$274,MATCH($C58,'FY25 By Venue Financials'!$H$10:$H$274,0),MATCH(Y$8,'FY25 By Venue Financials'!$P$4:$BF$4,0)),"N/A ")</f>
        <v>7.6234999999999999</v>
      </c>
      <c r="Z58" s="391">
        <f t="array" ref="Z58">IFERROR(INDEX('FY25 By Venue Financials'!$P$10:$BF$274,MATCH($C58,'FY25 By Venue Financials'!$H$10:$H$274,0),MATCH(Z$8,'FY25 By Venue Financials'!$P$4:$BF$4,0)),"N/A ")</f>
        <v>-14.492000000000001</v>
      </c>
      <c r="AA58" s="391">
        <f t="array" ref="AA58">IFERROR(INDEX('FY25 By Venue Financials'!$P$10:$BF$274,MATCH($C58,'FY25 By Venue Financials'!$H$10:$H$274,0),MATCH(AA$8,'FY25 By Venue Financials'!$P$4:$BF$4,0)),"N/A ")</f>
        <v>14.0535</v>
      </c>
      <c r="AB58" s="391">
        <f t="array" ref="AB58">IFERROR(INDEX('FY25 By Venue Financials'!$P$10:$BF$274,MATCH($C58,'FY25 By Venue Financials'!$H$10:$H$274,0),MATCH(AB$8,'FY25 By Venue Financials'!$P$4:$BF$4,0)),"N/A ")</f>
        <v>6.6650100000000005</v>
      </c>
      <c r="AC58" s="391">
        <f t="array" ref="AC58">IFERROR(INDEX('FY25 By Venue Financials'!$P$10:$BF$274,MATCH($C58,'FY25 By Venue Financials'!$H$10:$H$274,0),MATCH(AC$8,'FY25 By Venue Financials'!$P$4:$BF$4,0)),"N/A ")</f>
        <v>22.036550000000002</v>
      </c>
      <c r="AD58" s="391" t="str">
        <f t="array" ref="AD58">IFERROR(INDEX('FY25 By Venue Financials'!$P$10:$BF$274,MATCH($C58,'FY25 By Venue Financials'!$H$10:$H$274,0),MATCH(AD$8,'FY25 By Venue Financials'!$P$4:$BF$4,0)),"N/A ")</f>
        <v xml:space="preserve">N/A </v>
      </c>
      <c r="AE58" s="391">
        <f t="array" ref="AE58">IFERROR(INDEX('FY25 By Venue Financials'!$P$10:$BF$274,MATCH($C58,'FY25 By Venue Financials'!$H$10:$H$274,0),MATCH(AE$8,'FY25 By Venue Financials'!$P$4:$BF$4,0)),"N/A ")</f>
        <v>0</v>
      </c>
      <c r="AF58" s="391">
        <f t="array" ref="AF58">IFERROR(INDEX('FY25 By Venue Financials'!$P$10:$BF$274,MATCH($C58,'FY25 By Venue Financials'!$H$10:$H$274,0),MATCH(AF$8,'FY25 By Venue Financials'!$P$4:$BF$4,0)),"N/A ")</f>
        <v>9.5909999999999993</v>
      </c>
      <c r="AG58" s="391">
        <f t="array" ref="AG58">IFERROR(INDEX('FY25 By Venue Financials'!$P$10:$BF$274,MATCH($C58,'FY25 By Venue Financials'!$H$10:$H$274,0),MATCH(AG$8,'FY25 By Venue Financials'!$P$4:$BF$4,0)),"N/A ")</f>
        <v>31.768000000000001</v>
      </c>
      <c r="AH58" s="391">
        <f t="array" ref="AH58">IFERROR(INDEX('FY25 By Venue Financials'!$P$10:$BF$274,MATCH($C58,'FY25 By Venue Financials'!$H$10:$H$274,0),MATCH(AH$8,'FY25 By Venue Financials'!$P$4:$BF$4,0)),"N/A ")</f>
        <v>6.1310000000000002</v>
      </c>
      <c r="AI58" s="391">
        <f t="array" ref="AI58">IFERROR(INDEX('FY25 By Venue Financials'!$P$10:$BF$274,MATCH($C58,'FY25 By Venue Financials'!$H$10:$H$274,0),MATCH(AI$8,'FY25 By Venue Financials'!$P$4:$BF$4,0)),"N/A ")</f>
        <v>24.434000000000001</v>
      </c>
      <c r="AJ58" s="391">
        <f t="array" ref="AJ58">IFERROR(INDEX('FY25 By Venue Financials'!$P$10:$BF$274,MATCH($C58,'FY25 By Venue Financials'!$H$10:$H$274,0),MATCH(AJ$8,'FY25 By Venue Financials'!$P$4:$BF$4,0)),"N/A ")</f>
        <v>9.4369800000000001</v>
      </c>
      <c r="AK58" s="391">
        <f t="array" ref="AK58">IFERROR(INDEX('FY25 By Venue Financials'!$P$10:$BF$274,MATCH($C58,'FY25 By Venue Financials'!$H$10:$H$274,0),MATCH(AK$8,'FY25 By Venue Financials'!$P$4:$BF$4,0)),"N/A ")</f>
        <v>11.29499</v>
      </c>
      <c r="AL58" s="391">
        <f t="array" ref="AL58">IFERROR(INDEX('FY25 By Venue Financials'!$P$10:$BF$274,MATCH($C58,'FY25 By Venue Financials'!$H$10:$H$274,0),MATCH(AL$8,'FY25 By Venue Financials'!$P$4:$BF$4,0)),"N/A ")</f>
        <v>15.653499999999999</v>
      </c>
      <c r="AM58" s="391">
        <f t="array" ref="AM58">IFERROR(INDEX('FY25 By Venue Financials'!$P$10:$BF$274,MATCH($C58,'FY25 By Venue Financials'!$H$10:$H$274,0),MATCH(AM$8,'FY25 By Venue Financials'!$P$4:$BF$4,0)),"N/A ")</f>
        <v>0.3499899999999998</v>
      </c>
      <c r="AN58" s="391">
        <f t="array" ref="AN58">IFERROR(INDEX('FY25 By Venue Financials'!$P$10:$BF$274,MATCH($C58,'FY25 By Venue Financials'!$H$10:$H$274,0),MATCH(AN$8,'FY25 By Venue Financials'!$P$4:$BF$4,0)),"N/A ")</f>
        <v>11.337</v>
      </c>
      <c r="AO58" s="391">
        <f t="array" ref="AO58">IFERROR(INDEX('FY25 By Venue Financials'!$P$10:$BF$274,MATCH($C58,'FY25 By Venue Financials'!$H$10:$H$274,0),MATCH(AO$8,'FY25 By Venue Financials'!$P$4:$BF$4,0)),"N/A ")</f>
        <v>-12.51613</v>
      </c>
      <c r="AP58" s="391">
        <f t="array" ref="AP58">IFERROR(INDEX('FY25 By Venue Financials'!$P$10:$BF$274,MATCH($C58,'FY25 By Venue Financials'!$H$10:$H$274,0),MATCH(AP$8,'FY25 By Venue Financials'!$P$4:$BF$4,0)),"N/A ")</f>
        <v>-2.14</v>
      </c>
      <c r="AQ58" s="391">
        <f t="array" ref="AQ58">IFERROR(INDEX('FY25 By Venue Financials'!$P$10:$BF$274,MATCH($C58,'FY25 By Venue Financials'!$H$10:$H$274,0),MATCH(AQ$8,'FY25 By Venue Financials'!$P$4:$BF$4,0)),"N/A ")</f>
        <v>-42.015999999999998</v>
      </c>
      <c r="AR58" s="391">
        <f t="array" ref="AR58">IFERROR(INDEX('FY25 By Venue Financials'!$P$10:$BF$274,MATCH($C58,'FY25 By Venue Financials'!$H$10:$H$274,0),MATCH(AR$8,'FY25 By Venue Financials'!$P$4:$BF$4,0)),"N/A ")</f>
        <v>-12.84</v>
      </c>
    </row>
    <row r="59" spans="3:44" ht="15.75" customHeight="1">
      <c r="C59" s="3" t="s">
        <v>2136</v>
      </c>
      <c r="D59" s="389">
        <f t="shared" si="48"/>
        <v>69</v>
      </c>
      <c r="E59" s="390"/>
      <c r="F59" s="389">
        <f t="shared" si="49"/>
        <v>39</v>
      </c>
      <c r="G59" s="389">
        <f t="shared" si="50"/>
        <v>33.5</v>
      </c>
      <c r="H59" s="389">
        <f t="shared" ref="H59:J59" si="61">SUMIFS($L59:$AR59,$L$6:$AR$6,H$8)</f>
        <v>12.25</v>
      </c>
      <c r="I59" s="389">
        <f t="shared" si="61"/>
        <v>12.75</v>
      </c>
      <c r="J59" s="389">
        <f t="shared" si="61"/>
        <v>5</v>
      </c>
      <c r="K59" s="390"/>
      <c r="L59" s="391">
        <f t="array" ref="L59">IFERROR(INDEX('FY25 By Venue Financials'!$P$10:$BF$274,MATCH($C59,'FY25 By Venue Financials'!$H$10:$H$274,0),MATCH(L$8,'FY25 By Venue Financials'!$P$4:$BF$4,0)),"N/A ")</f>
        <v>0.75</v>
      </c>
      <c r="M59" s="391">
        <f t="array" ref="M59">IFERROR(INDEX('FY25 By Venue Financials'!$P$10:$BF$274,MATCH($C59,'FY25 By Venue Financials'!$H$10:$H$274,0),MATCH(M$8,'FY25 By Venue Financials'!$P$4:$BF$4,0)),"N/A ")</f>
        <v>1.5</v>
      </c>
      <c r="N59" s="391">
        <f t="array" ref="N59">IFERROR(INDEX('FY25 By Venue Financials'!$P$10:$BF$274,MATCH($C59,'FY25 By Venue Financials'!$H$10:$H$274,0),MATCH(N$8,'FY25 By Venue Financials'!$P$4:$BF$4,0)),"N/A ")</f>
        <v>3.25</v>
      </c>
      <c r="O59" s="391">
        <f t="array" ref="O59">IFERROR(INDEX('FY25 By Venue Financials'!$P$10:$BF$274,MATCH($C59,'FY25 By Venue Financials'!$H$10:$H$274,0),MATCH(O$8,'FY25 By Venue Financials'!$P$4:$BF$4,0)),"N/A ")</f>
        <v>6.5</v>
      </c>
      <c r="P59" s="391">
        <f t="array" ref="P59">IFERROR(INDEX('FY25 By Venue Financials'!$P$10:$BF$274,MATCH($C59,'FY25 By Venue Financials'!$H$10:$H$274,0),MATCH(P$8,'FY25 By Venue Financials'!$P$4:$BF$4,0)),"N/A ")</f>
        <v>0.75</v>
      </c>
      <c r="Q59" s="391">
        <f t="array" ref="Q59">IFERROR(INDEX('FY25 By Venue Financials'!$P$10:$BF$274,MATCH($C59,'FY25 By Venue Financials'!$H$10:$H$274,0),MATCH(Q$8,'FY25 By Venue Financials'!$P$4:$BF$4,0)),"N/A ")</f>
        <v>4.5</v>
      </c>
      <c r="R59" s="391">
        <f t="array" ref="R59">IFERROR(INDEX('FY25 By Venue Financials'!$P$10:$BF$274,MATCH($C59,'FY25 By Venue Financials'!$H$10:$H$274,0),MATCH(R$8,'FY25 By Venue Financials'!$P$4:$BF$4,0)),"N/A ")</f>
        <v>1</v>
      </c>
      <c r="S59" s="391">
        <f t="array" ref="S59">IFERROR(INDEX('FY25 By Venue Financials'!$P$10:$BF$274,MATCH($C59,'FY25 By Venue Financials'!$H$10:$H$274,0),MATCH(S$8,'FY25 By Venue Financials'!$P$4:$BF$4,0)),"N/A ")</f>
        <v>2.25</v>
      </c>
      <c r="T59" s="391">
        <f t="array" ref="T59">IFERROR(INDEX('FY25 By Venue Financials'!$P$10:$BF$274,MATCH($C59,'FY25 By Venue Financials'!$H$10:$H$274,0),MATCH(T$8,'FY25 By Venue Financials'!$P$4:$BF$4,0)),"N/A ")</f>
        <v>2</v>
      </c>
      <c r="U59" s="391">
        <f t="array" ref="U59">IFERROR(INDEX('FY25 By Venue Financials'!$P$10:$BF$274,MATCH($C59,'FY25 By Venue Financials'!$H$10:$H$274,0),MATCH(U$8,'FY25 By Venue Financials'!$P$4:$BF$4,0)),"N/A ")</f>
        <v>5</v>
      </c>
      <c r="V59" s="391">
        <f t="array" ref="V59">IFERROR(INDEX('FY25 By Venue Financials'!$P$10:$BF$274,MATCH($C59,'FY25 By Venue Financials'!$H$10:$H$274,0),MATCH(V$8,'FY25 By Venue Financials'!$P$4:$BF$4,0)),"N/A ")</f>
        <v>0.5</v>
      </c>
      <c r="W59" s="391">
        <f t="array" ref="W59">IFERROR(INDEX('FY25 By Venue Financials'!$P$10:$BF$274,MATCH($C59,'FY25 By Venue Financials'!$H$10:$H$274,0),MATCH(W$8,'FY25 By Venue Financials'!$P$4:$BF$4,0)),"N/A ")</f>
        <v>0.75</v>
      </c>
      <c r="X59" s="391">
        <f t="array" ref="X59">IFERROR(INDEX('FY25 By Venue Financials'!$P$10:$BF$274,MATCH($C59,'FY25 By Venue Financials'!$H$10:$H$274,0),MATCH(X$8,'FY25 By Venue Financials'!$P$4:$BF$4,0)),"N/A ")</f>
        <v>0.75</v>
      </c>
      <c r="Y59" s="391">
        <f t="array" ref="Y59">IFERROR(INDEX('FY25 By Venue Financials'!$P$10:$BF$274,MATCH($C59,'FY25 By Venue Financials'!$H$10:$H$274,0),MATCH(Y$8,'FY25 By Venue Financials'!$P$4:$BF$4,0)),"N/A ")</f>
        <v>1</v>
      </c>
      <c r="Z59" s="391">
        <f t="array" ref="Z59">IFERROR(INDEX('FY25 By Venue Financials'!$P$10:$BF$274,MATCH($C59,'FY25 By Venue Financials'!$H$10:$H$274,0),MATCH(Z$8,'FY25 By Venue Financials'!$P$4:$BF$4,0)),"N/A ")</f>
        <v>6.75</v>
      </c>
      <c r="AA59" s="391">
        <f t="array" ref="AA59">IFERROR(INDEX('FY25 By Venue Financials'!$P$10:$BF$274,MATCH($C59,'FY25 By Venue Financials'!$H$10:$H$274,0),MATCH(AA$8,'FY25 By Venue Financials'!$P$4:$BF$4,0)),"N/A ")</f>
        <v>0.75</v>
      </c>
      <c r="AB59" s="391">
        <f t="array" ref="AB59">IFERROR(INDEX('FY25 By Venue Financials'!$P$10:$BF$274,MATCH($C59,'FY25 By Venue Financials'!$H$10:$H$274,0),MATCH(AB$8,'FY25 By Venue Financials'!$P$4:$BF$4,0)),"N/A ")</f>
        <v>1</v>
      </c>
      <c r="AC59" s="391">
        <f t="array" ref="AC59">IFERROR(INDEX('FY25 By Venue Financials'!$P$10:$BF$274,MATCH($C59,'FY25 By Venue Financials'!$H$10:$H$274,0),MATCH(AC$8,'FY25 By Venue Financials'!$P$4:$BF$4,0)),"N/A ")</f>
        <v>4.5</v>
      </c>
      <c r="AD59" s="391" t="str">
        <f t="array" ref="AD59">IFERROR(INDEX('FY25 By Venue Financials'!$P$10:$BF$274,MATCH($C59,'FY25 By Venue Financials'!$H$10:$H$274,0),MATCH(AD$8,'FY25 By Venue Financials'!$P$4:$BF$4,0)),"N/A ")</f>
        <v xml:space="preserve">N/A </v>
      </c>
      <c r="AE59" s="391">
        <f t="array" ref="AE59">IFERROR(INDEX('FY25 By Venue Financials'!$P$10:$BF$274,MATCH($C59,'FY25 By Venue Financials'!$H$10:$H$274,0),MATCH(AE$8,'FY25 By Venue Financials'!$P$4:$BF$4,0)),"N/A ")</f>
        <v>0</v>
      </c>
      <c r="AF59" s="391">
        <f t="array" ref="AF59">IFERROR(INDEX('FY25 By Venue Financials'!$P$10:$BF$274,MATCH($C59,'FY25 By Venue Financials'!$H$10:$H$274,0),MATCH(AF$8,'FY25 By Venue Financials'!$P$4:$BF$4,0)),"N/A ")</f>
        <v>1.75</v>
      </c>
      <c r="AG59" s="391">
        <f t="array" ref="AG59">IFERROR(INDEX('FY25 By Venue Financials'!$P$10:$BF$274,MATCH($C59,'FY25 By Venue Financials'!$H$10:$H$274,0),MATCH(AG$8,'FY25 By Venue Financials'!$P$4:$BF$4,0)),"N/A ")</f>
        <v>2.25</v>
      </c>
      <c r="AH59" s="391">
        <f t="array" ref="AH59">IFERROR(INDEX('FY25 By Venue Financials'!$P$10:$BF$274,MATCH($C59,'FY25 By Venue Financials'!$H$10:$H$274,0),MATCH(AH$8,'FY25 By Venue Financials'!$P$4:$BF$4,0)),"N/A ")</f>
        <v>2.25</v>
      </c>
      <c r="AI59" s="391">
        <f t="array" ref="AI59">IFERROR(INDEX('FY25 By Venue Financials'!$P$10:$BF$274,MATCH($C59,'FY25 By Venue Financials'!$H$10:$H$274,0),MATCH(AI$8,'FY25 By Venue Financials'!$P$4:$BF$4,0)),"N/A ")</f>
        <v>1.5</v>
      </c>
      <c r="AJ59" s="391">
        <f t="array" ref="AJ59">IFERROR(INDEX('FY25 By Venue Financials'!$P$10:$BF$274,MATCH($C59,'FY25 By Venue Financials'!$H$10:$H$274,0),MATCH(AJ$8,'FY25 By Venue Financials'!$P$4:$BF$4,0)),"N/A ")</f>
        <v>3</v>
      </c>
      <c r="AK59" s="391">
        <f t="array" ref="AK59">IFERROR(INDEX('FY25 By Venue Financials'!$P$10:$BF$274,MATCH($C59,'FY25 By Venue Financials'!$H$10:$H$274,0),MATCH(AK$8,'FY25 By Venue Financials'!$P$4:$BF$4,0)),"N/A ")</f>
        <v>1.5</v>
      </c>
      <c r="AL59" s="391">
        <f t="array" ref="AL59">IFERROR(INDEX('FY25 By Venue Financials'!$P$10:$BF$274,MATCH($C59,'FY25 By Venue Financials'!$H$10:$H$274,0),MATCH(AL$8,'FY25 By Venue Financials'!$P$4:$BF$4,0)),"N/A ")</f>
        <v>1</v>
      </c>
      <c r="AM59" s="391">
        <f t="array" ref="AM59">IFERROR(INDEX('FY25 By Venue Financials'!$P$10:$BF$274,MATCH($C59,'FY25 By Venue Financials'!$H$10:$H$274,0),MATCH(AM$8,'FY25 By Venue Financials'!$P$4:$BF$4,0)),"N/A ")</f>
        <v>1.25</v>
      </c>
      <c r="AN59" s="391">
        <f t="array" ref="AN59">IFERROR(INDEX('FY25 By Venue Financials'!$P$10:$BF$274,MATCH($C59,'FY25 By Venue Financials'!$H$10:$H$274,0),MATCH(AN$8,'FY25 By Venue Financials'!$P$4:$BF$4,0)),"N/A ")</f>
        <v>2</v>
      </c>
      <c r="AO59" s="391">
        <f t="array" ref="AO59">IFERROR(INDEX('FY25 By Venue Financials'!$P$10:$BF$274,MATCH($C59,'FY25 By Venue Financials'!$H$10:$H$274,0),MATCH(AO$8,'FY25 By Venue Financials'!$P$4:$BF$4,0)),"N/A ")</f>
        <v>3.5</v>
      </c>
      <c r="AP59" s="391">
        <f t="array" ref="AP59">IFERROR(INDEX('FY25 By Venue Financials'!$P$10:$BF$274,MATCH($C59,'FY25 By Venue Financials'!$H$10:$H$274,0),MATCH(AP$8,'FY25 By Venue Financials'!$P$4:$BF$4,0)),"N/A ")</f>
        <v>0.5</v>
      </c>
      <c r="AQ59" s="391">
        <f t="array" ref="AQ59">IFERROR(INDEX('FY25 By Venue Financials'!$P$10:$BF$274,MATCH($C59,'FY25 By Venue Financials'!$H$10:$H$274,0),MATCH(AQ$8,'FY25 By Venue Financials'!$P$4:$BF$4,0)),"N/A ")</f>
        <v>5</v>
      </c>
      <c r="AR59" s="391">
        <f t="array" ref="AR59">IFERROR(INDEX('FY25 By Venue Financials'!$P$10:$BF$274,MATCH($C59,'FY25 By Venue Financials'!$H$10:$H$274,0),MATCH(AR$8,'FY25 By Venue Financials'!$P$4:$BF$4,0)),"N/A ")</f>
        <v>0</v>
      </c>
    </row>
    <row r="60" spans="3:44" ht="15.75" customHeight="1">
      <c r="C60" s="3" t="s">
        <v>122</v>
      </c>
      <c r="D60" s="389">
        <f t="shared" si="48"/>
        <v>17818.092090000002</v>
      </c>
      <c r="E60" s="390"/>
      <c r="F60" s="389">
        <f t="shared" si="49"/>
        <v>9747.4759100000028</v>
      </c>
      <c r="G60" s="389">
        <f t="shared" si="50"/>
        <v>7222.2388600000031</v>
      </c>
      <c r="H60" s="389">
        <f t="shared" ref="H60:J60" si="62">SUMIFS($L60:$AR60,$L$6:$AR$6,H$8)</f>
        <v>2221.5228900000002</v>
      </c>
      <c r="I60" s="389">
        <f t="shared" si="62"/>
        <v>4331.3454800000009</v>
      </c>
      <c r="J60" s="389">
        <f t="shared" si="62"/>
        <v>1517.7478099999998</v>
      </c>
      <c r="K60" s="390"/>
      <c r="L60" s="391">
        <f t="array" ref="L60">IFERROR(INDEX('FY25 By Venue Financials'!$P$10:$BF$274,MATCH($C60,'FY25 By Venue Financials'!$H$10:$H$274,0),MATCH(L$8,'FY25 By Venue Financials'!$P$4:$BF$4,0)),"N/A ")</f>
        <v>243.13821000000002</v>
      </c>
      <c r="M60" s="391">
        <f t="array" ref="M60">IFERROR(INDEX('FY25 By Venue Financials'!$P$10:$BF$274,MATCH($C60,'FY25 By Venue Financials'!$H$10:$H$274,0),MATCH(M$8,'FY25 By Venue Financials'!$P$4:$BF$4,0)),"N/A ")</f>
        <v>365.71449999999993</v>
      </c>
      <c r="N60" s="391">
        <f t="array" ref="N60">IFERROR(INDEX('FY25 By Venue Financials'!$P$10:$BF$274,MATCH($C60,'FY25 By Venue Financials'!$H$10:$H$274,0),MATCH(N$8,'FY25 By Venue Financials'!$P$4:$BF$4,0)),"N/A ")</f>
        <v>530.53503000000001</v>
      </c>
      <c r="O60" s="391">
        <f t="array" ref="O60">IFERROR(INDEX('FY25 By Venue Financials'!$P$10:$BF$274,MATCH($C60,'FY25 By Venue Financials'!$H$10:$H$274,0),MATCH(O$8,'FY25 By Venue Financials'!$P$4:$BF$4,0)),"N/A ")</f>
        <v>713.44163000000015</v>
      </c>
      <c r="P60" s="391">
        <f t="array" ref="P60">IFERROR(INDEX('FY25 By Venue Financials'!$P$10:$BF$274,MATCH($C60,'FY25 By Venue Financials'!$H$10:$H$274,0),MATCH(P$8,'FY25 By Venue Financials'!$P$4:$BF$4,0)),"N/A ")</f>
        <v>203.31074999999996</v>
      </c>
      <c r="Q60" s="391">
        <f t="array" ref="Q60">IFERROR(INDEX('FY25 By Venue Financials'!$P$10:$BF$274,MATCH($C60,'FY25 By Venue Financials'!$H$10:$H$274,0),MATCH(Q$8,'FY25 By Venue Financials'!$P$4:$BF$4,0)),"N/A ")</f>
        <v>975.25599</v>
      </c>
      <c r="R60" s="391">
        <f t="array" ref="R60">IFERROR(INDEX('FY25 By Venue Financials'!$P$10:$BF$274,MATCH($C60,'FY25 By Venue Financials'!$H$10:$H$274,0),MATCH(R$8,'FY25 By Venue Financials'!$P$4:$BF$4,0)),"N/A ")</f>
        <v>262.43675000000002</v>
      </c>
      <c r="S60" s="391">
        <f t="array" ref="S60">IFERROR(INDEX('FY25 By Venue Financials'!$P$10:$BF$274,MATCH($C60,'FY25 By Venue Financials'!$H$10:$H$274,0),MATCH(S$8,'FY25 By Venue Financials'!$P$4:$BF$4,0)),"N/A ")</f>
        <v>664.2794100000001</v>
      </c>
      <c r="T60" s="391">
        <f t="array" ref="T60">IFERROR(INDEX('FY25 By Venue Financials'!$P$10:$BF$274,MATCH($C60,'FY25 By Venue Financials'!$H$10:$H$274,0),MATCH(T$8,'FY25 By Venue Financials'!$P$4:$BF$4,0)),"N/A ")</f>
        <v>693.17335000000003</v>
      </c>
      <c r="U60" s="391">
        <f t="array" ref="U60">IFERROR(INDEX('FY25 By Venue Financials'!$P$10:$BF$274,MATCH($C60,'FY25 By Venue Financials'!$H$10:$H$274,0),MATCH(U$8,'FY25 By Venue Financials'!$P$4:$BF$4,0)),"N/A ")</f>
        <v>2314.0226299999999</v>
      </c>
      <c r="V60" s="391">
        <f t="array" ref="V60">IFERROR(INDEX('FY25 By Venue Financials'!$P$10:$BF$274,MATCH($C60,'FY25 By Venue Financials'!$H$10:$H$274,0),MATCH(V$8,'FY25 By Venue Financials'!$P$4:$BF$4,0)),"N/A ")</f>
        <v>211.21442000000002</v>
      </c>
      <c r="W60" s="391">
        <f t="array" ref="W60">IFERROR(INDEX('FY25 By Venue Financials'!$P$10:$BF$274,MATCH($C60,'FY25 By Venue Financials'!$H$10:$H$274,0),MATCH(W$8,'FY25 By Venue Financials'!$P$4:$BF$4,0)),"N/A ")</f>
        <v>202.60583</v>
      </c>
      <c r="X60" s="391">
        <f t="array" ref="X60">IFERROR(INDEX('FY25 By Venue Financials'!$P$10:$BF$274,MATCH($C60,'FY25 By Venue Financials'!$H$10:$H$274,0),MATCH(X$8,'FY25 By Venue Financials'!$P$4:$BF$4,0)),"N/A ")</f>
        <v>545.05399999999997</v>
      </c>
      <c r="Y60" s="391">
        <f t="array" ref="Y60">IFERROR(INDEX('FY25 By Venue Financials'!$P$10:$BF$274,MATCH($C60,'FY25 By Venue Financials'!$H$10:$H$274,0),MATCH(Y$8,'FY25 By Venue Financials'!$P$4:$BF$4,0)),"N/A ")</f>
        <v>364.02024999999998</v>
      </c>
      <c r="Z60" s="391">
        <f t="array" ref="Z60">IFERROR(INDEX('FY25 By Venue Financials'!$P$10:$BF$274,MATCH($C60,'FY25 By Venue Financials'!$H$10:$H$274,0),MATCH(Z$8,'FY25 By Venue Financials'!$P$4:$BF$4,0)),"N/A ")</f>
        <v>1024.9835800000001</v>
      </c>
      <c r="AA60" s="391">
        <f t="array" ref="AA60">IFERROR(INDEX('FY25 By Venue Financials'!$P$10:$BF$274,MATCH($C60,'FY25 By Venue Financials'!$H$10:$H$274,0),MATCH(AA$8,'FY25 By Venue Financials'!$P$4:$BF$4,0)),"N/A ")</f>
        <v>246.07124999999996</v>
      </c>
      <c r="AB60" s="391">
        <f t="array" ref="AB60">IFERROR(INDEX('FY25 By Venue Financials'!$P$10:$BF$274,MATCH($C60,'FY25 By Venue Financials'!$H$10:$H$274,0),MATCH(AB$8,'FY25 By Venue Financials'!$P$4:$BF$4,0)),"N/A ")</f>
        <v>181.58501000000001</v>
      </c>
      <c r="AC60" s="391">
        <f t="array" ref="AC60">IFERROR(INDEX('FY25 By Venue Financials'!$P$10:$BF$274,MATCH($C60,'FY25 By Venue Financials'!$H$10:$H$274,0),MATCH(AC$8,'FY25 By Venue Financials'!$P$4:$BF$4,0)),"N/A ")</f>
        <v>837.8187700000002</v>
      </c>
      <c r="AD60" s="391" t="str">
        <f t="array" ref="AD60">IFERROR(INDEX('FY25 By Venue Financials'!$P$10:$BF$274,MATCH($C60,'FY25 By Venue Financials'!$H$10:$H$274,0),MATCH(AD$8,'FY25 By Venue Financials'!$P$4:$BF$4,0)),"N/A ")</f>
        <v xml:space="preserve">N/A </v>
      </c>
      <c r="AE60" s="391">
        <f t="array" ref="AE60">IFERROR(INDEX('FY25 By Venue Financials'!$P$10:$BF$274,MATCH($C60,'FY25 By Venue Financials'!$H$10:$H$274,0),MATCH(AE$8,'FY25 By Venue Financials'!$P$4:$BF$4,0)),"N/A ")</f>
        <v>0</v>
      </c>
      <c r="AF60" s="391">
        <f t="array" ref="AF60">IFERROR(INDEX('FY25 By Venue Financials'!$P$10:$BF$274,MATCH($C60,'FY25 By Venue Financials'!$H$10:$H$274,0),MATCH(AF$8,'FY25 By Venue Financials'!$P$4:$BF$4,0)),"N/A ")</f>
        <v>244.83509000000001</v>
      </c>
      <c r="AG60" s="391">
        <f t="array" ref="AG60">IFERROR(INDEX('FY25 By Venue Financials'!$P$10:$BF$274,MATCH($C60,'FY25 By Venue Financials'!$H$10:$H$274,0),MATCH(AG$8,'FY25 By Venue Financials'!$P$4:$BF$4,0)),"N/A ")</f>
        <v>476.82202000000007</v>
      </c>
      <c r="AH60" s="391">
        <f t="array" ref="AH60">IFERROR(INDEX('FY25 By Venue Financials'!$P$10:$BF$274,MATCH($C60,'FY25 By Venue Financials'!$H$10:$H$274,0),MATCH(AH$8,'FY25 By Venue Financials'!$P$4:$BF$4,0)),"N/A ")</f>
        <v>486.33975999999996</v>
      </c>
      <c r="AI60" s="391">
        <f t="array" ref="AI60">IFERROR(INDEX('FY25 By Venue Financials'!$P$10:$BF$274,MATCH($C60,'FY25 By Venue Financials'!$H$10:$H$274,0),MATCH(AI$8,'FY25 By Venue Financials'!$P$4:$BF$4,0)),"N/A ")</f>
        <v>175.70725000000002</v>
      </c>
      <c r="AJ60" s="391">
        <f t="array" ref="AJ60">IFERROR(INDEX('FY25 By Venue Financials'!$P$10:$BF$274,MATCH($C60,'FY25 By Venue Financials'!$H$10:$H$274,0),MATCH(AJ$8,'FY25 By Venue Financials'!$P$4:$BF$4,0)),"N/A ")</f>
        <v>668.20325000000003</v>
      </c>
      <c r="AK60" s="391">
        <f t="array" ref="AK60">IFERROR(INDEX('FY25 By Venue Financials'!$P$10:$BF$274,MATCH($C60,'FY25 By Venue Financials'!$H$10:$H$274,0),MATCH(AK$8,'FY25 By Venue Financials'!$P$4:$BF$4,0)),"N/A ")</f>
        <v>432.27665999999994</v>
      </c>
      <c r="AL60" s="391">
        <f t="array" ref="AL60">IFERROR(INDEX('FY25 By Venue Financials'!$P$10:$BF$274,MATCH($C60,'FY25 By Venue Financials'!$H$10:$H$274,0),MATCH(AL$8,'FY25 By Venue Financials'!$P$4:$BF$4,0)),"N/A ")</f>
        <v>355.58412000000004</v>
      </c>
      <c r="AM60" s="391">
        <f t="array" ref="AM60">IFERROR(INDEX('FY25 By Venue Financials'!$P$10:$BF$274,MATCH($C60,'FY25 By Venue Financials'!$H$10:$H$274,0),MATCH(AM$8,'FY25 By Venue Financials'!$P$4:$BF$4,0)),"N/A ")</f>
        <v>513.87148000000013</v>
      </c>
      <c r="AN60" s="391">
        <f t="array" ref="AN60">IFERROR(INDEX('FY25 By Venue Financials'!$P$10:$BF$274,MATCH($C60,'FY25 By Venue Financials'!$H$10:$H$274,0),MATCH(AN$8,'FY25 By Venue Financials'!$P$4:$BF$4,0)),"N/A ")</f>
        <v>579.48249999999996</v>
      </c>
      <c r="AO60" s="391">
        <f t="array" ref="AO60">IFERROR(INDEX('FY25 By Venue Financials'!$P$10:$BF$274,MATCH($C60,'FY25 By Venue Financials'!$H$10:$H$274,0),MATCH(AO$8,'FY25 By Venue Financials'!$P$4:$BF$4,0)),"N/A ")</f>
        <v>1725.6809699999999</v>
      </c>
      <c r="AP60" s="391">
        <f t="array" ref="AP60">IFERROR(INDEX('FY25 By Venue Financials'!$P$10:$BF$274,MATCH($C60,'FY25 By Venue Financials'!$H$10:$H$274,0),MATCH(AP$8,'FY25 By Venue Financials'!$P$4:$BF$4,0)),"N/A ")</f>
        <v>56.246500000000012</v>
      </c>
      <c r="AQ60" s="391">
        <f t="array" ref="AQ60">IFERROR(INDEX('FY25 By Venue Financials'!$P$10:$BF$274,MATCH($C60,'FY25 By Venue Financials'!$H$10:$H$274,0),MATCH(AQ$8,'FY25 By Venue Financials'!$P$4:$BF$4,0)),"N/A ")</f>
        <v>1517.7478099999998</v>
      </c>
      <c r="AR60" s="391">
        <f t="array" ref="AR60">IFERROR(INDEX('FY25 By Venue Financials'!$P$10:$BF$274,MATCH($C60,'FY25 By Venue Financials'!$H$10:$H$274,0),MATCH(AR$8,'FY25 By Venue Financials'!$P$4:$BF$4,0)),"N/A ")</f>
        <v>6.6333200000000012</v>
      </c>
    </row>
    <row r="61" spans="3:44" ht="15.75" customHeight="1">
      <c r="C61" s="3" t="s">
        <v>117</v>
      </c>
      <c r="D61" s="389">
        <f t="shared" si="48"/>
        <v>15333.829889999997</v>
      </c>
      <c r="E61" s="390"/>
      <c r="F61" s="389">
        <f t="shared" si="49"/>
        <v>7969.7325499999979</v>
      </c>
      <c r="G61" s="389">
        <f t="shared" si="50"/>
        <v>6460.8637999999983</v>
      </c>
      <c r="H61" s="389">
        <f t="shared" ref="H61:J61" si="63">SUMIFS($L61:$AR61,$L$6:$AR$6,H$8)</f>
        <v>1734.16157</v>
      </c>
      <c r="I61" s="389">
        <f t="shared" si="63"/>
        <v>3898.1614199999999</v>
      </c>
      <c r="J61" s="389">
        <f t="shared" si="63"/>
        <v>1731.7743499999999</v>
      </c>
      <c r="K61" s="390"/>
      <c r="L61" s="391">
        <f t="array" ref="L61">IFERROR(INDEX('FY25 By Venue Financials'!$P$10:$BF$274,MATCH($C61,'FY25 By Venue Financials'!$H$10:$H$274,0),MATCH(L$8,'FY25 By Venue Financials'!$P$4:$BF$4,0)),"N/A ")</f>
        <v>169.83</v>
      </c>
      <c r="M61" s="391">
        <f t="array" ref="M61">IFERROR(INDEX('FY25 By Venue Financials'!$P$10:$BF$274,MATCH($C61,'FY25 By Venue Financials'!$H$10:$H$274,0),MATCH(M$8,'FY25 By Venue Financials'!$P$4:$BF$4,0)),"N/A ")</f>
        <v>499.34897999999998</v>
      </c>
      <c r="N61" s="391">
        <f t="array" ref="N61">IFERROR(INDEX('FY25 By Venue Financials'!$P$10:$BF$274,MATCH($C61,'FY25 By Venue Financials'!$H$10:$H$274,0),MATCH(N$8,'FY25 By Venue Financials'!$P$4:$BF$4,0)),"N/A ")</f>
        <v>462.54599999999999</v>
      </c>
      <c r="O61" s="391">
        <f t="array" ref="O61">IFERROR(INDEX('FY25 By Venue Financials'!$P$10:$BF$274,MATCH($C61,'FY25 By Venue Financials'!$H$10:$H$274,0),MATCH(O$8,'FY25 By Venue Financials'!$P$4:$BF$4,0)),"N/A ")</f>
        <v>504.88668000000001</v>
      </c>
      <c r="P61" s="391">
        <f t="array" ref="P61">IFERROR(INDEX('FY25 By Venue Financials'!$P$10:$BF$274,MATCH($C61,'FY25 By Venue Financials'!$H$10:$H$274,0),MATCH(P$8,'FY25 By Venue Financials'!$P$4:$BF$4,0)),"N/A ")</f>
        <v>239.42082000000002</v>
      </c>
      <c r="Q61" s="391">
        <f t="array" ref="Q61">IFERROR(INDEX('FY25 By Venue Financials'!$P$10:$BF$274,MATCH($C61,'FY25 By Venue Financials'!$H$10:$H$274,0),MATCH(Q$8,'FY25 By Venue Financials'!$P$4:$BF$4,0)),"N/A ")</f>
        <v>862.06998999999996</v>
      </c>
      <c r="R61" s="391">
        <f t="array" ref="R61">IFERROR(INDEX('FY25 By Venue Financials'!$P$10:$BF$274,MATCH($C61,'FY25 By Venue Financials'!$H$10:$H$274,0),MATCH(R$8,'FY25 By Venue Financials'!$P$4:$BF$4,0)),"N/A ")</f>
        <v>328.44400000000002</v>
      </c>
      <c r="S61" s="391">
        <f t="array" ref="S61">IFERROR(INDEX('FY25 By Venue Financials'!$P$10:$BF$274,MATCH($C61,'FY25 By Venue Financials'!$H$10:$H$274,0),MATCH(S$8,'FY25 By Venue Financials'!$P$4:$BF$4,0)),"N/A ")</f>
        <v>608.61398999999994</v>
      </c>
      <c r="T61" s="391">
        <f t="array" ref="T61">IFERROR(INDEX('FY25 By Venue Financials'!$P$10:$BF$274,MATCH($C61,'FY25 By Venue Financials'!$H$10:$H$274,0),MATCH(T$8,'FY25 By Venue Financials'!$P$4:$BF$4,0)),"N/A ")</f>
        <v>461.95398</v>
      </c>
      <c r="U61" s="391">
        <f t="array" ref="U61">IFERROR(INDEX('FY25 By Venue Financials'!$P$10:$BF$274,MATCH($C61,'FY25 By Venue Financials'!$H$10:$H$274,0),MATCH(U$8,'FY25 By Venue Financials'!$P$4:$BF$4,0)),"N/A ")</f>
        <v>1290.3354099999999</v>
      </c>
      <c r="V61" s="391">
        <f t="array" ref="V61">IFERROR(INDEX('FY25 By Venue Financials'!$P$10:$BF$274,MATCH($C61,'FY25 By Venue Financials'!$H$10:$H$274,0),MATCH(V$8,'FY25 By Venue Financials'!$P$4:$BF$4,0)),"N/A ")</f>
        <v>218.53334000000001</v>
      </c>
      <c r="W61" s="391">
        <f t="array" ref="W61">IFERROR(INDEX('FY25 By Venue Financials'!$P$10:$BF$274,MATCH($C61,'FY25 By Venue Financials'!$H$10:$H$274,0),MATCH(W$8,'FY25 By Venue Financials'!$P$4:$BF$4,0)),"N/A ")</f>
        <v>188.04398999999998</v>
      </c>
      <c r="X61" s="391">
        <f t="array" ref="X61">IFERROR(INDEX('FY25 By Venue Financials'!$P$10:$BF$274,MATCH($C61,'FY25 By Venue Financials'!$H$10:$H$274,0),MATCH(X$8,'FY25 By Venue Financials'!$P$4:$BF$4,0)),"N/A ")</f>
        <v>481.74878999999999</v>
      </c>
      <c r="Y61" s="391">
        <f t="array" ref="Y61">IFERROR(INDEX('FY25 By Venue Financials'!$P$10:$BF$274,MATCH($C61,'FY25 By Venue Financials'!$H$10:$H$274,0),MATCH(Y$8,'FY25 By Venue Financials'!$P$4:$BF$4,0)),"N/A ")</f>
        <v>433.35861999999997</v>
      </c>
      <c r="Z61" s="391">
        <f t="array" ref="Z61">IFERROR(INDEX('FY25 By Venue Financials'!$P$10:$BF$274,MATCH($C61,'FY25 By Venue Financials'!$H$10:$H$274,0),MATCH(Z$8,'FY25 By Venue Financials'!$P$4:$BF$4,0)),"N/A ")</f>
        <v>782.70398999999998</v>
      </c>
      <c r="AA61" s="391">
        <f t="array" ref="AA61">IFERROR(INDEX('FY25 By Venue Financials'!$P$10:$BF$274,MATCH($C61,'FY25 By Venue Financials'!$H$10:$H$274,0),MATCH(AA$8,'FY25 By Venue Financials'!$P$4:$BF$4,0)),"N/A ")</f>
        <v>231.41800000000001</v>
      </c>
      <c r="AB61" s="391">
        <f t="array" ref="AB61">IFERROR(INDEX('FY25 By Venue Financials'!$P$10:$BF$274,MATCH($C61,'FY25 By Venue Financials'!$H$10:$H$274,0),MATCH(AB$8,'FY25 By Venue Financials'!$P$4:$BF$4,0)),"N/A ")</f>
        <v>191.72398000000001</v>
      </c>
      <c r="AC61" s="391">
        <f t="array" ref="AC61">IFERROR(INDEX('FY25 By Venue Financials'!$P$10:$BF$274,MATCH($C61,'FY25 By Venue Financials'!$H$10:$H$274,0),MATCH(AC$8,'FY25 By Venue Financials'!$P$4:$BF$4,0)),"N/A ")</f>
        <v>661.63763999999992</v>
      </c>
      <c r="AD61" s="391" t="str">
        <f t="array" ref="AD61">IFERROR(INDEX('FY25 By Venue Financials'!$P$10:$BF$274,MATCH($C61,'FY25 By Venue Financials'!$H$10:$H$274,0),MATCH(AD$8,'FY25 By Venue Financials'!$P$4:$BF$4,0)),"N/A ")</f>
        <v xml:space="preserve">N/A </v>
      </c>
      <c r="AE61" s="391">
        <f t="array" ref="AE61">IFERROR(INDEX('FY25 By Venue Financials'!$P$10:$BF$274,MATCH($C61,'FY25 By Venue Financials'!$H$10:$H$274,0),MATCH(AE$8,'FY25 By Venue Financials'!$P$4:$BF$4,0)),"N/A ")</f>
        <v>0</v>
      </c>
      <c r="AF61" s="391">
        <f t="array" ref="AF61">IFERROR(INDEX('FY25 By Venue Financials'!$P$10:$BF$274,MATCH($C61,'FY25 By Venue Financials'!$H$10:$H$274,0),MATCH(AF$8,'FY25 By Venue Financials'!$P$4:$BF$4,0)),"N/A ")</f>
        <v>193.60397</v>
      </c>
      <c r="AG61" s="391">
        <f t="array" ref="AG61">IFERROR(INDEX('FY25 By Venue Financials'!$P$10:$BF$274,MATCH($C61,'FY25 By Venue Financials'!$H$10:$H$274,0),MATCH(AG$8,'FY25 By Venue Financials'!$P$4:$BF$4,0)),"N/A ")</f>
        <v>360.55998</v>
      </c>
      <c r="AH61" s="391">
        <f t="array" ref="AH61">IFERROR(INDEX('FY25 By Venue Financials'!$P$10:$BF$274,MATCH($C61,'FY25 By Venue Financials'!$H$10:$H$274,0),MATCH(AH$8,'FY25 By Venue Financials'!$P$4:$BF$4,0)),"N/A ")</f>
        <v>390.92498000000001</v>
      </c>
      <c r="AI61" s="391">
        <f t="array" ref="AI61">IFERROR(INDEX('FY25 By Venue Financials'!$P$10:$BF$274,MATCH($C61,'FY25 By Venue Financials'!$H$10:$H$274,0),MATCH(AI$8,'FY25 By Venue Financials'!$P$4:$BF$4,0)),"N/A ")</f>
        <v>127.435</v>
      </c>
      <c r="AJ61" s="391">
        <f t="array" ref="AJ61">IFERROR(INDEX('FY25 By Venue Financials'!$P$10:$BF$274,MATCH($C61,'FY25 By Venue Financials'!$H$10:$H$274,0),MATCH(AJ$8,'FY25 By Venue Financials'!$P$4:$BF$4,0)),"N/A ")</f>
        <v>562.31601000000001</v>
      </c>
      <c r="AK61" s="391">
        <f t="array" ref="AK61">IFERROR(INDEX('FY25 By Venue Financials'!$P$10:$BF$274,MATCH($C61,'FY25 By Venue Financials'!$H$10:$H$274,0),MATCH(AK$8,'FY25 By Venue Financials'!$P$4:$BF$4,0)),"N/A ")</f>
        <v>550.30494999999996</v>
      </c>
      <c r="AL61" s="391">
        <f t="array" ref="AL61">IFERROR(INDEX('FY25 By Venue Financials'!$P$10:$BF$274,MATCH($C61,'FY25 By Venue Financials'!$H$10:$H$274,0),MATCH(AL$8,'FY25 By Venue Financials'!$P$4:$BF$4,0)),"N/A ")</f>
        <v>341.06299999999999</v>
      </c>
      <c r="AM61" s="391">
        <f t="array" ref="AM61">IFERROR(INDEX('FY25 By Venue Financials'!$P$10:$BF$274,MATCH($C61,'FY25 By Venue Financials'!$H$10:$H$274,0),MATCH(AM$8,'FY25 By Venue Financials'!$P$4:$BF$4,0)),"N/A ")</f>
        <v>401.91399999999999</v>
      </c>
      <c r="AN61" s="391">
        <f t="array" ref="AN61">IFERROR(INDEX('FY25 By Venue Financials'!$P$10:$BF$274,MATCH($C61,'FY25 By Venue Financials'!$H$10:$H$274,0),MATCH(AN$8,'FY25 By Venue Financials'!$P$4:$BF$4,0)),"N/A ")</f>
        <v>542.04200000000003</v>
      </c>
      <c r="AO61" s="391">
        <f t="array" ref="AO61">IFERROR(INDEX('FY25 By Venue Financials'!$P$10:$BF$274,MATCH($C61,'FY25 By Venue Financials'!$H$10:$H$274,0),MATCH(AO$8,'FY25 By Venue Financials'!$P$4:$BF$4,0)),"N/A ")</f>
        <v>1380.14975</v>
      </c>
      <c r="AP61" s="391">
        <f t="array" ref="AP61">IFERROR(INDEX('FY25 By Venue Financials'!$P$10:$BF$274,MATCH($C61,'FY25 By Venue Financials'!$H$10:$H$274,0),MATCH(AP$8,'FY25 By Venue Financials'!$P$4:$BF$4,0)),"N/A ")</f>
        <v>120.37170999999999</v>
      </c>
      <c r="AQ61" s="391">
        <f t="array" ref="AQ61">IFERROR(INDEX('FY25 By Venue Financials'!$P$10:$BF$274,MATCH($C61,'FY25 By Venue Financials'!$H$10:$H$274,0),MATCH(AQ$8,'FY25 By Venue Financials'!$P$4:$BF$4,0)),"N/A ")</f>
        <v>1731.7743499999999</v>
      </c>
      <c r="AR61" s="391">
        <f t="array" ref="AR61">IFERROR(INDEX('FY25 By Venue Financials'!$P$10:$BF$274,MATCH($C61,'FY25 By Venue Financials'!$H$10:$H$274,0),MATCH(AR$8,'FY25 By Venue Financials'!$P$4:$BF$4,0)),"N/A ")</f>
        <v>14.751989999999999</v>
      </c>
    </row>
    <row r="62" spans="3:44" ht="15.75" customHeight="1">
      <c r="C62" s="3" t="s">
        <v>112</v>
      </c>
      <c r="D62" s="389">
        <f t="shared" si="48"/>
        <v>15620.393320000001</v>
      </c>
      <c r="E62" s="390"/>
      <c r="F62" s="389">
        <f t="shared" si="49"/>
        <v>8322.8813499999997</v>
      </c>
      <c r="G62" s="389">
        <f t="shared" si="50"/>
        <v>6113.2754100000002</v>
      </c>
      <c r="H62" s="389">
        <f t="shared" ref="H62:J62" si="64">SUMIFS($L62:$AR62,$L$6:$AR$6,H$8)</f>
        <v>1639.83223</v>
      </c>
      <c r="I62" s="389">
        <f t="shared" si="64"/>
        <v>4011.0936999999999</v>
      </c>
      <c r="J62" s="389">
        <f t="shared" si="64"/>
        <v>1646.5860399999999</v>
      </c>
      <c r="K62" s="390"/>
      <c r="L62" s="391">
        <f t="array" ref="L62">IFERROR(INDEX('FY25 By Venue Financials'!$P$10:$BF$274,MATCH($C62,'FY25 By Venue Financials'!$H$10:$H$274,0),MATCH(L$8,'FY25 By Venue Financials'!$P$4:$BF$4,0)),"N/A ")</f>
        <v>155.47582</v>
      </c>
      <c r="M62" s="391">
        <f t="array" ref="M62">IFERROR(INDEX('FY25 By Venue Financials'!$P$10:$BF$274,MATCH($C62,'FY25 By Venue Financials'!$H$10:$H$274,0),MATCH(M$8,'FY25 By Venue Financials'!$P$4:$BF$4,0)),"N/A ")</f>
        <v>377.21284000000003</v>
      </c>
      <c r="N62" s="391">
        <f t="array" ref="N62">IFERROR(INDEX('FY25 By Venue Financials'!$P$10:$BF$274,MATCH($C62,'FY25 By Venue Financials'!$H$10:$H$274,0),MATCH(N$8,'FY25 By Venue Financials'!$P$4:$BF$4,0)),"N/A ")</f>
        <v>460.82497999999998</v>
      </c>
      <c r="O62" s="391">
        <f t="array" ref="O62">IFERROR(INDEX('FY25 By Venue Financials'!$P$10:$BF$274,MATCH($C62,'FY25 By Venue Financials'!$H$10:$H$274,0),MATCH(O$8,'FY25 By Venue Financials'!$P$4:$BF$4,0)),"N/A ")</f>
        <v>488.53496999999993</v>
      </c>
      <c r="P62" s="391">
        <f t="array" ref="P62">IFERROR(INDEX('FY25 By Venue Financials'!$P$10:$BF$274,MATCH($C62,'FY25 By Venue Financials'!$H$10:$H$274,0),MATCH(P$8,'FY25 By Venue Financials'!$P$4:$BF$4,0)),"N/A ")</f>
        <v>230.3</v>
      </c>
      <c r="Q62" s="391">
        <f t="array" ref="Q62">IFERROR(INDEX('FY25 By Venue Financials'!$P$10:$BF$274,MATCH($C62,'FY25 By Venue Financials'!$H$10:$H$274,0),MATCH(Q$8,'FY25 By Venue Financials'!$P$4:$BF$4,0)),"N/A ")</f>
        <v>749.74798999999996</v>
      </c>
      <c r="R62" s="391">
        <f t="array" ref="R62">IFERROR(INDEX('FY25 By Venue Financials'!$P$10:$BF$274,MATCH($C62,'FY25 By Venue Financials'!$H$10:$H$274,0),MATCH(R$8,'FY25 By Venue Financials'!$P$4:$BF$4,0)),"N/A ")</f>
        <v>202.63500000000002</v>
      </c>
      <c r="S62" s="391">
        <f t="array" ref="S62">IFERROR(INDEX('FY25 By Venue Financials'!$P$10:$BF$274,MATCH($C62,'FY25 By Venue Financials'!$H$10:$H$274,0),MATCH(S$8,'FY25 By Venue Financials'!$P$4:$BF$4,0)),"N/A ")</f>
        <v>457.82721999999995</v>
      </c>
      <c r="T62" s="391">
        <f t="array" ref="T62">IFERROR(INDEX('FY25 By Venue Financials'!$P$10:$BF$274,MATCH($C62,'FY25 By Venue Financials'!$H$10:$H$274,0),MATCH(T$8,'FY25 By Venue Financials'!$P$4:$BF$4,0)),"N/A ")</f>
        <v>387.90058000000005</v>
      </c>
      <c r="U62" s="391">
        <f t="array" ref="U62">IFERROR(INDEX('FY25 By Venue Financials'!$P$10:$BF$274,MATCH($C62,'FY25 By Venue Financials'!$H$10:$H$274,0),MATCH(U$8,'FY25 By Venue Financials'!$P$4:$BF$4,0)),"N/A ")</f>
        <v>2077.1059300000002</v>
      </c>
      <c r="V62" s="391">
        <f t="array" ref="V62">IFERROR(INDEX('FY25 By Venue Financials'!$P$10:$BF$274,MATCH($C62,'FY25 By Venue Financials'!$H$10:$H$274,0),MATCH(V$8,'FY25 By Venue Financials'!$P$4:$BF$4,0)),"N/A ")</f>
        <v>132.50001</v>
      </c>
      <c r="W62" s="391">
        <f t="array" ref="W62">IFERROR(INDEX('FY25 By Venue Financials'!$P$10:$BF$274,MATCH($C62,'FY25 By Venue Financials'!$H$10:$H$274,0),MATCH(W$8,'FY25 By Venue Financials'!$P$4:$BF$4,0)),"N/A ")</f>
        <v>134.08884</v>
      </c>
      <c r="X62" s="391">
        <f t="array" ref="X62">IFERROR(INDEX('FY25 By Venue Financials'!$P$10:$BF$274,MATCH($C62,'FY25 By Venue Financials'!$H$10:$H$274,0),MATCH(X$8,'FY25 By Venue Financials'!$P$4:$BF$4,0)),"N/A ")</f>
        <v>409.69193999999999</v>
      </c>
      <c r="Y62" s="391">
        <f t="array" ref="Y62">IFERROR(INDEX('FY25 By Venue Financials'!$P$10:$BF$274,MATCH($C62,'FY25 By Venue Financials'!$H$10:$H$274,0),MATCH(Y$8,'FY25 By Venue Financials'!$P$4:$BF$4,0)),"N/A ")</f>
        <v>360.63313999999997</v>
      </c>
      <c r="Z62" s="391">
        <f t="array" ref="Z62">IFERROR(INDEX('FY25 By Venue Financials'!$P$10:$BF$274,MATCH($C62,'FY25 By Venue Financials'!$H$10:$H$274,0),MATCH(Z$8,'FY25 By Venue Financials'!$P$4:$BF$4,0)),"N/A ")</f>
        <v>711.31210999999996</v>
      </c>
      <c r="AA62" s="391">
        <f t="array" ref="AA62">IFERROR(INDEX('FY25 By Venue Financials'!$P$10:$BF$274,MATCH($C62,'FY25 By Venue Financials'!$H$10:$H$274,0),MATCH(AA$8,'FY25 By Venue Financials'!$P$4:$BF$4,0)),"N/A ")</f>
        <v>213.20997</v>
      </c>
      <c r="AB62" s="391">
        <f t="array" ref="AB62">IFERROR(INDEX('FY25 By Venue Financials'!$P$10:$BF$274,MATCH($C62,'FY25 By Venue Financials'!$H$10:$H$274,0),MATCH(AB$8,'FY25 By Venue Financials'!$P$4:$BF$4,0)),"N/A ")</f>
        <v>172.02997000000002</v>
      </c>
      <c r="AC62" s="391">
        <f t="array" ref="AC62">IFERROR(INDEX('FY25 By Venue Financials'!$P$10:$BF$274,MATCH($C62,'FY25 By Venue Financials'!$H$10:$H$274,0),MATCH(AC$8,'FY25 By Venue Financials'!$P$4:$BF$4,0)),"N/A ")</f>
        <v>665.2601699999999</v>
      </c>
      <c r="AD62" s="391" t="str">
        <f t="array" ref="AD62">IFERROR(INDEX('FY25 By Venue Financials'!$P$10:$BF$274,MATCH($C62,'FY25 By Venue Financials'!$H$10:$H$274,0),MATCH(AD$8,'FY25 By Venue Financials'!$P$4:$BF$4,0)),"N/A ")</f>
        <v xml:space="preserve">N/A </v>
      </c>
      <c r="AE62" s="391">
        <f t="array" ref="AE62">IFERROR(INDEX('FY25 By Venue Financials'!$P$10:$BF$274,MATCH($C62,'FY25 By Venue Financials'!$H$10:$H$274,0),MATCH(AE$8,'FY25 By Venue Financials'!$P$4:$BF$4,0)),"N/A ")</f>
        <v>-1.6411300000000002</v>
      </c>
      <c r="AF62" s="391">
        <f t="array" ref="AF62">IFERROR(INDEX('FY25 By Venue Financials'!$P$10:$BF$274,MATCH($C62,'FY25 By Venue Financials'!$H$10:$H$274,0),MATCH(AF$8,'FY25 By Venue Financials'!$P$4:$BF$4,0)),"N/A ")</f>
        <v>131.74673999999999</v>
      </c>
      <c r="AG62" s="391">
        <f t="array" ref="AG62">IFERROR(INDEX('FY25 By Venue Financials'!$P$10:$BF$274,MATCH($C62,'FY25 By Venue Financials'!$H$10:$H$274,0),MATCH(AG$8,'FY25 By Venue Financials'!$P$4:$BF$4,0)),"N/A ")</f>
        <v>402.84021999999999</v>
      </c>
      <c r="AH62" s="391">
        <f t="array" ref="AH62">IFERROR(INDEX('FY25 By Venue Financials'!$P$10:$BF$274,MATCH($C62,'FY25 By Venue Financials'!$H$10:$H$274,0),MATCH(AH$8,'FY25 By Venue Financials'!$P$4:$BF$4,0)),"N/A ")</f>
        <v>333.20089000000002</v>
      </c>
      <c r="AI62" s="391">
        <f t="array" ref="AI62">IFERROR(INDEX('FY25 By Venue Financials'!$P$10:$BF$274,MATCH($C62,'FY25 By Venue Financials'!$H$10:$H$274,0),MATCH(AI$8,'FY25 By Venue Financials'!$P$4:$BF$4,0)),"N/A ")</f>
        <v>108.42534000000001</v>
      </c>
      <c r="AJ62" s="391">
        <f t="array" ref="AJ62">IFERROR(INDEX('FY25 By Venue Financials'!$P$10:$BF$274,MATCH($C62,'FY25 By Venue Financials'!$H$10:$H$274,0),MATCH(AJ$8,'FY25 By Venue Financials'!$P$4:$BF$4,0)),"N/A ")</f>
        <v>514.92737999999997</v>
      </c>
      <c r="AK62" s="391">
        <f t="array" ref="AK62">IFERROR(INDEX('FY25 By Venue Financials'!$P$10:$BF$274,MATCH($C62,'FY25 By Venue Financials'!$H$10:$H$274,0),MATCH(AK$8,'FY25 By Venue Financials'!$P$4:$BF$4,0)),"N/A ")</f>
        <v>399.42066</v>
      </c>
      <c r="AL62" s="391">
        <f t="array" ref="AL62">IFERROR(INDEX('FY25 By Venue Financials'!$P$10:$BF$274,MATCH($C62,'FY25 By Venue Financials'!$H$10:$H$274,0),MATCH(AL$8,'FY25 By Venue Financials'!$P$4:$BF$4,0)),"N/A ")</f>
        <v>321.33199000000002</v>
      </c>
      <c r="AM62" s="391">
        <f t="array" ref="AM62">IFERROR(INDEX('FY25 By Venue Financials'!$P$10:$BF$274,MATCH($C62,'FY25 By Venue Financials'!$H$10:$H$274,0),MATCH(AM$8,'FY25 By Venue Financials'!$P$4:$BF$4,0)),"N/A ")</f>
        <v>332.90098</v>
      </c>
      <c r="AN62" s="391">
        <f t="array" ref="AN62">IFERROR(INDEX('FY25 By Venue Financials'!$P$10:$BF$274,MATCH($C62,'FY25 By Venue Financials'!$H$10:$H$274,0),MATCH(AN$8,'FY25 By Venue Financials'!$P$4:$BF$4,0)),"N/A ")</f>
        <v>618.95150999999998</v>
      </c>
      <c r="AO62" s="391">
        <f t="array" ref="AO62">IFERROR(INDEX('FY25 By Venue Financials'!$P$10:$BF$274,MATCH($C62,'FY25 By Venue Financials'!$H$10:$H$274,0),MATCH(AO$8,'FY25 By Venue Financials'!$P$4:$BF$4,0)),"N/A ")</f>
        <v>1448.45712</v>
      </c>
      <c r="AP62" s="391">
        <f t="array" ref="AP62">IFERROR(INDEX('FY25 By Venue Financials'!$P$10:$BF$274,MATCH($C62,'FY25 By Venue Financials'!$H$10:$H$274,0),MATCH(AP$8,'FY25 By Venue Financials'!$P$4:$BF$4,0)),"N/A ")</f>
        <v>375.10405999999995</v>
      </c>
      <c r="AQ62" s="391">
        <f t="array" ref="AQ62">IFERROR(INDEX('FY25 By Venue Financials'!$P$10:$BF$274,MATCH($C62,'FY25 By Venue Financials'!$H$10:$H$274,0),MATCH(AQ$8,'FY25 By Venue Financials'!$P$4:$BF$4,0)),"N/A ")</f>
        <v>1646.5860399999999</v>
      </c>
      <c r="AR62" s="391">
        <f t="array" ref="AR62">IFERROR(INDEX('FY25 By Venue Financials'!$P$10:$BF$274,MATCH($C62,'FY25 By Venue Financials'!$H$10:$H$274,0),MATCH(AR$8,'FY25 By Venue Financials'!$P$4:$BF$4,0)),"N/A ")</f>
        <v>601.85004000000004</v>
      </c>
    </row>
    <row r="63" spans="3:44" ht="15.75" customHeight="1">
      <c r="C63" s="3" t="s">
        <v>123</v>
      </c>
      <c r="D63" s="389">
        <f t="shared" si="48"/>
        <v>11457.565299999997</v>
      </c>
      <c r="E63" s="390"/>
      <c r="F63" s="389">
        <f t="shared" si="49"/>
        <v>6093.3021399999998</v>
      </c>
      <c r="G63" s="389">
        <f t="shared" si="50"/>
        <v>4641.1149099999993</v>
      </c>
      <c r="H63" s="389">
        <f t="shared" ref="H63:J63" si="65">SUMIFS($L63:$AR63,$L$6:$AR$6,H$8)</f>
        <v>1323.3471999999999</v>
      </c>
      <c r="I63" s="389">
        <f t="shared" si="65"/>
        <v>2831.7085699999998</v>
      </c>
      <c r="J63" s="389">
        <f t="shared" si="65"/>
        <v>1209.20739</v>
      </c>
      <c r="K63" s="390"/>
      <c r="L63" s="391">
        <f t="array" ref="L63">IFERROR(INDEX('FY25 By Venue Financials'!$P$10:$BF$274,MATCH($C63,'FY25 By Venue Financials'!$H$10:$H$274,0),MATCH(L$8,'FY25 By Venue Financials'!$P$4:$BF$4,0)),"N/A ")</f>
        <v>135.50274999999999</v>
      </c>
      <c r="M63" s="391">
        <f t="array" ref="M63">IFERROR(INDEX('FY25 By Venue Financials'!$P$10:$BF$274,MATCH($C63,'FY25 By Venue Financials'!$H$10:$H$274,0),MATCH(M$8,'FY25 By Venue Financials'!$P$4:$BF$4,0)),"N/A ")</f>
        <v>307.39944000000003</v>
      </c>
      <c r="N63" s="391">
        <f t="array" ref="N63">IFERROR(INDEX('FY25 By Venue Financials'!$P$10:$BF$274,MATCH($C63,'FY25 By Venue Financials'!$H$10:$H$274,0),MATCH(N$8,'FY25 By Venue Financials'!$P$4:$BF$4,0)),"N/A ")</f>
        <v>354.28603000000004</v>
      </c>
      <c r="O63" s="391">
        <f t="array" ref="O63">IFERROR(INDEX('FY25 By Venue Financials'!$P$10:$BF$274,MATCH($C63,'FY25 By Venue Financials'!$H$10:$H$274,0),MATCH(O$8,'FY25 By Venue Financials'!$P$4:$BF$4,0)),"N/A ")</f>
        <v>393.09843000000001</v>
      </c>
      <c r="P63" s="391">
        <f t="array" ref="P63">IFERROR(INDEX('FY25 By Venue Financials'!$P$10:$BF$274,MATCH($C63,'FY25 By Venue Financials'!$H$10:$H$274,0),MATCH(P$8,'FY25 By Venue Financials'!$P$4:$BF$4,0)),"N/A ")</f>
        <v>168.11709999999997</v>
      </c>
      <c r="Q63" s="391">
        <f t="array" ref="Q63">IFERROR(INDEX('FY25 By Venue Financials'!$P$10:$BF$274,MATCH($C63,'FY25 By Venue Financials'!$H$10:$H$274,0),MATCH(Q$8,'FY25 By Venue Financials'!$P$4:$BF$4,0)),"N/A ")</f>
        <v>613.36821999999984</v>
      </c>
      <c r="R63" s="391">
        <f t="array" ref="R63">IFERROR(INDEX('FY25 By Venue Financials'!$P$10:$BF$274,MATCH($C63,'FY25 By Venue Financials'!$H$10:$H$274,0),MATCH(R$8,'FY25 By Venue Financials'!$P$4:$BF$4,0)),"N/A ")</f>
        <v>200.98913000000002</v>
      </c>
      <c r="S63" s="391">
        <f t="array" ref="S63">IFERROR(INDEX('FY25 By Venue Financials'!$P$10:$BF$274,MATCH($C63,'FY25 By Venue Financials'!$H$10:$H$274,0),MATCH(S$8,'FY25 By Venue Financials'!$P$4:$BF$4,0)),"N/A ")</f>
        <v>424.23638</v>
      </c>
      <c r="T63" s="391">
        <f t="array" ref="T63">IFERROR(INDEX('FY25 By Venue Financials'!$P$10:$BF$274,MATCH($C63,'FY25 By Venue Financials'!$H$10:$H$274,0),MATCH(T$8,'FY25 By Venue Financials'!$P$4:$BF$4,0)),"N/A ")</f>
        <v>369.35558000000003</v>
      </c>
      <c r="U63" s="391">
        <f t="array" ref="U63">IFERROR(INDEX('FY25 By Venue Financials'!$P$10:$BF$274,MATCH($C63,'FY25 By Venue Financials'!$H$10:$H$274,0),MATCH(U$8,'FY25 By Venue Financials'!$P$4:$BF$4,0)),"N/A ")</f>
        <v>1322.1938299999999</v>
      </c>
      <c r="V63" s="391">
        <f t="array" ref="V63">IFERROR(INDEX('FY25 By Venue Financials'!$P$10:$BF$274,MATCH($C63,'FY25 By Venue Financials'!$H$10:$H$274,0),MATCH(V$8,'FY25 By Venue Financials'!$P$4:$BF$4,0)),"N/A ")</f>
        <v>129.99340000000001</v>
      </c>
      <c r="W63" s="391">
        <f t="array" ref="W63">IFERROR(INDEX('FY25 By Venue Financials'!$P$10:$BF$274,MATCH($C63,'FY25 By Venue Financials'!$H$10:$H$274,0),MATCH(W$8,'FY25 By Venue Financials'!$P$4:$BF$4,0)),"N/A ")</f>
        <v>125.31823000000001</v>
      </c>
      <c r="X63" s="391">
        <f t="array" ref="X63">IFERROR(INDEX('FY25 By Venue Financials'!$P$10:$BF$274,MATCH($C63,'FY25 By Venue Financials'!$H$10:$H$274,0),MATCH(X$8,'FY25 By Venue Financials'!$P$4:$BF$4,0)),"N/A ")</f>
        <v>342.89283</v>
      </c>
      <c r="Y63" s="391">
        <f t="array" ref="Y63">IFERROR(INDEX('FY25 By Venue Financials'!$P$10:$BF$274,MATCH($C63,'FY25 By Venue Financials'!$H$10:$H$274,0),MATCH(Y$8,'FY25 By Venue Financials'!$P$4:$BF$4,0)),"N/A ")</f>
        <v>280.27501000000001</v>
      </c>
      <c r="Z63" s="391">
        <f t="array" ref="Z63">IFERROR(INDEX('FY25 By Venue Financials'!$P$10:$BF$274,MATCH($C63,'FY25 By Venue Financials'!$H$10:$H$274,0),MATCH(Z$8,'FY25 By Venue Financials'!$P$4:$BF$4,0)),"N/A ")</f>
        <v>610.58587000000011</v>
      </c>
      <c r="AA63" s="391">
        <f t="array" ref="AA63">IFERROR(INDEX('FY25 By Venue Financials'!$P$10:$BF$274,MATCH($C63,'FY25 By Venue Financials'!$H$10:$H$274,0),MATCH(AA$8,'FY25 By Venue Financials'!$P$4:$BF$4,0)),"N/A ")</f>
        <v>167.96350000000004</v>
      </c>
      <c r="AB63" s="391">
        <f t="array" ref="AB63">IFERROR(INDEX('FY25 By Venue Financials'!$P$10:$BF$274,MATCH($C63,'FY25 By Venue Financials'!$H$10:$H$274,0),MATCH(AB$8,'FY25 By Venue Financials'!$P$4:$BF$4,0)),"N/A ")</f>
        <v>129.04499999999999</v>
      </c>
      <c r="AC63" s="391">
        <f t="array" ref="AC63">IFERROR(INDEX('FY25 By Venue Financials'!$P$10:$BF$274,MATCH($C63,'FY25 By Venue Financials'!$H$10:$H$274,0),MATCH(AC$8,'FY25 By Venue Financials'!$P$4:$BF$4,0)),"N/A ")</f>
        <v>506.27087999999992</v>
      </c>
      <c r="AD63" s="391" t="str">
        <f t="array" ref="AD63">IFERROR(INDEX('FY25 By Venue Financials'!$P$10:$BF$274,MATCH($C63,'FY25 By Venue Financials'!$H$10:$H$274,0),MATCH(AD$8,'FY25 By Venue Financials'!$P$4:$BF$4,0)),"N/A ")</f>
        <v xml:space="preserve">N/A </v>
      </c>
      <c r="AE63" s="391">
        <f t="array" ref="AE63">IFERROR(INDEX('FY25 By Venue Financials'!$P$10:$BF$274,MATCH($C63,'FY25 By Venue Financials'!$H$10:$H$274,0),MATCH(AE$8,'FY25 By Venue Financials'!$P$4:$BF$4,0)),"N/A ")</f>
        <v>0</v>
      </c>
      <c r="AF63" s="391">
        <f t="array" ref="AF63">IFERROR(INDEX('FY25 By Venue Financials'!$P$10:$BF$274,MATCH($C63,'FY25 By Venue Financials'!$H$10:$H$274,0),MATCH(AF$8,'FY25 By Venue Financials'!$P$4:$BF$4,0)),"N/A ")</f>
        <v>132.16511</v>
      </c>
      <c r="AG63" s="391">
        <f t="array" ref="AG63">IFERROR(INDEX('FY25 By Venue Financials'!$P$10:$BF$274,MATCH($C63,'FY25 By Venue Financials'!$H$10:$H$274,0),MATCH(AG$8,'FY25 By Venue Financials'!$P$4:$BF$4,0)),"N/A ")</f>
        <v>299.57390999999996</v>
      </c>
      <c r="AH63" s="391">
        <f t="array" ref="AH63">IFERROR(INDEX('FY25 By Venue Financials'!$P$10:$BF$274,MATCH($C63,'FY25 By Venue Financials'!$H$10:$H$274,0),MATCH(AH$8,'FY25 By Venue Financials'!$P$4:$BF$4,0)),"N/A ")</f>
        <v>286.13069000000002</v>
      </c>
      <c r="AI63" s="391">
        <f t="array" ref="AI63">IFERROR(INDEX('FY25 By Venue Financials'!$P$10:$BF$274,MATCH($C63,'FY25 By Venue Financials'!$H$10:$H$274,0),MATCH(AI$8,'FY25 By Venue Financials'!$P$4:$BF$4,0)),"N/A ")</f>
        <v>99.206609999999984</v>
      </c>
      <c r="AJ63" s="391">
        <f t="array" ref="AJ63">IFERROR(INDEX('FY25 By Venue Financials'!$P$10:$BF$274,MATCH($C63,'FY25 By Venue Financials'!$H$10:$H$274,0),MATCH(AJ$8,'FY25 By Venue Financials'!$P$4:$BF$4,0)),"N/A ")</f>
        <v>412.23424</v>
      </c>
      <c r="AK63" s="391">
        <f t="array" ref="AK63">IFERROR(INDEX('FY25 By Venue Financials'!$P$10:$BF$274,MATCH($C63,'FY25 By Venue Financials'!$H$10:$H$274,0),MATCH(AK$8,'FY25 By Venue Financials'!$P$4:$BF$4,0)),"N/A ")</f>
        <v>331.69979999999998</v>
      </c>
      <c r="AL63" s="391">
        <f t="array" ref="AL63">IFERROR(INDEX('FY25 By Venue Financials'!$P$10:$BF$274,MATCH($C63,'FY25 By Venue Financials'!$H$10:$H$274,0),MATCH(AL$8,'FY25 By Venue Financials'!$P$4:$BF$4,0)),"N/A ")</f>
        <v>236.98616000000001</v>
      </c>
      <c r="AM63" s="391">
        <f t="array" ref="AM63">IFERROR(INDEX('FY25 By Venue Financials'!$P$10:$BF$274,MATCH($C63,'FY25 By Venue Financials'!$H$10:$H$274,0),MATCH(AM$8,'FY25 By Venue Financials'!$P$4:$BF$4,0)),"N/A ")</f>
        <v>296.76039999999995</v>
      </c>
      <c r="AN63" s="391">
        <f t="array" ref="AN63">IFERROR(INDEX('FY25 By Venue Financials'!$P$10:$BF$274,MATCH($C63,'FY25 By Venue Financials'!$H$10:$H$274,0),MATCH(AN$8,'FY25 By Venue Financials'!$P$4:$BF$4,0)),"N/A ")</f>
        <v>419.18364999999994</v>
      </c>
      <c r="AO63" s="391">
        <f t="array" ref="AO63">IFERROR(INDEX('FY25 By Venue Financials'!$P$10:$BF$274,MATCH($C63,'FY25 By Venue Financials'!$H$10:$H$274,0),MATCH(AO$8,'FY25 By Venue Financials'!$P$4:$BF$4,0)),"N/A ")</f>
        <v>1076.8578</v>
      </c>
      <c r="AP63" s="391">
        <f t="array" ref="AP63">IFERROR(INDEX('FY25 By Venue Financials'!$P$10:$BF$274,MATCH($C63,'FY25 By Venue Financials'!$H$10:$H$274,0),MATCH(AP$8,'FY25 By Venue Financials'!$P$4:$BF$4,0)),"N/A ")</f>
        <v>57.986520000000006</v>
      </c>
      <c r="AQ63" s="391">
        <f t="array" ref="AQ63">IFERROR(INDEX('FY25 By Venue Financials'!$P$10:$BF$274,MATCH($C63,'FY25 By Venue Financials'!$H$10:$H$274,0),MATCH(AQ$8,'FY25 By Venue Financials'!$P$4:$BF$4,0)),"N/A ")</f>
        <v>1209.20739</v>
      </c>
      <c r="AR63" s="391">
        <f t="array" ref="AR63">IFERROR(INDEX('FY25 By Venue Financials'!$P$10:$BF$274,MATCH($C63,'FY25 By Venue Financials'!$H$10:$H$274,0),MATCH(AR$8,'FY25 By Venue Financials'!$P$4:$BF$4,0)),"N/A ")</f>
        <v>18.68141</v>
      </c>
    </row>
    <row r="64" spans="3:44" ht="15.75" customHeight="1">
      <c r="C64" s="3" t="s">
        <v>118</v>
      </c>
      <c r="D64" s="389">
        <f t="shared" si="48"/>
        <v>9357.1115599999976</v>
      </c>
      <c r="E64" s="390"/>
      <c r="F64" s="389">
        <f t="shared" si="49"/>
        <v>4751.2068899999995</v>
      </c>
      <c r="G64" s="389">
        <f t="shared" si="50"/>
        <v>3855.9614499999998</v>
      </c>
      <c r="H64" s="389">
        <f t="shared" ref="H64:J64" si="66">SUMIFS($L64:$AR64,$L$6:$AR$6,H$8)</f>
        <v>1128.3318299999999</v>
      </c>
      <c r="I64" s="389">
        <f t="shared" si="66"/>
        <v>2497.0833400000001</v>
      </c>
      <c r="J64" s="389">
        <f t="shared" si="66"/>
        <v>980.48950000000002</v>
      </c>
      <c r="K64" s="390"/>
      <c r="L64" s="391">
        <f t="array" ref="L64">IFERROR(INDEX('FY25 By Venue Financials'!$P$10:$BF$274,MATCH($C64,'FY25 By Venue Financials'!$H$10:$H$274,0),MATCH(L$8,'FY25 By Venue Financials'!$P$4:$BF$4,0)),"N/A ")</f>
        <v>94.448499999999996</v>
      </c>
      <c r="M64" s="391">
        <f t="array" ref="M64">IFERROR(INDEX('FY25 By Venue Financials'!$P$10:$BF$274,MATCH($C64,'FY25 By Venue Financials'!$H$10:$H$274,0),MATCH(M$8,'FY25 By Venue Financials'!$P$4:$BF$4,0)),"N/A ")</f>
        <v>263.88504999999998</v>
      </c>
      <c r="N64" s="391">
        <f t="array" ref="N64">IFERROR(INDEX('FY25 By Venue Financials'!$P$10:$BF$274,MATCH($C64,'FY25 By Venue Financials'!$H$10:$H$274,0),MATCH(N$8,'FY25 By Venue Financials'!$P$4:$BF$4,0)),"N/A ")</f>
        <v>283.70999999999998</v>
      </c>
      <c r="O64" s="391">
        <f t="array" ref="O64">IFERROR(INDEX('FY25 By Venue Financials'!$P$10:$BF$274,MATCH($C64,'FY25 By Venue Financials'!$H$10:$H$274,0),MATCH(O$8,'FY25 By Venue Financials'!$P$4:$BF$4,0)),"N/A ")</f>
        <v>281.71982000000003</v>
      </c>
      <c r="P64" s="391">
        <f t="array" ref="P64">IFERROR(INDEX('FY25 By Venue Financials'!$P$10:$BF$274,MATCH($C64,'FY25 By Venue Financials'!$H$10:$H$274,0),MATCH(P$8,'FY25 By Venue Financials'!$P$4:$BF$4,0)),"N/A ")</f>
        <v>160.952</v>
      </c>
      <c r="Q64" s="391">
        <f t="array" ref="Q64">IFERROR(INDEX('FY25 By Venue Financials'!$P$10:$BF$274,MATCH($C64,'FY25 By Venue Financials'!$H$10:$H$274,0),MATCH(Q$8,'FY25 By Venue Financials'!$P$4:$BF$4,0)),"N/A ")</f>
        <v>443.70499999999998</v>
      </c>
      <c r="R64" s="391">
        <f t="array" ref="R64">IFERROR(INDEX('FY25 By Venue Financials'!$P$10:$BF$274,MATCH($C64,'FY25 By Venue Financials'!$H$10:$H$274,0),MATCH(R$8,'FY25 By Venue Financials'!$P$4:$BF$4,0)),"N/A ")</f>
        <v>201.012</v>
      </c>
      <c r="S64" s="391">
        <f t="array" ref="S64">IFERROR(INDEX('FY25 By Venue Financials'!$P$10:$BF$274,MATCH($C64,'FY25 By Venue Financials'!$H$10:$H$274,0),MATCH(S$8,'FY25 By Venue Financials'!$P$4:$BF$4,0)),"N/A ")</f>
        <v>359.2063</v>
      </c>
      <c r="T64" s="391">
        <f t="array" ref="T64">IFERROR(INDEX('FY25 By Venue Financials'!$P$10:$BF$274,MATCH($C64,'FY25 By Venue Financials'!$H$10:$H$274,0),MATCH(T$8,'FY25 By Venue Financials'!$P$4:$BF$4,0)),"N/A ")</f>
        <v>314.32890000000003</v>
      </c>
      <c r="U64" s="391">
        <f t="array" ref="U64">IFERROR(INDEX('FY25 By Venue Financials'!$P$10:$BF$274,MATCH($C64,'FY25 By Venue Financials'!$H$10:$H$274,0),MATCH(U$8,'FY25 By Venue Financials'!$P$4:$BF$4,0)),"N/A ")</f>
        <v>783.58493999999996</v>
      </c>
      <c r="V64" s="391">
        <f t="array" ref="V64">IFERROR(INDEX('FY25 By Venue Financials'!$P$10:$BF$274,MATCH($C64,'FY25 By Venue Financials'!$H$10:$H$274,0),MATCH(V$8,'FY25 By Venue Financials'!$P$4:$BF$4,0)),"N/A ")</f>
        <v>111.66049999999998</v>
      </c>
      <c r="W64" s="391">
        <f t="array" ref="W64">IFERROR(INDEX('FY25 By Venue Financials'!$P$10:$BF$274,MATCH($C64,'FY25 By Venue Financials'!$H$10:$H$274,0),MATCH(W$8,'FY25 By Venue Financials'!$P$4:$BF$4,0)),"N/A ")</f>
        <v>98.330500000000001</v>
      </c>
      <c r="X64" s="391">
        <f t="array" ref="X64">IFERROR(INDEX('FY25 By Venue Financials'!$P$10:$BF$274,MATCH($C64,'FY25 By Venue Financials'!$H$10:$H$274,0),MATCH(X$8,'FY25 By Venue Financials'!$P$4:$BF$4,0)),"N/A ")</f>
        <v>281.23</v>
      </c>
      <c r="Y64" s="391">
        <f t="array" ref="Y64">IFERROR(INDEX('FY25 By Venue Financials'!$P$10:$BF$274,MATCH($C64,'FY25 By Venue Financials'!$H$10:$H$274,0),MATCH(Y$8,'FY25 By Venue Financials'!$P$4:$BF$4,0)),"N/A ")</f>
        <v>241.1105</v>
      </c>
      <c r="Z64" s="391">
        <f t="array" ref="Z64">IFERROR(INDEX('FY25 By Venue Financials'!$P$10:$BF$274,MATCH($C64,'FY25 By Venue Financials'!$H$10:$H$274,0),MATCH(Z$8,'FY25 By Venue Financials'!$P$4:$BF$4,0)),"N/A ")</f>
        <v>490.57749999999999</v>
      </c>
      <c r="AA64" s="391">
        <f t="array" ref="AA64">IFERROR(INDEX('FY25 By Venue Financials'!$P$10:$BF$274,MATCH($C64,'FY25 By Venue Financials'!$H$10:$H$274,0),MATCH(AA$8,'FY25 By Venue Financials'!$P$4:$BF$4,0)),"N/A ")</f>
        <v>144.017</v>
      </c>
      <c r="AB64" s="391">
        <f t="array" ref="AB64">IFERROR(INDEX('FY25 By Venue Financials'!$P$10:$BF$274,MATCH($C64,'FY25 By Venue Financials'!$H$10:$H$274,0),MATCH(AB$8,'FY25 By Venue Financials'!$P$4:$BF$4,0)),"N/A ")</f>
        <v>106.529</v>
      </c>
      <c r="AC64" s="391">
        <f t="array" ref="AC64">IFERROR(INDEX('FY25 By Venue Financials'!$P$10:$BF$274,MATCH($C64,'FY25 By Venue Financials'!$H$10:$H$274,0),MATCH(AC$8,'FY25 By Venue Financials'!$P$4:$BF$4,0)),"N/A ")</f>
        <v>414.46793999999994</v>
      </c>
      <c r="AD64" s="391" t="str">
        <f t="array" ref="AD64">IFERROR(INDEX('FY25 By Venue Financials'!$P$10:$BF$274,MATCH($C64,'FY25 By Venue Financials'!$H$10:$H$274,0),MATCH(AD$8,'FY25 By Venue Financials'!$P$4:$BF$4,0)),"N/A ")</f>
        <v xml:space="preserve">N/A </v>
      </c>
      <c r="AE64" s="391">
        <f t="array" ref="AE64">IFERROR(INDEX('FY25 By Venue Financials'!$P$10:$BF$274,MATCH($C64,'FY25 By Venue Financials'!$H$10:$H$274,0),MATCH(AE$8,'FY25 By Venue Financials'!$P$4:$BF$4,0)),"N/A ")</f>
        <v>0</v>
      </c>
      <c r="AF64" s="391">
        <f t="array" ref="AF64">IFERROR(INDEX('FY25 By Venue Financials'!$P$10:$BF$274,MATCH($C64,'FY25 By Venue Financials'!$H$10:$H$274,0),MATCH(AF$8,'FY25 By Venue Financials'!$P$4:$BF$4,0)),"N/A ")</f>
        <v>121.54622000000001</v>
      </c>
      <c r="AG64" s="391">
        <f t="array" ref="AG64">IFERROR(INDEX('FY25 By Venue Financials'!$P$10:$BF$274,MATCH($C64,'FY25 By Venue Financials'!$H$10:$H$274,0),MATCH(AG$8,'FY25 By Venue Financials'!$P$4:$BF$4,0)),"N/A ")</f>
        <v>257.21800000000002</v>
      </c>
      <c r="AH64" s="391">
        <f t="array" ref="AH64">IFERROR(INDEX('FY25 By Venue Financials'!$P$10:$BF$274,MATCH($C64,'FY25 By Venue Financials'!$H$10:$H$274,0),MATCH(AH$8,'FY25 By Venue Financials'!$P$4:$BF$4,0)),"N/A ")</f>
        <v>256.25867</v>
      </c>
      <c r="AI64" s="391">
        <f t="array" ref="AI64">IFERROR(INDEX('FY25 By Venue Financials'!$P$10:$BF$274,MATCH($C64,'FY25 By Venue Financials'!$H$10:$H$274,0),MATCH(AI$8,'FY25 By Venue Financials'!$P$4:$BF$4,0)),"N/A ")</f>
        <v>78.840999999999994</v>
      </c>
      <c r="AJ64" s="391">
        <f t="array" ref="AJ64">IFERROR(INDEX('FY25 By Venue Financials'!$P$10:$BF$274,MATCH($C64,'FY25 By Venue Financials'!$H$10:$H$274,0),MATCH(AJ$8,'FY25 By Venue Financials'!$P$4:$BF$4,0)),"N/A ")</f>
        <v>350.33350000000002</v>
      </c>
      <c r="AK64" s="391">
        <f t="array" ref="AK64">IFERROR(INDEX('FY25 By Venue Financials'!$P$10:$BF$274,MATCH($C64,'FY25 By Venue Financials'!$H$10:$H$274,0),MATCH(AK$8,'FY25 By Venue Financials'!$P$4:$BF$4,0)),"N/A ")</f>
        <v>322.44749999999999</v>
      </c>
      <c r="AL64" s="391">
        <f t="array" ref="AL64">IFERROR(INDEX('FY25 By Venue Financials'!$P$10:$BF$274,MATCH($C64,'FY25 By Venue Financials'!$H$10:$H$274,0),MATCH(AL$8,'FY25 By Venue Financials'!$P$4:$BF$4,0)),"N/A ")</f>
        <v>222.41199</v>
      </c>
      <c r="AM64" s="391">
        <f t="array" ref="AM64">IFERROR(INDEX('FY25 By Venue Financials'!$P$10:$BF$274,MATCH($C64,'FY25 By Venue Financials'!$H$10:$H$274,0),MATCH(AM$8,'FY25 By Venue Financials'!$P$4:$BF$4,0)),"N/A ")</f>
        <v>264.66550000000001</v>
      </c>
      <c r="AN64" s="391">
        <f t="array" ref="AN64">IFERROR(INDEX('FY25 By Venue Financials'!$P$10:$BF$274,MATCH($C64,'FY25 By Venue Financials'!$H$10:$H$274,0),MATCH(AN$8,'FY25 By Venue Financials'!$P$4:$BF$4,0)),"N/A ")</f>
        <v>362.61499999999995</v>
      </c>
      <c r="AO64" s="391">
        <f t="array" ref="AO64">IFERROR(INDEX('FY25 By Venue Financials'!$P$10:$BF$274,MATCH($C64,'FY25 By Venue Financials'!$H$10:$H$274,0),MATCH(AO$8,'FY25 By Venue Financials'!$P$4:$BF$4,0)),"N/A ")</f>
        <v>862.78213000000005</v>
      </c>
      <c r="AP64" s="391">
        <f t="array" ref="AP64">IFERROR(INDEX('FY25 By Venue Financials'!$P$10:$BF$274,MATCH($C64,'FY25 By Venue Financials'!$H$10:$H$274,0),MATCH(AP$8,'FY25 By Venue Financials'!$P$4:$BF$4,0)),"N/A ")</f>
        <v>111.82772</v>
      </c>
      <c r="AQ64" s="391">
        <f t="array" ref="AQ64">IFERROR(INDEX('FY25 By Venue Financials'!$P$10:$BF$274,MATCH($C64,'FY25 By Venue Financials'!$H$10:$H$274,0),MATCH(AQ$8,'FY25 By Venue Financials'!$P$4:$BF$4,0)),"N/A ")</f>
        <v>980.48950000000002</v>
      </c>
      <c r="AR64" s="391">
        <f t="array" ref="AR64">IFERROR(INDEX('FY25 By Venue Financials'!$P$10:$BF$274,MATCH($C64,'FY25 By Venue Financials'!$H$10:$H$274,0),MATCH(AR$8,'FY25 By Venue Financials'!$P$4:$BF$4,0)),"N/A ")</f>
        <v>91.199380000000005</v>
      </c>
    </row>
    <row r="65" spans="5:11" ht="15.75" customHeight="1">
      <c r="E65" s="14"/>
      <c r="K65" s="14"/>
    </row>
    <row r="66" spans="5:11" ht="15.75" customHeight="1">
      <c r="E66" s="14"/>
      <c r="K66" s="14"/>
    </row>
    <row r="67" spans="5:11" ht="15.75" customHeight="1">
      <c r="E67" s="14"/>
      <c r="K67" s="14"/>
    </row>
    <row r="68" spans="5:11" ht="15.75" customHeight="1">
      <c r="E68" s="14"/>
      <c r="K68" s="14"/>
    </row>
    <row r="69" spans="5:11" ht="15.75" customHeight="1">
      <c r="E69" s="14"/>
      <c r="K69" s="14"/>
    </row>
    <row r="70" spans="5:11" ht="15.75" customHeight="1">
      <c r="E70" s="14"/>
      <c r="K70" s="14"/>
    </row>
    <row r="71" spans="5:11" ht="15.75" customHeight="1">
      <c r="E71" s="14"/>
      <c r="K71" s="14"/>
    </row>
    <row r="72" spans="5:11" ht="15.75" customHeight="1">
      <c r="E72" s="14"/>
      <c r="K72" s="14"/>
    </row>
    <row r="73" spans="5:11" ht="15.75" customHeight="1">
      <c r="E73" s="14"/>
      <c r="K73" s="14"/>
    </row>
    <row r="74" spans="5:11" ht="15.75" customHeight="1">
      <c r="E74" s="14"/>
      <c r="K74" s="14"/>
    </row>
    <row r="75" spans="5:11" ht="15.75" customHeight="1">
      <c r="E75" s="14"/>
      <c r="K75" s="14"/>
    </row>
    <row r="76" spans="5:11" ht="15.75" customHeight="1">
      <c r="E76" s="14"/>
      <c r="K76" s="14"/>
    </row>
    <row r="77" spans="5:11" ht="15.75" customHeight="1">
      <c r="E77" s="14"/>
      <c r="K77" s="14"/>
    </row>
    <row r="78" spans="5:11" ht="15.75" customHeight="1">
      <c r="E78" s="14"/>
      <c r="K78" s="14"/>
    </row>
    <row r="79" spans="5:11" ht="15.75" customHeight="1">
      <c r="E79" s="14"/>
      <c r="K79" s="14"/>
    </row>
    <row r="80" spans="5:11" ht="15.75" customHeight="1">
      <c r="E80" s="14"/>
      <c r="K80" s="14"/>
    </row>
    <row r="81" spans="5:11" ht="15.75" customHeight="1">
      <c r="E81" s="14"/>
      <c r="K81" s="14"/>
    </row>
    <row r="82" spans="5:11" ht="15.75" customHeight="1">
      <c r="E82" s="14"/>
      <c r="K82" s="14"/>
    </row>
    <row r="83" spans="5:11" ht="15.75" customHeight="1">
      <c r="E83" s="14"/>
      <c r="K83" s="14"/>
    </row>
    <row r="84" spans="5:11" ht="15.75" customHeight="1">
      <c r="E84" s="14"/>
      <c r="K84" s="14"/>
    </row>
    <row r="85" spans="5:11" ht="15.75" customHeight="1">
      <c r="E85" s="14"/>
      <c r="K85" s="14"/>
    </row>
    <row r="86" spans="5:11" ht="15.75" customHeight="1">
      <c r="E86" s="14"/>
      <c r="K86" s="14"/>
    </row>
    <row r="87" spans="5:11" ht="15.75" customHeight="1">
      <c r="E87" s="14"/>
      <c r="K87" s="14"/>
    </row>
    <row r="88" spans="5:11" ht="15.75" customHeight="1">
      <c r="E88" s="14"/>
      <c r="K88" s="14"/>
    </row>
    <row r="89" spans="5:11" ht="15.75" customHeight="1">
      <c r="E89" s="14"/>
      <c r="K89" s="14"/>
    </row>
    <row r="90" spans="5:11" ht="15.75" customHeight="1">
      <c r="E90" s="14"/>
      <c r="K90" s="14"/>
    </row>
    <row r="91" spans="5:11" ht="15.75" customHeight="1">
      <c r="E91" s="14"/>
      <c r="K91" s="14"/>
    </row>
    <row r="92" spans="5:11" ht="15.75" customHeight="1">
      <c r="E92" s="14"/>
      <c r="K92" s="14"/>
    </row>
    <row r="93" spans="5:11" ht="15.75" customHeight="1">
      <c r="E93" s="14"/>
      <c r="K93" s="14"/>
    </row>
    <row r="94" spans="5:11" ht="15.75" customHeight="1">
      <c r="E94" s="14"/>
      <c r="K94" s="14"/>
    </row>
    <row r="95" spans="5:11" ht="15.75" customHeight="1">
      <c r="E95" s="14"/>
      <c r="K95" s="14"/>
    </row>
    <row r="96" spans="5:11" ht="15.75" customHeight="1">
      <c r="E96" s="14"/>
      <c r="K96" s="14"/>
    </row>
    <row r="97" spans="5:11" ht="15.75" customHeight="1">
      <c r="E97" s="14"/>
      <c r="K97" s="14"/>
    </row>
    <row r="98" spans="5:11" ht="15.75" customHeight="1">
      <c r="E98" s="14"/>
      <c r="K98" s="14"/>
    </row>
    <row r="99" spans="5:11" ht="15.75" customHeight="1">
      <c r="E99" s="14"/>
      <c r="K99" s="14"/>
    </row>
    <row r="100" spans="5:11" ht="15.75" customHeight="1">
      <c r="E100" s="14"/>
      <c r="K100" s="14"/>
    </row>
    <row r="101" spans="5:11" ht="15.75" customHeight="1">
      <c r="E101" s="14"/>
      <c r="K101" s="14"/>
    </row>
    <row r="102" spans="5:11" ht="15.75" customHeight="1">
      <c r="E102" s="14"/>
      <c r="K102" s="14"/>
    </row>
    <row r="103" spans="5:11" ht="15.75" customHeight="1">
      <c r="E103" s="14"/>
      <c r="K103" s="14"/>
    </row>
    <row r="104" spans="5:11" ht="15.75" customHeight="1">
      <c r="E104" s="14"/>
      <c r="K104" s="14"/>
    </row>
    <row r="105" spans="5:11" ht="15.75" customHeight="1">
      <c r="E105" s="14"/>
      <c r="K105" s="14"/>
    </row>
    <row r="106" spans="5:11" ht="15.75" customHeight="1">
      <c r="E106" s="14"/>
      <c r="K106" s="14"/>
    </row>
    <row r="107" spans="5:11" ht="15.75" customHeight="1">
      <c r="E107" s="14"/>
      <c r="K107" s="14"/>
    </row>
    <row r="108" spans="5:11" ht="15.75" customHeight="1">
      <c r="E108" s="14"/>
      <c r="K108" s="14"/>
    </row>
    <row r="109" spans="5:11" ht="15.75" customHeight="1">
      <c r="E109" s="14"/>
      <c r="K109" s="14"/>
    </row>
    <row r="110" spans="5:11" ht="15.75" customHeight="1">
      <c r="E110" s="14"/>
      <c r="K110" s="14"/>
    </row>
    <row r="111" spans="5:11" ht="15.75" customHeight="1">
      <c r="E111" s="14"/>
      <c r="K111" s="14"/>
    </row>
    <row r="112" spans="5:11" ht="15.75" customHeight="1">
      <c r="E112" s="14"/>
      <c r="K112" s="14"/>
    </row>
    <row r="113" spans="5:11" ht="15.75" customHeight="1">
      <c r="E113" s="14"/>
      <c r="K113" s="14"/>
    </row>
    <row r="114" spans="5:11" ht="15.75" customHeight="1">
      <c r="E114" s="14"/>
      <c r="K114" s="14"/>
    </row>
    <row r="115" spans="5:11" ht="15.75" customHeight="1">
      <c r="E115" s="14"/>
      <c r="K115" s="14"/>
    </row>
    <row r="116" spans="5:11" ht="15.75" customHeight="1">
      <c r="E116" s="14"/>
      <c r="K116" s="14"/>
    </row>
    <row r="117" spans="5:11" ht="15.75" customHeight="1">
      <c r="E117" s="14"/>
      <c r="K117" s="14"/>
    </row>
    <row r="118" spans="5:11" ht="15.75" customHeight="1">
      <c r="E118" s="14"/>
      <c r="K118" s="14"/>
    </row>
    <row r="119" spans="5:11" ht="15.75" customHeight="1">
      <c r="E119" s="14"/>
      <c r="K119" s="14"/>
    </row>
    <row r="120" spans="5:11" ht="15.75" customHeight="1">
      <c r="E120" s="14"/>
      <c r="K120" s="14"/>
    </row>
    <row r="121" spans="5:11" ht="15.75" customHeight="1">
      <c r="E121" s="14"/>
      <c r="K121" s="14"/>
    </row>
    <row r="122" spans="5:11" ht="15.75" customHeight="1">
      <c r="E122" s="14"/>
      <c r="K122" s="14"/>
    </row>
    <row r="123" spans="5:11" ht="15.75" customHeight="1">
      <c r="E123" s="14"/>
      <c r="K123" s="14"/>
    </row>
    <row r="124" spans="5:11" ht="15.75" customHeight="1">
      <c r="E124" s="14"/>
      <c r="K124" s="14"/>
    </row>
    <row r="125" spans="5:11" ht="15.75" customHeight="1">
      <c r="E125" s="14"/>
      <c r="K125" s="14"/>
    </row>
    <row r="126" spans="5:11" ht="15.75" customHeight="1">
      <c r="E126" s="14"/>
      <c r="K126" s="14"/>
    </row>
    <row r="127" spans="5:11" ht="15.75" customHeight="1">
      <c r="E127" s="14"/>
      <c r="K127" s="14"/>
    </row>
    <row r="128" spans="5:11" ht="15.75" customHeight="1">
      <c r="E128" s="14"/>
      <c r="K128" s="14"/>
    </row>
    <row r="129" spans="5:11" ht="15.75" customHeight="1">
      <c r="E129" s="14"/>
      <c r="K129" s="14"/>
    </row>
    <row r="130" spans="5:11" ht="15.75" customHeight="1">
      <c r="E130" s="14"/>
      <c r="K130" s="14"/>
    </row>
    <row r="131" spans="5:11" ht="15.75" customHeight="1">
      <c r="E131" s="14"/>
      <c r="K131" s="14"/>
    </row>
    <row r="132" spans="5:11" ht="15.75" customHeight="1">
      <c r="E132" s="14"/>
      <c r="K132" s="14"/>
    </row>
    <row r="133" spans="5:11" ht="15.75" customHeight="1">
      <c r="E133" s="14"/>
      <c r="K133" s="14"/>
    </row>
    <row r="134" spans="5:11" ht="15.75" customHeight="1">
      <c r="E134" s="14"/>
      <c r="K134" s="14"/>
    </row>
    <row r="135" spans="5:11" ht="15.75" customHeight="1">
      <c r="E135" s="14"/>
      <c r="K135" s="14"/>
    </row>
    <row r="136" spans="5:11" ht="15.75" customHeight="1">
      <c r="E136" s="14"/>
      <c r="K136" s="14"/>
    </row>
    <row r="137" spans="5:11" ht="15.75" customHeight="1">
      <c r="E137" s="14"/>
      <c r="K137" s="14"/>
    </row>
    <row r="138" spans="5:11" ht="15.75" customHeight="1">
      <c r="E138" s="14"/>
      <c r="K138" s="14"/>
    </row>
    <row r="139" spans="5:11" ht="15.75" customHeight="1">
      <c r="E139" s="14"/>
      <c r="K139" s="14"/>
    </row>
    <row r="140" spans="5:11" ht="15.75" customHeight="1">
      <c r="E140" s="14"/>
      <c r="K140" s="14"/>
    </row>
    <row r="141" spans="5:11" ht="15.75" customHeight="1">
      <c r="E141" s="14"/>
      <c r="K141" s="14"/>
    </row>
    <row r="142" spans="5:11" ht="15.75" customHeight="1">
      <c r="E142" s="14"/>
      <c r="K142" s="14"/>
    </row>
    <row r="143" spans="5:11" ht="15.75" customHeight="1">
      <c r="E143" s="14"/>
      <c r="K143" s="14"/>
    </row>
    <row r="144" spans="5:11" ht="15.75" customHeight="1">
      <c r="E144" s="14"/>
      <c r="K144" s="14"/>
    </row>
    <row r="145" spans="5:11" ht="15.75" customHeight="1">
      <c r="E145" s="14"/>
      <c r="K145" s="14"/>
    </row>
    <row r="146" spans="5:11" ht="15.75" customHeight="1">
      <c r="E146" s="14"/>
      <c r="K146" s="14"/>
    </row>
    <row r="147" spans="5:11" ht="15.75" customHeight="1">
      <c r="E147" s="14"/>
      <c r="K147" s="14"/>
    </row>
    <row r="148" spans="5:11" ht="15.75" customHeight="1">
      <c r="E148" s="14"/>
      <c r="K148" s="14"/>
    </row>
    <row r="149" spans="5:11" ht="15.75" customHeight="1">
      <c r="E149" s="14"/>
      <c r="K149" s="14"/>
    </row>
    <row r="150" spans="5:11" ht="15.75" customHeight="1">
      <c r="E150" s="14"/>
      <c r="K150" s="14"/>
    </row>
    <row r="151" spans="5:11" ht="15.75" customHeight="1">
      <c r="E151" s="14"/>
      <c r="K151" s="14"/>
    </row>
    <row r="152" spans="5:11" ht="15.75" customHeight="1">
      <c r="E152" s="14"/>
      <c r="K152" s="14"/>
    </row>
    <row r="153" spans="5:11" ht="15.75" customHeight="1">
      <c r="E153" s="14"/>
      <c r="K153" s="14"/>
    </row>
    <row r="154" spans="5:11" ht="15.75" customHeight="1">
      <c r="E154" s="14"/>
      <c r="K154" s="14"/>
    </row>
    <row r="155" spans="5:11" ht="15.75" customHeight="1">
      <c r="E155" s="14"/>
      <c r="K155" s="14"/>
    </row>
    <row r="156" spans="5:11" ht="15.75" customHeight="1">
      <c r="E156" s="14"/>
      <c r="K156" s="14"/>
    </row>
    <row r="157" spans="5:11" ht="15.75" customHeight="1">
      <c r="E157" s="14"/>
      <c r="K157" s="14"/>
    </row>
    <row r="158" spans="5:11" ht="15.75" customHeight="1">
      <c r="E158" s="14"/>
      <c r="K158" s="14"/>
    </row>
    <row r="159" spans="5:11" ht="15.75" customHeight="1">
      <c r="E159" s="14"/>
      <c r="K159" s="14"/>
    </row>
    <row r="160" spans="5:11" ht="15.75" customHeight="1">
      <c r="E160" s="14"/>
      <c r="K160" s="14"/>
    </row>
    <row r="161" spans="5:11" ht="15.75" customHeight="1">
      <c r="E161" s="14"/>
      <c r="K161" s="14"/>
    </row>
    <row r="162" spans="5:11" ht="15.75" customHeight="1">
      <c r="E162" s="14"/>
      <c r="K162" s="14"/>
    </row>
    <row r="163" spans="5:11" ht="15.75" customHeight="1">
      <c r="E163" s="14"/>
      <c r="K163" s="14"/>
    </row>
    <row r="164" spans="5:11" ht="15.75" customHeight="1">
      <c r="E164" s="14"/>
      <c r="K164" s="14"/>
    </row>
    <row r="165" spans="5:11" ht="15.75" customHeight="1">
      <c r="E165" s="14"/>
      <c r="K165" s="14"/>
    </row>
    <row r="166" spans="5:11" ht="15.75" customHeight="1">
      <c r="E166" s="14"/>
      <c r="K166" s="14"/>
    </row>
    <row r="167" spans="5:11" ht="15.75" customHeight="1">
      <c r="E167" s="14"/>
      <c r="K167" s="14"/>
    </row>
    <row r="168" spans="5:11" ht="15.75" customHeight="1">
      <c r="E168" s="14"/>
      <c r="K168" s="14"/>
    </row>
    <row r="169" spans="5:11" ht="15.75" customHeight="1">
      <c r="E169" s="14"/>
      <c r="K169" s="14"/>
    </row>
    <row r="170" spans="5:11" ht="15.75" customHeight="1">
      <c r="E170" s="14"/>
      <c r="K170" s="14"/>
    </row>
    <row r="171" spans="5:11" ht="15.75" customHeight="1">
      <c r="E171" s="14"/>
      <c r="K171" s="14"/>
    </row>
    <row r="172" spans="5:11" ht="15.75" customHeight="1">
      <c r="E172" s="14"/>
      <c r="K172" s="14"/>
    </row>
    <row r="173" spans="5:11" ht="15.75" customHeight="1">
      <c r="E173" s="14"/>
      <c r="K173" s="14"/>
    </row>
    <row r="174" spans="5:11" ht="15.75" customHeight="1">
      <c r="E174" s="14"/>
      <c r="K174" s="14"/>
    </row>
    <row r="175" spans="5:11" ht="15.75" customHeight="1">
      <c r="E175" s="14"/>
      <c r="K175" s="14"/>
    </row>
    <row r="176" spans="5:11" ht="15.75" customHeight="1">
      <c r="E176" s="14"/>
      <c r="K176" s="14"/>
    </row>
    <row r="177" spans="5:11" ht="15.75" customHeight="1">
      <c r="E177" s="14"/>
      <c r="K177" s="14"/>
    </row>
    <row r="178" spans="5:11" ht="15.75" customHeight="1">
      <c r="E178" s="14"/>
      <c r="K178" s="14"/>
    </row>
    <row r="179" spans="5:11" ht="15.75" customHeight="1">
      <c r="E179" s="14"/>
      <c r="K179" s="14"/>
    </row>
    <row r="180" spans="5:11" ht="15.75" customHeight="1">
      <c r="E180" s="14"/>
      <c r="K180" s="14"/>
    </row>
    <row r="181" spans="5:11" ht="15.75" customHeight="1">
      <c r="E181" s="14"/>
      <c r="K181" s="14"/>
    </row>
    <row r="182" spans="5:11" ht="15.75" customHeight="1">
      <c r="E182" s="14"/>
      <c r="K182" s="14"/>
    </row>
    <row r="183" spans="5:11" ht="15.75" customHeight="1">
      <c r="E183" s="14"/>
      <c r="K183" s="14"/>
    </row>
    <row r="184" spans="5:11" ht="15.75" customHeight="1">
      <c r="E184" s="14"/>
      <c r="K184" s="14"/>
    </row>
    <row r="185" spans="5:11" ht="15.75" customHeight="1">
      <c r="E185" s="14"/>
      <c r="K185" s="14"/>
    </row>
    <row r="186" spans="5:11" ht="15.75" customHeight="1">
      <c r="E186" s="14"/>
      <c r="K186" s="14"/>
    </row>
    <row r="187" spans="5:11" ht="15.75" customHeight="1">
      <c r="E187" s="14"/>
      <c r="K187" s="14"/>
    </row>
    <row r="188" spans="5:11" ht="15.75" customHeight="1">
      <c r="E188" s="14"/>
      <c r="K188" s="14"/>
    </row>
    <row r="189" spans="5:11" ht="15.75" customHeight="1">
      <c r="E189" s="14"/>
      <c r="K189" s="14"/>
    </row>
    <row r="190" spans="5:11" ht="15.75" customHeight="1">
      <c r="E190" s="14"/>
      <c r="K190" s="14"/>
    </row>
    <row r="191" spans="5:11" ht="15.75" customHeight="1">
      <c r="E191" s="14"/>
      <c r="K191" s="14"/>
    </row>
    <row r="192" spans="5:11" ht="15.75" customHeight="1">
      <c r="E192" s="14"/>
      <c r="K192" s="14"/>
    </row>
    <row r="193" spans="5:11" ht="15.75" customHeight="1">
      <c r="E193" s="14"/>
      <c r="K193" s="14"/>
    </row>
    <row r="194" spans="5:11" ht="15.75" customHeight="1">
      <c r="E194" s="14"/>
      <c r="K194" s="14"/>
    </row>
    <row r="195" spans="5:11" ht="15.75" customHeight="1">
      <c r="E195" s="14"/>
      <c r="K195" s="14"/>
    </row>
    <row r="196" spans="5:11" ht="15.75" customHeight="1">
      <c r="E196" s="14"/>
      <c r="K196" s="14"/>
    </row>
    <row r="197" spans="5:11" ht="15.75" customHeight="1">
      <c r="E197" s="14"/>
      <c r="K197" s="14"/>
    </row>
    <row r="198" spans="5:11" ht="15.75" customHeight="1">
      <c r="E198" s="14"/>
      <c r="K198" s="14"/>
    </row>
    <row r="199" spans="5:11" ht="15.75" customHeight="1">
      <c r="E199" s="14"/>
      <c r="K199" s="14"/>
    </row>
    <row r="200" spans="5:11" ht="15.75" customHeight="1">
      <c r="E200" s="14"/>
      <c r="K200" s="14"/>
    </row>
    <row r="201" spans="5:11" ht="15.75" customHeight="1">
      <c r="E201" s="14"/>
      <c r="K201" s="14"/>
    </row>
    <row r="202" spans="5:11" ht="15.75" customHeight="1">
      <c r="E202" s="14"/>
      <c r="K202" s="14"/>
    </row>
    <row r="203" spans="5:11" ht="15.75" customHeight="1">
      <c r="E203" s="14"/>
      <c r="K203" s="14"/>
    </row>
    <row r="204" spans="5:11" ht="15.75" customHeight="1">
      <c r="E204" s="14"/>
      <c r="K204" s="14"/>
    </row>
    <row r="205" spans="5:11" ht="15.75" customHeight="1">
      <c r="E205" s="14"/>
      <c r="K205" s="14"/>
    </row>
    <row r="206" spans="5:11" ht="15.75" customHeight="1">
      <c r="E206" s="14"/>
      <c r="K206" s="14"/>
    </row>
    <row r="207" spans="5:11" ht="15.75" customHeight="1">
      <c r="E207" s="14"/>
      <c r="K207" s="14"/>
    </row>
    <row r="208" spans="5:11" ht="15.75" customHeight="1">
      <c r="E208" s="14"/>
      <c r="K208" s="14"/>
    </row>
    <row r="209" spans="5:11" ht="15.75" customHeight="1">
      <c r="E209" s="14"/>
      <c r="K209" s="14"/>
    </row>
    <row r="210" spans="5:11" ht="15.75" customHeight="1">
      <c r="E210" s="14"/>
      <c r="K210" s="14"/>
    </row>
    <row r="211" spans="5:11" ht="15.75" customHeight="1">
      <c r="E211" s="14"/>
      <c r="K211" s="14"/>
    </row>
    <row r="212" spans="5:11" ht="15.75" customHeight="1">
      <c r="E212" s="14"/>
      <c r="K212" s="14"/>
    </row>
    <row r="213" spans="5:11" ht="15.75" customHeight="1">
      <c r="E213" s="14"/>
      <c r="K213" s="14"/>
    </row>
    <row r="214" spans="5:11" ht="15.75" customHeight="1">
      <c r="E214" s="14"/>
      <c r="K214" s="14"/>
    </row>
    <row r="215" spans="5:11" ht="15.75" customHeight="1">
      <c r="E215" s="14"/>
      <c r="K215" s="14"/>
    </row>
    <row r="216" spans="5:11" ht="15.75" customHeight="1">
      <c r="E216" s="14"/>
      <c r="K216" s="14"/>
    </row>
    <row r="217" spans="5:11" ht="15.75" customHeight="1">
      <c r="E217" s="14"/>
      <c r="K217" s="14"/>
    </row>
    <row r="218" spans="5:11" ht="15.75" customHeight="1">
      <c r="E218" s="14"/>
      <c r="K218" s="14"/>
    </row>
    <row r="219" spans="5:11" ht="15.75" customHeight="1">
      <c r="E219" s="14"/>
      <c r="K219" s="14"/>
    </row>
    <row r="220" spans="5:11" ht="15.75" customHeight="1">
      <c r="E220" s="14"/>
      <c r="K220" s="14"/>
    </row>
    <row r="221" spans="5:11" ht="15.75" customHeight="1">
      <c r="E221" s="14"/>
      <c r="K221" s="14"/>
    </row>
    <row r="222" spans="5:11" ht="15.75" customHeight="1">
      <c r="E222" s="14"/>
      <c r="K222" s="14"/>
    </row>
    <row r="223" spans="5:11" ht="15.75" customHeight="1">
      <c r="E223" s="14"/>
      <c r="K223" s="14"/>
    </row>
    <row r="224" spans="5:11" ht="15.75" customHeight="1">
      <c r="E224" s="14"/>
      <c r="K224" s="14"/>
    </row>
    <row r="225" spans="5:11" ht="15.75" customHeight="1">
      <c r="E225" s="14"/>
      <c r="K225" s="14"/>
    </row>
    <row r="226" spans="5:11" ht="15.75" customHeight="1">
      <c r="E226" s="14"/>
      <c r="K226" s="14"/>
    </row>
    <row r="227" spans="5:11" ht="15.75" customHeight="1">
      <c r="E227" s="14"/>
      <c r="K227" s="14"/>
    </row>
    <row r="228" spans="5:11" ht="15.75" customHeight="1">
      <c r="E228" s="14"/>
      <c r="K228" s="14"/>
    </row>
    <row r="229" spans="5:11" ht="15.75" customHeight="1">
      <c r="E229" s="14"/>
      <c r="K229" s="14"/>
    </row>
    <row r="230" spans="5:11" ht="15.75" customHeight="1">
      <c r="E230" s="14"/>
      <c r="K230" s="14"/>
    </row>
    <row r="231" spans="5:11" ht="15.75" customHeight="1">
      <c r="E231" s="14"/>
      <c r="K231" s="14"/>
    </row>
    <row r="232" spans="5:11" ht="15.75" customHeight="1">
      <c r="E232" s="14"/>
      <c r="K232" s="14"/>
    </row>
    <row r="233" spans="5:11" ht="15.75" customHeight="1">
      <c r="E233" s="14"/>
      <c r="K233" s="14"/>
    </row>
    <row r="234" spans="5:11" ht="15.75" customHeight="1">
      <c r="E234" s="14"/>
      <c r="K234" s="14"/>
    </row>
    <row r="235" spans="5:11" ht="15.75" customHeight="1">
      <c r="E235" s="14"/>
      <c r="K235" s="14"/>
    </row>
    <row r="236" spans="5:11" ht="15.75" customHeight="1">
      <c r="E236" s="14"/>
      <c r="K236" s="14"/>
    </row>
    <row r="237" spans="5:11" ht="15.75" customHeight="1">
      <c r="E237" s="14"/>
      <c r="K237" s="14"/>
    </row>
    <row r="238" spans="5:11" ht="15.75" customHeight="1">
      <c r="E238" s="14"/>
      <c r="K238" s="14"/>
    </row>
    <row r="239" spans="5:11" ht="15.75" customHeight="1">
      <c r="E239" s="14"/>
      <c r="K239" s="14"/>
    </row>
    <row r="240" spans="5:11" ht="15.75" customHeight="1">
      <c r="E240" s="14"/>
      <c r="K240" s="14"/>
    </row>
    <row r="241" spans="5:11" ht="15.75" customHeight="1">
      <c r="E241" s="14"/>
      <c r="K241" s="14"/>
    </row>
    <row r="242" spans="5:11" ht="15.75" customHeight="1">
      <c r="E242" s="14"/>
      <c r="K242" s="14"/>
    </row>
    <row r="243" spans="5:11" ht="15.75" customHeight="1">
      <c r="E243" s="14"/>
      <c r="K243" s="14"/>
    </row>
    <row r="244" spans="5:11" ht="15.75" customHeight="1">
      <c r="E244" s="14"/>
      <c r="K244" s="14"/>
    </row>
    <row r="245" spans="5:11" ht="15.75" customHeight="1">
      <c r="E245" s="14"/>
      <c r="K245" s="14"/>
    </row>
    <row r="246" spans="5:11" ht="15.75" customHeight="1">
      <c r="E246" s="14"/>
      <c r="K246" s="14"/>
    </row>
    <row r="247" spans="5:11" ht="15.75" customHeight="1">
      <c r="E247" s="14"/>
      <c r="K247" s="14"/>
    </row>
    <row r="248" spans="5:11" ht="15.75" customHeight="1">
      <c r="E248" s="14"/>
      <c r="K248" s="14"/>
    </row>
    <row r="249" spans="5:11" ht="15.75" customHeight="1">
      <c r="E249" s="14"/>
      <c r="K249" s="14"/>
    </row>
    <row r="250" spans="5:11" ht="15.75" customHeight="1">
      <c r="E250" s="14"/>
      <c r="K250" s="14"/>
    </row>
    <row r="251" spans="5:11" ht="15.75" customHeight="1">
      <c r="E251" s="14"/>
      <c r="K251" s="14"/>
    </row>
    <row r="252" spans="5:11" ht="15.75" customHeight="1">
      <c r="E252" s="14"/>
      <c r="K252" s="14"/>
    </row>
    <row r="253" spans="5:11" ht="15.75" customHeight="1">
      <c r="E253" s="14"/>
      <c r="K253" s="14"/>
    </row>
    <row r="254" spans="5:11" ht="15.75" customHeight="1">
      <c r="E254" s="14"/>
      <c r="K254" s="14"/>
    </row>
    <row r="255" spans="5:11" ht="15.75" customHeight="1">
      <c r="E255" s="14"/>
      <c r="K255" s="14"/>
    </row>
    <row r="256" spans="5:11" ht="15.75" customHeight="1">
      <c r="E256" s="14"/>
      <c r="K256" s="14"/>
    </row>
    <row r="257" spans="5:11" ht="15.75" customHeight="1">
      <c r="E257" s="14"/>
      <c r="K257" s="14"/>
    </row>
    <row r="258" spans="5:11" ht="15.75" customHeight="1">
      <c r="E258" s="14"/>
      <c r="K258" s="14"/>
    </row>
    <row r="259" spans="5:11" ht="15.75" customHeight="1">
      <c r="E259" s="14"/>
      <c r="K259" s="14"/>
    </row>
    <row r="260" spans="5:11" ht="15.75" customHeight="1">
      <c r="E260" s="14"/>
      <c r="K260" s="14"/>
    </row>
    <row r="261" spans="5:11" ht="15.75" customHeight="1">
      <c r="E261" s="14"/>
      <c r="K261" s="14"/>
    </row>
    <row r="262" spans="5:11" ht="15.75" customHeight="1">
      <c r="E262" s="14"/>
      <c r="K262" s="14"/>
    </row>
    <row r="263" spans="5:11" ht="15.75" customHeight="1">
      <c r="E263" s="14"/>
      <c r="K263" s="14"/>
    </row>
    <row r="264" spans="5:11" ht="15.75" customHeight="1">
      <c r="E264" s="14"/>
      <c r="K264" s="14"/>
    </row>
    <row r="265" spans="5:11" ht="15.75" customHeight="1">
      <c r="E265" s="14"/>
      <c r="K265" s="14"/>
    </row>
    <row r="266" spans="5:11" ht="15.75" customHeight="1">
      <c r="E266" s="14"/>
      <c r="K266" s="14"/>
    </row>
    <row r="267" spans="5:11" ht="15.75" customHeight="1">
      <c r="E267" s="14"/>
      <c r="K267" s="14"/>
    </row>
    <row r="268" spans="5:11" ht="15.75" customHeight="1">
      <c r="E268" s="14"/>
      <c r="K268" s="14"/>
    </row>
    <row r="269" spans="5:11" ht="15.75" customHeight="1">
      <c r="E269" s="14"/>
      <c r="K269" s="14"/>
    </row>
    <row r="270" spans="5:11" ht="15.75" customHeight="1">
      <c r="E270" s="14"/>
      <c r="K270" s="14"/>
    </row>
    <row r="271" spans="5:11" ht="15.75" customHeight="1">
      <c r="E271" s="14"/>
      <c r="K271" s="14"/>
    </row>
    <row r="272" spans="5:11" ht="15.75" customHeight="1">
      <c r="E272" s="14"/>
      <c r="K272" s="14"/>
    </row>
    <row r="273" spans="5:11" ht="15.75" customHeight="1">
      <c r="E273" s="14"/>
      <c r="K273" s="14"/>
    </row>
    <row r="274" spans="5:11" ht="15.75" customHeight="1">
      <c r="E274" s="14"/>
      <c r="K274" s="14"/>
    </row>
    <row r="275" spans="5:11" ht="15.75" customHeight="1">
      <c r="E275" s="14"/>
      <c r="K275" s="14"/>
    </row>
    <row r="276" spans="5:11" ht="15.75" customHeight="1">
      <c r="E276" s="14"/>
      <c r="K276" s="14"/>
    </row>
    <row r="277" spans="5:11" ht="15.75" customHeight="1">
      <c r="E277" s="14"/>
      <c r="K277" s="14"/>
    </row>
    <row r="278" spans="5:11" ht="15.75" customHeight="1">
      <c r="E278" s="14"/>
      <c r="K278" s="14"/>
    </row>
    <row r="279" spans="5:11" ht="15.75" customHeight="1">
      <c r="E279" s="14"/>
      <c r="K279" s="14"/>
    </row>
    <row r="280" spans="5:11" ht="15.75" customHeight="1">
      <c r="E280" s="14"/>
      <c r="K280" s="14"/>
    </row>
    <row r="281" spans="5:11" ht="15.75" customHeight="1">
      <c r="E281" s="14"/>
      <c r="K281" s="14"/>
    </row>
    <row r="282" spans="5:11" ht="15.75" customHeight="1">
      <c r="E282" s="14"/>
      <c r="K282" s="14"/>
    </row>
    <row r="283" spans="5:11" ht="15.75" customHeight="1">
      <c r="E283" s="14"/>
      <c r="K283" s="14"/>
    </row>
    <row r="284" spans="5:11" ht="15.75" customHeight="1">
      <c r="E284" s="14"/>
      <c r="K284" s="14"/>
    </row>
    <row r="285" spans="5:11" ht="15.75" customHeight="1">
      <c r="E285" s="14"/>
      <c r="K285" s="14"/>
    </row>
    <row r="286" spans="5:11" ht="15.75" customHeight="1">
      <c r="E286" s="14"/>
      <c r="K286" s="14"/>
    </row>
    <row r="287" spans="5:11" ht="15.75" customHeight="1">
      <c r="E287" s="14"/>
      <c r="K287" s="14"/>
    </row>
    <row r="288" spans="5:11" ht="15.75" customHeight="1">
      <c r="E288" s="14"/>
      <c r="K288" s="14"/>
    </row>
    <row r="289" spans="5:11" ht="15.75" customHeight="1">
      <c r="E289" s="14"/>
      <c r="K289" s="14"/>
    </row>
    <row r="290" spans="5:11" ht="15.75" customHeight="1">
      <c r="E290" s="14"/>
      <c r="K290" s="14"/>
    </row>
    <row r="291" spans="5:11" ht="15.75" customHeight="1">
      <c r="E291" s="14"/>
      <c r="K291" s="14"/>
    </row>
    <row r="292" spans="5:11" ht="15.75" customHeight="1">
      <c r="E292" s="14"/>
      <c r="K292" s="14"/>
    </row>
    <row r="293" spans="5:11" ht="15.75" customHeight="1">
      <c r="E293" s="14"/>
      <c r="K293" s="14"/>
    </row>
    <row r="294" spans="5:11" ht="15.75" customHeight="1">
      <c r="E294" s="14"/>
      <c r="K294" s="14"/>
    </row>
    <row r="295" spans="5:11" ht="15.75" customHeight="1">
      <c r="E295" s="14"/>
      <c r="K295" s="14"/>
    </row>
    <row r="296" spans="5:11" ht="15.75" customHeight="1">
      <c r="E296" s="14"/>
      <c r="K296" s="14"/>
    </row>
    <row r="297" spans="5:11" ht="15.75" customHeight="1">
      <c r="E297" s="14"/>
      <c r="K297" s="14"/>
    </row>
    <row r="298" spans="5:11" ht="15.75" customHeight="1">
      <c r="E298" s="14"/>
      <c r="K298" s="14"/>
    </row>
    <row r="299" spans="5:11" ht="15.75" customHeight="1">
      <c r="E299" s="14"/>
      <c r="K299" s="14"/>
    </row>
    <row r="300" spans="5:11" ht="15.75" customHeight="1">
      <c r="E300" s="14"/>
      <c r="K300" s="14"/>
    </row>
    <row r="301" spans="5:11" ht="15.75" customHeight="1">
      <c r="E301" s="14"/>
      <c r="K301" s="14"/>
    </row>
    <row r="302" spans="5:11" ht="15.75" customHeight="1">
      <c r="E302" s="14"/>
      <c r="K302" s="14"/>
    </row>
    <row r="303" spans="5:11" ht="15.75" customHeight="1">
      <c r="E303" s="14"/>
      <c r="K303" s="14"/>
    </row>
    <row r="304" spans="5:11" ht="15.75" customHeight="1">
      <c r="E304" s="14"/>
      <c r="K304" s="14"/>
    </row>
    <row r="305" spans="5:11" ht="15.75" customHeight="1">
      <c r="E305" s="14"/>
      <c r="K305" s="14"/>
    </row>
    <row r="306" spans="5:11" ht="15.75" customHeight="1">
      <c r="E306" s="14"/>
      <c r="K306" s="14"/>
    </row>
    <row r="307" spans="5:11" ht="15.75" customHeight="1">
      <c r="E307" s="14"/>
      <c r="K307" s="14"/>
    </row>
    <row r="308" spans="5:11" ht="15.75" customHeight="1">
      <c r="E308" s="14"/>
      <c r="K308" s="14"/>
    </row>
    <row r="309" spans="5:11" ht="15.75" customHeight="1">
      <c r="E309" s="14"/>
      <c r="K309" s="14"/>
    </row>
    <row r="310" spans="5:11" ht="15.75" customHeight="1">
      <c r="E310" s="14"/>
      <c r="K310" s="14"/>
    </row>
    <row r="311" spans="5:11" ht="15.75" customHeight="1">
      <c r="E311" s="14"/>
      <c r="K311" s="14"/>
    </row>
    <row r="312" spans="5:11" ht="15.75" customHeight="1">
      <c r="E312" s="14"/>
      <c r="K312" s="14"/>
    </row>
    <row r="313" spans="5:11" ht="15.75" customHeight="1">
      <c r="E313" s="14"/>
      <c r="K313" s="14"/>
    </row>
    <row r="314" spans="5:11" ht="15.75" customHeight="1">
      <c r="E314" s="14"/>
      <c r="K314" s="14"/>
    </row>
    <row r="315" spans="5:11" ht="15.75" customHeight="1">
      <c r="E315" s="14"/>
      <c r="K315" s="14"/>
    </row>
    <row r="316" spans="5:11" ht="15.75" customHeight="1">
      <c r="E316" s="14"/>
      <c r="K316" s="14"/>
    </row>
    <row r="317" spans="5:11" ht="15.75" customHeight="1">
      <c r="E317" s="14"/>
      <c r="K317" s="14"/>
    </row>
    <row r="318" spans="5:11" ht="15.75" customHeight="1">
      <c r="E318" s="14"/>
      <c r="K318" s="14"/>
    </row>
    <row r="319" spans="5:11" ht="15.75" customHeight="1">
      <c r="E319" s="14"/>
      <c r="K319" s="14"/>
    </row>
    <row r="320" spans="5:11" ht="15.75" customHeight="1">
      <c r="E320" s="14"/>
      <c r="K320" s="14"/>
    </row>
    <row r="321" spans="5:11" ht="15.75" customHeight="1">
      <c r="E321" s="14"/>
      <c r="K321" s="14"/>
    </row>
    <row r="322" spans="5:11" ht="15.75" customHeight="1">
      <c r="E322" s="14"/>
      <c r="K322" s="14"/>
    </row>
    <row r="323" spans="5:11" ht="15.75" customHeight="1">
      <c r="E323" s="14"/>
      <c r="K323" s="14"/>
    </row>
    <row r="324" spans="5:11" ht="15.75" customHeight="1">
      <c r="E324" s="14"/>
      <c r="K324" s="14"/>
    </row>
    <row r="325" spans="5:11" ht="15.75" customHeight="1">
      <c r="E325" s="14"/>
      <c r="K325" s="14"/>
    </row>
    <row r="326" spans="5:11" ht="15.75" customHeight="1">
      <c r="E326" s="14"/>
      <c r="K326" s="14"/>
    </row>
    <row r="327" spans="5:11" ht="15.75" customHeight="1">
      <c r="E327" s="14"/>
      <c r="K327" s="14"/>
    </row>
    <row r="328" spans="5:11" ht="15.75" customHeight="1">
      <c r="E328" s="14"/>
      <c r="K328" s="14"/>
    </row>
    <row r="329" spans="5:11" ht="15.75" customHeight="1">
      <c r="E329" s="14"/>
      <c r="K329" s="14"/>
    </row>
    <row r="330" spans="5:11" ht="15.75" customHeight="1">
      <c r="E330" s="14"/>
      <c r="K330" s="14"/>
    </row>
    <row r="331" spans="5:11" ht="15.75" customHeight="1">
      <c r="E331" s="14"/>
      <c r="K331" s="14"/>
    </row>
    <row r="332" spans="5:11" ht="15.75" customHeight="1">
      <c r="E332" s="14"/>
      <c r="K332" s="14"/>
    </row>
    <row r="333" spans="5:11" ht="15.75" customHeight="1">
      <c r="E333" s="14"/>
      <c r="K333" s="14"/>
    </row>
    <row r="334" spans="5:11" ht="15.75" customHeight="1">
      <c r="E334" s="14"/>
      <c r="K334" s="14"/>
    </row>
    <row r="335" spans="5:11" ht="15.75" customHeight="1">
      <c r="E335" s="14"/>
      <c r="K335" s="14"/>
    </row>
    <row r="336" spans="5:11" ht="15.75" customHeight="1">
      <c r="E336" s="14"/>
      <c r="K336" s="14"/>
    </row>
    <row r="337" spans="5:11" ht="15.75" customHeight="1">
      <c r="E337" s="14"/>
      <c r="K337" s="14"/>
    </row>
    <row r="338" spans="5:11" ht="15.75" customHeight="1">
      <c r="E338" s="14"/>
      <c r="K338" s="14"/>
    </row>
    <row r="339" spans="5:11" ht="15.75" customHeight="1">
      <c r="E339" s="14"/>
      <c r="K339" s="14"/>
    </row>
    <row r="340" spans="5:11" ht="15.75" customHeight="1">
      <c r="E340" s="14"/>
      <c r="K340" s="14"/>
    </row>
    <row r="341" spans="5:11" ht="15.75" customHeight="1">
      <c r="E341" s="14"/>
      <c r="K341" s="14"/>
    </row>
    <row r="342" spans="5:11" ht="15.75" customHeight="1">
      <c r="E342" s="14"/>
      <c r="K342" s="14"/>
    </row>
    <row r="343" spans="5:11" ht="15.75" customHeight="1">
      <c r="E343" s="14"/>
      <c r="K343" s="14"/>
    </row>
    <row r="344" spans="5:11" ht="15.75" customHeight="1">
      <c r="E344" s="14"/>
      <c r="K344" s="14"/>
    </row>
    <row r="345" spans="5:11" ht="15.75" customHeight="1">
      <c r="E345" s="14"/>
      <c r="K345" s="14"/>
    </row>
    <row r="346" spans="5:11" ht="15.75" customHeight="1">
      <c r="E346" s="14"/>
      <c r="K346" s="14"/>
    </row>
    <row r="347" spans="5:11" ht="15.75" customHeight="1">
      <c r="E347" s="14"/>
      <c r="K347" s="14"/>
    </row>
    <row r="348" spans="5:11" ht="15.75" customHeight="1">
      <c r="E348" s="14"/>
      <c r="K348" s="14"/>
    </row>
    <row r="349" spans="5:11" ht="15.75" customHeight="1">
      <c r="E349" s="14"/>
      <c r="K349" s="14"/>
    </row>
    <row r="350" spans="5:11" ht="15.75" customHeight="1">
      <c r="E350" s="14"/>
      <c r="K350" s="14"/>
    </row>
    <row r="351" spans="5:11" ht="15.75" customHeight="1">
      <c r="E351" s="14"/>
      <c r="K351" s="14"/>
    </row>
    <row r="352" spans="5:11" ht="15.75" customHeight="1">
      <c r="E352" s="14"/>
      <c r="K352" s="14"/>
    </row>
    <row r="353" spans="5:11" ht="15.75" customHeight="1">
      <c r="E353" s="14"/>
      <c r="K353" s="14"/>
    </row>
    <row r="354" spans="5:11" ht="15.75" customHeight="1">
      <c r="E354" s="14"/>
      <c r="K354" s="14"/>
    </row>
    <row r="355" spans="5:11" ht="15.75" customHeight="1">
      <c r="E355" s="14"/>
      <c r="K355" s="14"/>
    </row>
    <row r="356" spans="5:11" ht="15.75" customHeight="1">
      <c r="E356" s="14"/>
      <c r="K356" s="14"/>
    </row>
    <row r="357" spans="5:11" ht="15.75" customHeight="1">
      <c r="E357" s="14"/>
      <c r="K357" s="14"/>
    </row>
    <row r="358" spans="5:11" ht="15.75" customHeight="1">
      <c r="E358" s="14"/>
      <c r="K358" s="14"/>
    </row>
    <row r="359" spans="5:11" ht="15.75" customHeight="1">
      <c r="E359" s="14"/>
      <c r="K359" s="14"/>
    </row>
    <row r="360" spans="5:11" ht="15.75" customHeight="1">
      <c r="E360" s="14"/>
      <c r="K360" s="14"/>
    </row>
    <row r="361" spans="5:11" ht="15.75" customHeight="1">
      <c r="E361" s="14"/>
      <c r="K361" s="14"/>
    </row>
    <row r="362" spans="5:11" ht="15.75" customHeight="1">
      <c r="E362" s="14"/>
      <c r="K362" s="14"/>
    </row>
    <row r="363" spans="5:11" ht="15.75" customHeight="1">
      <c r="E363" s="14"/>
      <c r="K363" s="14"/>
    </row>
    <row r="364" spans="5:11" ht="15.75" customHeight="1">
      <c r="E364" s="14"/>
      <c r="K364" s="14"/>
    </row>
    <row r="365" spans="5:11" ht="15.75" customHeight="1">
      <c r="E365" s="14"/>
      <c r="K365" s="14"/>
    </row>
    <row r="366" spans="5:11" ht="15.75" customHeight="1">
      <c r="E366" s="14"/>
      <c r="K366" s="14"/>
    </row>
    <row r="367" spans="5:11" ht="15.75" customHeight="1">
      <c r="E367" s="14"/>
      <c r="K367" s="14"/>
    </row>
    <row r="368" spans="5:11" ht="15.75" customHeight="1">
      <c r="E368" s="14"/>
      <c r="K368" s="14"/>
    </row>
    <row r="369" spans="5:11" ht="15.75" customHeight="1">
      <c r="E369" s="14"/>
      <c r="K369" s="14"/>
    </row>
    <row r="370" spans="5:11" ht="15.75" customHeight="1">
      <c r="E370" s="14"/>
      <c r="K370" s="14"/>
    </row>
    <row r="371" spans="5:11" ht="15.75" customHeight="1">
      <c r="E371" s="14"/>
      <c r="K371" s="14"/>
    </row>
    <row r="372" spans="5:11" ht="15.75" customHeight="1">
      <c r="E372" s="14"/>
      <c r="K372" s="14"/>
    </row>
    <row r="373" spans="5:11" ht="15.75" customHeight="1">
      <c r="E373" s="14"/>
      <c r="K373" s="14"/>
    </row>
    <row r="374" spans="5:11" ht="15.75" customHeight="1">
      <c r="E374" s="14"/>
      <c r="K374" s="14"/>
    </row>
    <row r="375" spans="5:11" ht="15.75" customHeight="1">
      <c r="E375" s="14"/>
      <c r="K375" s="14"/>
    </row>
    <row r="376" spans="5:11" ht="15.75" customHeight="1">
      <c r="E376" s="14"/>
      <c r="K376" s="14"/>
    </row>
    <row r="377" spans="5:11" ht="15.75" customHeight="1">
      <c r="E377" s="14"/>
      <c r="K377" s="14"/>
    </row>
    <row r="378" spans="5:11" ht="15.75" customHeight="1">
      <c r="E378" s="14"/>
      <c r="K378" s="14"/>
    </row>
    <row r="379" spans="5:11" ht="15.75" customHeight="1">
      <c r="E379" s="14"/>
      <c r="K379" s="14"/>
    </row>
    <row r="380" spans="5:11" ht="15.75" customHeight="1">
      <c r="E380" s="14"/>
      <c r="K380" s="14"/>
    </row>
    <row r="381" spans="5:11" ht="15.75" customHeight="1">
      <c r="E381" s="14"/>
      <c r="K381" s="14"/>
    </row>
    <row r="382" spans="5:11" ht="15.75" customHeight="1">
      <c r="E382" s="14"/>
      <c r="K382" s="14"/>
    </row>
    <row r="383" spans="5:11" ht="15.75" customHeight="1">
      <c r="E383" s="14"/>
      <c r="K383" s="14"/>
    </row>
    <row r="384" spans="5:11" ht="15.75" customHeight="1">
      <c r="E384" s="14"/>
      <c r="K384" s="14"/>
    </row>
    <row r="385" spans="5:11" ht="15.75" customHeight="1">
      <c r="E385" s="14"/>
      <c r="K385" s="14"/>
    </row>
    <row r="386" spans="5:11" ht="15.75" customHeight="1">
      <c r="E386" s="14"/>
      <c r="K386" s="14"/>
    </row>
    <row r="387" spans="5:11" ht="15.75" customHeight="1">
      <c r="E387" s="14"/>
      <c r="K387" s="14"/>
    </row>
    <row r="388" spans="5:11" ht="15.75" customHeight="1">
      <c r="E388" s="14"/>
      <c r="K388" s="14"/>
    </row>
    <row r="389" spans="5:11" ht="15.75" customHeight="1">
      <c r="E389" s="14"/>
      <c r="K389" s="14"/>
    </row>
    <row r="390" spans="5:11" ht="15.75" customHeight="1">
      <c r="E390" s="14"/>
      <c r="K390" s="14"/>
    </row>
    <row r="391" spans="5:11" ht="15.75" customHeight="1">
      <c r="E391" s="14"/>
      <c r="K391" s="14"/>
    </row>
    <row r="392" spans="5:11" ht="15.75" customHeight="1">
      <c r="E392" s="14"/>
      <c r="K392" s="14"/>
    </row>
    <row r="393" spans="5:11" ht="15.75" customHeight="1">
      <c r="E393" s="14"/>
      <c r="K393" s="14"/>
    </row>
    <row r="394" spans="5:11" ht="15.75" customHeight="1">
      <c r="E394" s="14"/>
      <c r="K394" s="14"/>
    </row>
    <row r="395" spans="5:11" ht="15.75" customHeight="1">
      <c r="E395" s="14"/>
      <c r="K395" s="14"/>
    </row>
    <row r="396" spans="5:11" ht="15.75" customHeight="1">
      <c r="E396" s="14"/>
      <c r="K396" s="14"/>
    </row>
    <row r="397" spans="5:11" ht="15.75" customHeight="1">
      <c r="E397" s="14"/>
      <c r="K397" s="14"/>
    </row>
    <row r="398" spans="5:11" ht="15.75" customHeight="1">
      <c r="E398" s="14"/>
      <c r="K398" s="14"/>
    </row>
    <row r="399" spans="5:11" ht="15.75" customHeight="1">
      <c r="E399" s="14"/>
      <c r="K399" s="14"/>
    </row>
    <row r="400" spans="5:11" ht="15.75" customHeight="1">
      <c r="E400" s="14"/>
      <c r="K400" s="14"/>
    </row>
    <row r="401" spans="5:11" ht="15.75" customHeight="1">
      <c r="E401" s="14"/>
      <c r="K401" s="14"/>
    </row>
    <row r="402" spans="5:11" ht="15.75" customHeight="1">
      <c r="E402" s="14"/>
      <c r="K402" s="14"/>
    </row>
    <row r="403" spans="5:11" ht="15.75" customHeight="1">
      <c r="E403" s="14"/>
      <c r="K403" s="14"/>
    </row>
    <row r="404" spans="5:11" ht="15.75" customHeight="1">
      <c r="E404" s="14"/>
      <c r="K404" s="14"/>
    </row>
    <row r="405" spans="5:11" ht="15.75" customHeight="1">
      <c r="E405" s="14"/>
      <c r="K405" s="14"/>
    </row>
    <row r="406" spans="5:11" ht="15.75" customHeight="1">
      <c r="E406" s="14"/>
      <c r="K406" s="14"/>
    </row>
    <row r="407" spans="5:11" ht="15.75" customHeight="1">
      <c r="E407" s="14"/>
      <c r="K407" s="14"/>
    </row>
    <row r="408" spans="5:11" ht="15.75" customHeight="1">
      <c r="E408" s="14"/>
      <c r="K408" s="14"/>
    </row>
    <row r="409" spans="5:11" ht="15.75" customHeight="1">
      <c r="E409" s="14"/>
      <c r="K409" s="14"/>
    </row>
    <row r="410" spans="5:11" ht="15.75" customHeight="1">
      <c r="E410" s="14"/>
      <c r="K410" s="14"/>
    </row>
    <row r="411" spans="5:11" ht="15.75" customHeight="1">
      <c r="E411" s="14"/>
      <c r="K411" s="14"/>
    </row>
    <row r="412" spans="5:11" ht="15.75" customHeight="1">
      <c r="E412" s="14"/>
      <c r="K412" s="14"/>
    </row>
    <row r="413" spans="5:11" ht="15.75" customHeight="1">
      <c r="E413" s="14"/>
      <c r="K413" s="14"/>
    </row>
    <row r="414" spans="5:11" ht="15.75" customHeight="1">
      <c r="E414" s="14"/>
      <c r="K414" s="14"/>
    </row>
    <row r="415" spans="5:11" ht="15.75" customHeight="1">
      <c r="E415" s="14"/>
      <c r="K415" s="14"/>
    </row>
    <row r="416" spans="5:11" ht="15.75" customHeight="1">
      <c r="E416" s="14"/>
      <c r="K416" s="14"/>
    </row>
    <row r="417" spans="5:11" ht="15.75" customHeight="1">
      <c r="E417" s="14"/>
      <c r="K417" s="14"/>
    </row>
    <row r="418" spans="5:11" ht="15.75" customHeight="1">
      <c r="E418" s="14"/>
      <c r="K418" s="14"/>
    </row>
    <row r="419" spans="5:11" ht="15.75" customHeight="1">
      <c r="E419" s="14"/>
      <c r="K419" s="14"/>
    </row>
    <row r="420" spans="5:11" ht="15.75" customHeight="1">
      <c r="E420" s="14"/>
      <c r="K420" s="14"/>
    </row>
    <row r="421" spans="5:11" ht="15.75" customHeight="1">
      <c r="E421" s="14"/>
      <c r="K421" s="14"/>
    </row>
    <row r="422" spans="5:11" ht="15.75" customHeight="1">
      <c r="E422" s="14"/>
      <c r="K422" s="14"/>
    </row>
    <row r="423" spans="5:11" ht="15.75" customHeight="1">
      <c r="E423" s="14"/>
      <c r="K423" s="14"/>
    </row>
    <row r="424" spans="5:11" ht="15.75" customHeight="1">
      <c r="E424" s="14"/>
      <c r="K424" s="14"/>
    </row>
    <row r="425" spans="5:11" ht="15.75" customHeight="1">
      <c r="E425" s="14"/>
      <c r="K425" s="14"/>
    </row>
    <row r="426" spans="5:11" ht="15.75" customHeight="1">
      <c r="E426" s="14"/>
      <c r="K426" s="14"/>
    </row>
    <row r="427" spans="5:11" ht="15.75" customHeight="1">
      <c r="E427" s="14"/>
      <c r="K427" s="14"/>
    </row>
    <row r="428" spans="5:11" ht="15.75" customHeight="1">
      <c r="E428" s="14"/>
      <c r="K428" s="14"/>
    </row>
    <row r="429" spans="5:11" ht="15.75" customHeight="1">
      <c r="E429" s="14"/>
      <c r="K429" s="14"/>
    </row>
    <row r="430" spans="5:11" ht="15.75" customHeight="1">
      <c r="E430" s="14"/>
      <c r="K430" s="14"/>
    </row>
    <row r="431" spans="5:11" ht="15.75" customHeight="1">
      <c r="E431" s="14"/>
      <c r="K431" s="14"/>
    </row>
    <row r="432" spans="5:11" ht="15.75" customHeight="1">
      <c r="E432" s="14"/>
      <c r="K432" s="14"/>
    </row>
    <row r="433" spans="5:11" ht="15.75" customHeight="1">
      <c r="E433" s="14"/>
      <c r="K433" s="14"/>
    </row>
    <row r="434" spans="5:11" ht="15.75" customHeight="1">
      <c r="E434" s="14"/>
      <c r="K434" s="14"/>
    </row>
    <row r="435" spans="5:11" ht="15.75" customHeight="1">
      <c r="E435" s="14"/>
      <c r="K435" s="14"/>
    </row>
    <row r="436" spans="5:11" ht="15.75" customHeight="1">
      <c r="E436" s="14"/>
      <c r="K436" s="14"/>
    </row>
    <row r="437" spans="5:11" ht="15.75" customHeight="1">
      <c r="E437" s="14"/>
      <c r="K437" s="14"/>
    </row>
    <row r="438" spans="5:11" ht="15.75" customHeight="1">
      <c r="E438" s="14"/>
      <c r="K438" s="14"/>
    </row>
    <row r="439" spans="5:11" ht="15.75" customHeight="1">
      <c r="E439" s="14"/>
      <c r="K439" s="14"/>
    </row>
    <row r="440" spans="5:11" ht="15.75" customHeight="1">
      <c r="E440" s="14"/>
      <c r="K440" s="14"/>
    </row>
    <row r="441" spans="5:11" ht="15.75" customHeight="1">
      <c r="E441" s="14"/>
      <c r="K441" s="14"/>
    </row>
    <row r="442" spans="5:11" ht="15.75" customHeight="1">
      <c r="E442" s="14"/>
      <c r="K442" s="14"/>
    </row>
    <row r="443" spans="5:11" ht="15.75" customHeight="1">
      <c r="E443" s="14"/>
      <c r="K443" s="14"/>
    </row>
    <row r="444" spans="5:11" ht="15.75" customHeight="1">
      <c r="E444" s="14"/>
      <c r="K444" s="14"/>
    </row>
    <row r="445" spans="5:11" ht="15.75" customHeight="1">
      <c r="E445" s="14"/>
      <c r="K445" s="14"/>
    </row>
    <row r="446" spans="5:11" ht="15.75" customHeight="1">
      <c r="E446" s="14"/>
      <c r="K446" s="14"/>
    </row>
    <row r="447" spans="5:11" ht="15.75" customHeight="1">
      <c r="E447" s="14"/>
      <c r="K447" s="14"/>
    </row>
    <row r="448" spans="5:11" ht="15.75" customHeight="1">
      <c r="E448" s="14"/>
      <c r="K448" s="14"/>
    </row>
    <row r="449" spans="5:11" ht="15.75" customHeight="1">
      <c r="E449" s="14"/>
      <c r="K449" s="14"/>
    </row>
    <row r="450" spans="5:11" ht="15.75" customHeight="1">
      <c r="E450" s="14"/>
      <c r="K450" s="14"/>
    </row>
    <row r="451" spans="5:11" ht="15.75" customHeight="1">
      <c r="E451" s="14"/>
      <c r="K451" s="14"/>
    </row>
    <row r="452" spans="5:11" ht="15.75" customHeight="1">
      <c r="E452" s="14"/>
      <c r="K452" s="14"/>
    </row>
    <row r="453" spans="5:11" ht="15.75" customHeight="1">
      <c r="E453" s="14"/>
      <c r="K453" s="14"/>
    </row>
    <row r="454" spans="5:11" ht="15.75" customHeight="1">
      <c r="E454" s="14"/>
      <c r="K454" s="14"/>
    </row>
    <row r="455" spans="5:11" ht="15.75" customHeight="1">
      <c r="E455" s="14"/>
      <c r="K455" s="14"/>
    </row>
    <row r="456" spans="5:11" ht="15.75" customHeight="1">
      <c r="E456" s="14"/>
      <c r="K456" s="14"/>
    </row>
    <row r="457" spans="5:11" ht="15.75" customHeight="1">
      <c r="E457" s="14"/>
      <c r="K457" s="14"/>
    </row>
    <row r="458" spans="5:11" ht="15.75" customHeight="1">
      <c r="E458" s="14"/>
      <c r="K458" s="14"/>
    </row>
    <row r="459" spans="5:11" ht="15.75" customHeight="1">
      <c r="E459" s="14"/>
      <c r="K459" s="14"/>
    </row>
    <row r="460" spans="5:11" ht="15.75" customHeight="1">
      <c r="E460" s="14"/>
      <c r="K460" s="14"/>
    </row>
    <row r="461" spans="5:11" ht="15.75" customHeight="1">
      <c r="E461" s="14"/>
      <c r="K461" s="14"/>
    </row>
    <row r="462" spans="5:11" ht="15.75" customHeight="1">
      <c r="E462" s="14"/>
      <c r="K462" s="14"/>
    </row>
    <row r="463" spans="5:11" ht="15.75" customHeight="1">
      <c r="E463" s="14"/>
      <c r="K463" s="14"/>
    </row>
    <row r="464" spans="5:11" ht="15.75" customHeight="1">
      <c r="E464" s="14"/>
      <c r="K464" s="14"/>
    </row>
    <row r="465" spans="5:11" ht="15.75" customHeight="1">
      <c r="E465" s="14"/>
      <c r="K465" s="14"/>
    </row>
    <row r="466" spans="5:11" ht="15.75" customHeight="1">
      <c r="E466" s="14"/>
      <c r="K466" s="14"/>
    </row>
    <row r="467" spans="5:11" ht="15.75" customHeight="1">
      <c r="E467" s="14"/>
      <c r="K467" s="14"/>
    </row>
    <row r="468" spans="5:11" ht="15.75" customHeight="1">
      <c r="E468" s="14"/>
      <c r="K468" s="14"/>
    </row>
    <row r="469" spans="5:11" ht="15.75" customHeight="1">
      <c r="E469" s="14"/>
      <c r="K469" s="14"/>
    </row>
    <row r="470" spans="5:11" ht="15.75" customHeight="1">
      <c r="E470" s="14"/>
      <c r="K470" s="14"/>
    </row>
    <row r="471" spans="5:11" ht="15.75" customHeight="1">
      <c r="E471" s="14"/>
      <c r="K471" s="14"/>
    </row>
    <row r="472" spans="5:11" ht="15.75" customHeight="1">
      <c r="E472" s="14"/>
      <c r="K472" s="14"/>
    </row>
    <row r="473" spans="5:11" ht="15.75" customHeight="1">
      <c r="E473" s="14"/>
      <c r="K473" s="14"/>
    </row>
    <row r="474" spans="5:11" ht="15.75" customHeight="1">
      <c r="E474" s="14"/>
      <c r="K474" s="14"/>
    </row>
    <row r="475" spans="5:11" ht="15.75" customHeight="1">
      <c r="E475" s="14"/>
      <c r="K475" s="14"/>
    </row>
    <row r="476" spans="5:11" ht="15.75" customHeight="1">
      <c r="E476" s="14"/>
      <c r="K476" s="14"/>
    </row>
    <row r="477" spans="5:11" ht="15.75" customHeight="1">
      <c r="E477" s="14"/>
      <c r="K477" s="14"/>
    </row>
    <row r="478" spans="5:11" ht="15.75" customHeight="1">
      <c r="E478" s="14"/>
      <c r="K478" s="14"/>
    </row>
    <row r="479" spans="5:11" ht="15.75" customHeight="1">
      <c r="E479" s="14"/>
      <c r="K479" s="14"/>
    </row>
    <row r="480" spans="5:11" ht="15.75" customHeight="1">
      <c r="E480" s="14"/>
      <c r="K480" s="14"/>
    </row>
    <row r="481" spans="5:11" ht="15.75" customHeight="1">
      <c r="E481" s="14"/>
      <c r="K481" s="14"/>
    </row>
    <row r="482" spans="5:11" ht="15.75" customHeight="1">
      <c r="E482" s="14"/>
      <c r="K482" s="14"/>
    </row>
    <row r="483" spans="5:11" ht="15.75" customHeight="1">
      <c r="E483" s="14"/>
      <c r="K483" s="14"/>
    </row>
    <row r="484" spans="5:11" ht="15.75" customHeight="1">
      <c r="E484" s="14"/>
      <c r="K484" s="14"/>
    </row>
    <row r="485" spans="5:11" ht="15.75" customHeight="1">
      <c r="E485" s="14"/>
      <c r="K485" s="14"/>
    </row>
    <row r="486" spans="5:11" ht="15.75" customHeight="1">
      <c r="E486" s="14"/>
      <c r="K486" s="14"/>
    </row>
    <row r="487" spans="5:11" ht="15.75" customHeight="1">
      <c r="E487" s="14"/>
      <c r="K487" s="14"/>
    </row>
    <row r="488" spans="5:11" ht="15.75" customHeight="1">
      <c r="E488" s="14"/>
      <c r="K488" s="14"/>
    </row>
    <row r="489" spans="5:11" ht="15.75" customHeight="1">
      <c r="E489" s="14"/>
      <c r="K489" s="14"/>
    </row>
    <row r="490" spans="5:11" ht="15.75" customHeight="1">
      <c r="E490" s="14"/>
      <c r="K490" s="14"/>
    </row>
    <row r="491" spans="5:11" ht="15.75" customHeight="1">
      <c r="E491" s="14"/>
      <c r="K491" s="14"/>
    </row>
    <row r="492" spans="5:11" ht="15.75" customHeight="1">
      <c r="E492" s="14"/>
      <c r="K492" s="14"/>
    </row>
    <row r="493" spans="5:11" ht="15.75" customHeight="1">
      <c r="E493" s="14"/>
      <c r="K493" s="14"/>
    </row>
    <row r="494" spans="5:11" ht="15.75" customHeight="1">
      <c r="E494" s="14"/>
      <c r="K494" s="14"/>
    </row>
    <row r="495" spans="5:11" ht="15.75" customHeight="1">
      <c r="E495" s="14"/>
      <c r="K495" s="14"/>
    </row>
    <row r="496" spans="5:11" ht="15.75" customHeight="1">
      <c r="E496" s="14"/>
      <c r="K496" s="14"/>
    </row>
    <row r="497" spans="5:11" ht="15.75" customHeight="1">
      <c r="E497" s="14"/>
      <c r="K497" s="14"/>
    </row>
    <row r="498" spans="5:11" ht="15.75" customHeight="1">
      <c r="E498" s="14"/>
      <c r="K498" s="14"/>
    </row>
    <row r="499" spans="5:11" ht="15.75" customHeight="1">
      <c r="E499" s="14"/>
      <c r="K499" s="14"/>
    </row>
    <row r="500" spans="5:11" ht="15.75" customHeight="1">
      <c r="E500" s="14"/>
      <c r="K500" s="14"/>
    </row>
    <row r="501" spans="5:11" ht="15.75" customHeight="1">
      <c r="E501" s="14"/>
      <c r="K501" s="14"/>
    </row>
    <row r="502" spans="5:11" ht="15.75" customHeight="1">
      <c r="E502" s="14"/>
      <c r="K502" s="14"/>
    </row>
    <row r="503" spans="5:11" ht="15.75" customHeight="1">
      <c r="E503" s="14"/>
      <c r="K503" s="14"/>
    </row>
    <row r="504" spans="5:11" ht="15.75" customHeight="1">
      <c r="E504" s="14"/>
      <c r="K504" s="14"/>
    </row>
    <row r="505" spans="5:11" ht="15.75" customHeight="1">
      <c r="E505" s="14"/>
      <c r="K505" s="14"/>
    </row>
    <row r="506" spans="5:11" ht="15.75" customHeight="1">
      <c r="E506" s="14"/>
      <c r="K506" s="14"/>
    </row>
    <row r="507" spans="5:11" ht="15.75" customHeight="1">
      <c r="E507" s="14"/>
      <c r="K507" s="14"/>
    </row>
    <row r="508" spans="5:11" ht="15.75" customHeight="1">
      <c r="E508" s="14"/>
      <c r="K508" s="14"/>
    </row>
    <row r="509" spans="5:11" ht="15.75" customHeight="1">
      <c r="E509" s="14"/>
      <c r="K509" s="14"/>
    </row>
    <row r="510" spans="5:11" ht="15.75" customHeight="1">
      <c r="E510" s="14"/>
      <c r="K510" s="14"/>
    </row>
    <row r="511" spans="5:11" ht="15.75" customHeight="1">
      <c r="E511" s="14"/>
      <c r="K511" s="14"/>
    </row>
    <row r="512" spans="5:11" ht="15.75" customHeight="1">
      <c r="E512" s="14"/>
      <c r="K512" s="14"/>
    </row>
    <row r="513" spans="5:11" ht="15.75" customHeight="1">
      <c r="E513" s="14"/>
      <c r="K513" s="14"/>
    </row>
    <row r="514" spans="5:11" ht="15.75" customHeight="1">
      <c r="E514" s="14"/>
      <c r="K514" s="14"/>
    </row>
    <row r="515" spans="5:11" ht="15.75" customHeight="1">
      <c r="E515" s="14"/>
      <c r="K515" s="14"/>
    </row>
    <row r="516" spans="5:11" ht="15.75" customHeight="1">
      <c r="E516" s="14"/>
      <c r="K516" s="14"/>
    </row>
    <row r="517" spans="5:11" ht="15.75" customHeight="1">
      <c r="E517" s="14"/>
      <c r="K517" s="14"/>
    </row>
    <row r="518" spans="5:11" ht="15.75" customHeight="1">
      <c r="E518" s="14"/>
      <c r="K518" s="14"/>
    </row>
    <row r="519" spans="5:11" ht="15.75" customHeight="1">
      <c r="E519" s="14"/>
      <c r="K519" s="14"/>
    </row>
    <row r="520" spans="5:11" ht="15.75" customHeight="1">
      <c r="E520" s="14"/>
      <c r="K520" s="14"/>
    </row>
    <row r="521" spans="5:11" ht="15.75" customHeight="1">
      <c r="E521" s="14"/>
      <c r="K521" s="14"/>
    </row>
    <row r="522" spans="5:11" ht="15.75" customHeight="1">
      <c r="E522" s="14"/>
      <c r="K522" s="14"/>
    </row>
    <row r="523" spans="5:11" ht="15.75" customHeight="1">
      <c r="E523" s="14"/>
      <c r="K523" s="14"/>
    </row>
    <row r="524" spans="5:11" ht="15.75" customHeight="1">
      <c r="E524" s="14"/>
      <c r="K524" s="14"/>
    </row>
    <row r="525" spans="5:11" ht="15.75" customHeight="1">
      <c r="E525" s="14"/>
      <c r="K525" s="14"/>
    </row>
    <row r="526" spans="5:11" ht="15.75" customHeight="1">
      <c r="E526" s="14"/>
      <c r="K526" s="14"/>
    </row>
    <row r="527" spans="5:11" ht="15.75" customHeight="1">
      <c r="E527" s="14"/>
      <c r="K527" s="14"/>
    </row>
    <row r="528" spans="5:11" ht="15.75" customHeight="1">
      <c r="E528" s="14"/>
      <c r="K528" s="14"/>
    </row>
    <row r="529" spans="5:11" ht="15.75" customHeight="1">
      <c r="E529" s="14"/>
      <c r="K529" s="14"/>
    </row>
    <row r="530" spans="5:11" ht="15.75" customHeight="1">
      <c r="E530" s="14"/>
      <c r="K530" s="14"/>
    </row>
    <row r="531" spans="5:11" ht="15.75" customHeight="1">
      <c r="E531" s="14"/>
      <c r="K531" s="14"/>
    </row>
    <row r="532" spans="5:11" ht="15.75" customHeight="1">
      <c r="E532" s="14"/>
      <c r="K532" s="14"/>
    </row>
    <row r="533" spans="5:11" ht="15.75" customHeight="1">
      <c r="E533" s="14"/>
      <c r="K533" s="14"/>
    </row>
    <row r="534" spans="5:11" ht="15.75" customHeight="1">
      <c r="E534" s="14"/>
      <c r="K534" s="14"/>
    </row>
    <row r="535" spans="5:11" ht="15.75" customHeight="1">
      <c r="E535" s="14"/>
      <c r="K535" s="14"/>
    </row>
    <row r="536" spans="5:11" ht="15.75" customHeight="1">
      <c r="E536" s="14"/>
      <c r="K536" s="14"/>
    </row>
    <row r="537" spans="5:11" ht="15.75" customHeight="1">
      <c r="E537" s="14"/>
      <c r="K537" s="14"/>
    </row>
    <row r="538" spans="5:11" ht="15.75" customHeight="1">
      <c r="E538" s="14"/>
      <c r="K538" s="14"/>
    </row>
    <row r="539" spans="5:11" ht="15.75" customHeight="1">
      <c r="E539" s="14"/>
      <c r="K539" s="14"/>
    </row>
    <row r="540" spans="5:11" ht="15.75" customHeight="1">
      <c r="E540" s="14"/>
      <c r="K540" s="14"/>
    </row>
    <row r="541" spans="5:11" ht="15.75" customHeight="1">
      <c r="E541" s="14"/>
      <c r="K541" s="14"/>
    </row>
    <row r="542" spans="5:11" ht="15.75" customHeight="1">
      <c r="E542" s="14"/>
      <c r="K542" s="14"/>
    </row>
    <row r="543" spans="5:11" ht="15.75" customHeight="1">
      <c r="E543" s="14"/>
      <c r="K543" s="14"/>
    </row>
    <row r="544" spans="5:11" ht="15.75" customHeight="1">
      <c r="E544" s="14"/>
      <c r="K544" s="14"/>
    </row>
    <row r="545" spans="5:11" ht="15.75" customHeight="1">
      <c r="E545" s="14"/>
      <c r="K545" s="14"/>
    </row>
    <row r="546" spans="5:11" ht="15.75" customHeight="1">
      <c r="E546" s="14"/>
      <c r="K546" s="14"/>
    </row>
    <row r="547" spans="5:11" ht="15.75" customHeight="1">
      <c r="E547" s="14"/>
      <c r="K547" s="14"/>
    </row>
    <row r="548" spans="5:11" ht="15.75" customHeight="1">
      <c r="E548" s="14"/>
      <c r="K548" s="14"/>
    </row>
    <row r="549" spans="5:11" ht="15.75" customHeight="1">
      <c r="E549" s="14"/>
      <c r="K549" s="14"/>
    </row>
    <row r="550" spans="5:11" ht="15.75" customHeight="1">
      <c r="E550" s="14"/>
      <c r="K550" s="14"/>
    </row>
    <row r="551" spans="5:11" ht="15.75" customHeight="1">
      <c r="E551" s="14"/>
      <c r="K551" s="14"/>
    </row>
    <row r="552" spans="5:11" ht="15.75" customHeight="1">
      <c r="E552" s="14"/>
      <c r="K552" s="14"/>
    </row>
    <row r="553" spans="5:11" ht="15.75" customHeight="1">
      <c r="E553" s="14"/>
      <c r="K553" s="14"/>
    </row>
    <row r="554" spans="5:11" ht="15.75" customHeight="1">
      <c r="E554" s="14"/>
      <c r="K554" s="14"/>
    </row>
    <row r="555" spans="5:11" ht="15.75" customHeight="1">
      <c r="E555" s="14"/>
      <c r="K555" s="14"/>
    </row>
    <row r="556" spans="5:11" ht="15.75" customHeight="1">
      <c r="E556" s="14"/>
      <c r="K556" s="14"/>
    </row>
    <row r="557" spans="5:11" ht="15.75" customHeight="1">
      <c r="E557" s="14"/>
      <c r="K557" s="14"/>
    </row>
    <row r="558" spans="5:11" ht="15.75" customHeight="1">
      <c r="E558" s="14"/>
      <c r="K558" s="14"/>
    </row>
    <row r="559" spans="5:11" ht="15.75" customHeight="1">
      <c r="E559" s="14"/>
      <c r="K559" s="14"/>
    </row>
    <row r="560" spans="5:11" ht="15.75" customHeight="1">
      <c r="E560" s="14"/>
      <c r="K560" s="14"/>
    </row>
    <row r="561" spans="5:11" ht="15.75" customHeight="1">
      <c r="E561" s="14"/>
      <c r="K561" s="14"/>
    </row>
    <row r="562" spans="5:11" ht="15.75" customHeight="1">
      <c r="E562" s="14"/>
      <c r="K562" s="14"/>
    </row>
    <row r="563" spans="5:11" ht="15.75" customHeight="1">
      <c r="E563" s="14"/>
      <c r="K563" s="14"/>
    </row>
    <row r="564" spans="5:11" ht="15.75" customHeight="1">
      <c r="E564" s="14"/>
      <c r="K564" s="14"/>
    </row>
    <row r="565" spans="5:11" ht="15.75" customHeight="1">
      <c r="E565" s="14"/>
      <c r="K565" s="14"/>
    </row>
    <row r="566" spans="5:11" ht="15.75" customHeight="1">
      <c r="E566" s="14"/>
      <c r="K566" s="14"/>
    </row>
    <row r="567" spans="5:11" ht="15.75" customHeight="1">
      <c r="E567" s="14"/>
      <c r="K567" s="14"/>
    </row>
    <row r="568" spans="5:11" ht="15.75" customHeight="1">
      <c r="E568" s="14"/>
      <c r="K568" s="14"/>
    </row>
    <row r="569" spans="5:11" ht="15.75" customHeight="1">
      <c r="E569" s="14"/>
      <c r="K569" s="14"/>
    </row>
    <row r="570" spans="5:11" ht="15.75" customHeight="1">
      <c r="E570" s="14"/>
      <c r="K570" s="14"/>
    </row>
    <row r="571" spans="5:11" ht="15.75" customHeight="1">
      <c r="E571" s="14"/>
      <c r="K571" s="14"/>
    </row>
    <row r="572" spans="5:11" ht="15.75" customHeight="1">
      <c r="E572" s="14"/>
      <c r="K572" s="14"/>
    </row>
    <row r="573" spans="5:11" ht="15.75" customHeight="1">
      <c r="E573" s="14"/>
      <c r="K573" s="14"/>
    </row>
    <row r="574" spans="5:11" ht="15.75" customHeight="1">
      <c r="E574" s="14"/>
      <c r="K574" s="14"/>
    </row>
    <row r="575" spans="5:11" ht="15.75" customHeight="1">
      <c r="E575" s="14"/>
      <c r="K575" s="14"/>
    </row>
    <row r="576" spans="5:11" ht="15.75" customHeight="1">
      <c r="E576" s="14"/>
      <c r="K576" s="14"/>
    </row>
    <row r="577" spans="5:11" ht="15.75" customHeight="1">
      <c r="E577" s="14"/>
      <c r="K577" s="14"/>
    </row>
    <row r="578" spans="5:11" ht="15.75" customHeight="1">
      <c r="E578" s="14"/>
      <c r="K578" s="14"/>
    </row>
    <row r="579" spans="5:11" ht="15.75" customHeight="1">
      <c r="E579" s="14"/>
      <c r="K579" s="14"/>
    </row>
    <row r="580" spans="5:11" ht="15.75" customHeight="1">
      <c r="E580" s="14"/>
      <c r="K580" s="14"/>
    </row>
    <row r="581" spans="5:11" ht="15.75" customHeight="1">
      <c r="E581" s="14"/>
      <c r="K581" s="14"/>
    </row>
    <row r="582" spans="5:11" ht="15.75" customHeight="1">
      <c r="E582" s="14"/>
      <c r="K582" s="14"/>
    </row>
    <row r="583" spans="5:11" ht="15.75" customHeight="1">
      <c r="E583" s="14"/>
      <c r="K583" s="14"/>
    </row>
    <row r="584" spans="5:11" ht="15.75" customHeight="1">
      <c r="E584" s="14"/>
      <c r="K584" s="14"/>
    </row>
    <row r="585" spans="5:11" ht="15.75" customHeight="1">
      <c r="E585" s="14"/>
      <c r="K585" s="14"/>
    </row>
    <row r="586" spans="5:11" ht="15.75" customHeight="1">
      <c r="E586" s="14"/>
      <c r="K586" s="14"/>
    </row>
    <row r="587" spans="5:11" ht="15.75" customHeight="1">
      <c r="E587" s="14"/>
      <c r="K587" s="14"/>
    </row>
    <row r="588" spans="5:11" ht="15.75" customHeight="1">
      <c r="E588" s="14"/>
      <c r="K588" s="14"/>
    </row>
    <row r="589" spans="5:11" ht="15.75" customHeight="1">
      <c r="E589" s="14"/>
      <c r="K589" s="14"/>
    </row>
    <row r="590" spans="5:11" ht="15.75" customHeight="1">
      <c r="E590" s="14"/>
      <c r="K590" s="14"/>
    </row>
    <row r="591" spans="5:11" ht="15.75" customHeight="1">
      <c r="E591" s="14"/>
      <c r="K591" s="14"/>
    </row>
    <row r="592" spans="5:11" ht="15.75" customHeight="1">
      <c r="E592" s="14"/>
      <c r="K592" s="14"/>
    </row>
    <row r="593" spans="5:11" ht="15.75" customHeight="1">
      <c r="E593" s="14"/>
      <c r="K593" s="14"/>
    </row>
    <row r="594" spans="5:11" ht="15.75" customHeight="1">
      <c r="E594" s="14"/>
      <c r="K594" s="14"/>
    </row>
    <row r="595" spans="5:11" ht="15.75" customHeight="1">
      <c r="E595" s="14"/>
      <c r="K595" s="14"/>
    </row>
    <row r="596" spans="5:11" ht="15.75" customHeight="1">
      <c r="E596" s="14"/>
      <c r="K596" s="14"/>
    </row>
    <row r="597" spans="5:11" ht="15.75" customHeight="1">
      <c r="E597" s="14"/>
      <c r="K597" s="14"/>
    </row>
    <row r="598" spans="5:11" ht="15.75" customHeight="1">
      <c r="E598" s="14"/>
      <c r="K598" s="14"/>
    </row>
    <row r="599" spans="5:11" ht="15.75" customHeight="1">
      <c r="E599" s="14"/>
      <c r="K599" s="14"/>
    </row>
    <row r="600" spans="5:11" ht="15.75" customHeight="1">
      <c r="E600" s="14"/>
      <c r="K600" s="14"/>
    </row>
    <row r="601" spans="5:11" ht="15.75" customHeight="1">
      <c r="E601" s="14"/>
      <c r="K601" s="14"/>
    </row>
    <row r="602" spans="5:11" ht="15.75" customHeight="1">
      <c r="E602" s="14"/>
      <c r="K602" s="14"/>
    </row>
    <row r="603" spans="5:11" ht="15.75" customHeight="1">
      <c r="E603" s="14"/>
      <c r="K603" s="14"/>
    </row>
    <row r="604" spans="5:11" ht="15.75" customHeight="1">
      <c r="E604" s="14"/>
      <c r="K604" s="14"/>
    </row>
    <row r="605" spans="5:11" ht="15.75" customHeight="1">
      <c r="E605" s="14"/>
      <c r="K605" s="14"/>
    </row>
    <row r="606" spans="5:11" ht="15.75" customHeight="1">
      <c r="E606" s="14"/>
      <c r="K606" s="14"/>
    </row>
    <row r="607" spans="5:11" ht="15.75" customHeight="1">
      <c r="E607" s="14"/>
      <c r="K607" s="14"/>
    </row>
    <row r="608" spans="5:11" ht="15.75" customHeight="1">
      <c r="E608" s="14"/>
      <c r="K608" s="14"/>
    </row>
    <row r="609" spans="5:11" ht="15.75" customHeight="1">
      <c r="E609" s="14"/>
      <c r="K609" s="14"/>
    </row>
    <row r="610" spans="5:11" ht="15.75" customHeight="1">
      <c r="E610" s="14"/>
      <c r="K610" s="14"/>
    </row>
    <row r="611" spans="5:11" ht="15.75" customHeight="1">
      <c r="E611" s="14"/>
      <c r="K611" s="14"/>
    </row>
    <row r="612" spans="5:11" ht="15.75" customHeight="1">
      <c r="E612" s="14"/>
      <c r="K612" s="14"/>
    </row>
    <row r="613" spans="5:11" ht="15.75" customHeight="1">
      <c r="E613" s="14"/>
      <c r="K613" s="14"/>
    </row>
    <row r="614" spans="5:11" ht="15.75" customHeight="1">
      <c r="E614" s="14"/>
      <c r="K614" s="14"/>
    </row>
    <row r="615" spans="5:11" ht="15.75" customHeight="1">
      <c r="E615" s="14"/>
      <c r="K615" s="14"/>
    </row>
    <row r="616" spans="5:11" ht="15.75" customHeight="1">
      <c r="E616" s="14"/>
      <c r="K616" s="14"/>
    </row>
    <row r="617" spans="5:11" ht="15.75" customHeight="1">
      <c r="E617" s="14"/>
      <c r="K617" s="14"/>
    </row>
    <row r="618" spans="5:11" ht="15.75" customHeight="1">
      <c r="E618" s="14"/>
      <c r="K618" s="14"/>
    </row>
    <row r="619" spans="5:11" ht="15.75" customHeight="1">
      <c r="E619" s="14"/>
      <c r="K619" s="14"/>
    </row>
    <row r="620" spans="5:11" ht="15.75" customHeight="1">
      <c r="E620" s="14"/>
      <c r="K620" s="14"/>
    </row>
    <row r="621" spans="5:11" ht="15.75" customHeight="1">
      <c r="E621" s="14"/>
      <c r="K621" s="14"/>
    </row>
    <row r="622" spans="5:11" ht="15.75" customHeight="1">
      <c r="E622" s="14"/>
      <c r="K622" s="14"/>
    </row>
    <row r="623" spans="5:11" ht="15.75" customHeight="1">
      <c r="E623" s="14"/>
      <c r="K623" s="14"/>
    </row>
    <row r="624" spans="5:11" ht="15.75" customHeight="1">
      <c r="E624" s="14"/>
      <c r="K624" s="14"/>
    </row>
    <row r="625" spans="5:11" ht="15.75" customHeight="1">
      <c r="E625" s="14"/>
      <c r="K625" s="14"/>
    </row>
    <row r="626" spans="5:11" ht="15.75" customHeight="1">
      <c r="E626" s="14"/>
      <c r="K626" s="14"/>
    </row>
    <row r="627" spans="5:11" ht="15.75" customHeight="1">
      <c r="E627" s="14"/>
      <c r="K627" s="14"/>
    </row>
    <row r="628" spans="5:11" ht="15.75" customHeight="1">
      <c r="E628" s="14"/>
      <c r="K628" s="14"/>
    </row>
    <row r="629" spans="5:11" ht="15.75" customHeight="1">
      <c r="E629" s="14"/>
      <c r="K629" s="14"/>
    </row>
    <row r="630" spans="5:11" ht="15.75" customHeight="1">
      <c r="E630" s="14"/>
      <c r="K630" s="14"/>
    </row>
    <row r="631" spans="5:11" ht="15.75" customHeight="1">
      <c r="E631" s="14"/>
      <c r="K631" s="14"/>
    </row>
    <row r="632" spans="5:11" ht="15.75" customHeight="1">
      <c r="E632" s="14"/>
      <c r="K632" s="14"/>
    </row>
    <row r="633" spans="5:11" ht="15.75" customHeight="1">
      <c r="E633" s="14"/>
      <c r="K633" s="14"/>
    </row>
    <row r="634" spans="5:11" ht="15.75" customHeight="1">
      <c r="E634" s="14"/>
      <c r="K634" s="14"/>
    </row>
    <row r="635" spans="5:11" ht="15.75" customHeight="1">
      <c r="E635" s="14"/>
      <c r="K635" s="14"/>
    </row>
    <row r="636" spans="5:11" ht="15.75" customHeight="1">
      <c r="E636" s="14"/>
      <c r="K636" s="14"/>
    </row>
    <row r="637" spans="5:11" ht="15.75" customHeight="1">
      <c r="E637" s="14"/>
      <c r="K637" s="14"/>
    </row>
    <row r="638" spans="5:11" ht="15.75" customHeight="1">
      <c r="E638" s="14"/>
      <c r="K638" s="14"/>
    </row>
    <row r="639" spans="5:11" ht="15.75" customHeight="1">
      <c r="E639" s="14"/>
      <c r="K639" s="14"/>
    </row>
    <row r="640" spans="5:11" ht="15.75" customHeight="1">
      <c r="E640" s="14"/>
      <c r="K640" s="14"/>
    </row>
    <row r="641" spans="5:11" ht="15.75" customHeight="1">
      <c r="E641" s="14"/>
      <c r="K641" s="14"/>
    </row>
    <row r="642" spans="5:11" ht="15.75" customHeight="1">
      <c r="E642" s="14"/>
      <c r="K642" s="14"/>
    </row>
    <row r="643" spans="5:11" ht="15.75" customHeight="1">
      <c r="E643" s="14"/>
      <c r="K643" s="14"/>
    </row>
    <row r="644" spans="5:11" ht="15.75" customHeight="1">
      <c r="E644" s="14"/>
      <c r="K644" s="14"/>
    </row>
    <row r="645" spans="5:11" ht="15.75" customHeight="1">
      <c r="E645" s="14"/>
      <c r="K645" s="14"/>
    </row>
    <row r="646" spans="5:11" ht="15.75" customHeight="1">
      <c r="E646" s="14"/>
      <c r="K646" s="14"/>
    </row>
    <row r="647" spans="5:11" ht="15.75" customHeight="1">
      <c r="E647" s="14"/>
      <c r="K647" s="14"/>
    </row>
    <row r="648" spans="5:11" ht="15.75" customHeight="1">
      <c r="E648" s="14"/>
      <c r="K648" s="14"/>
    </row>
    <row r="649" spans="5:11" ht="15.75" customHeight="1">
      <c r="E649" s="14"/>
      <c r="K649" s="14"/>
    </row>
    <row r="650" spans="5:11" ht="15.75" customHeight="1">
      <c r="E650" s="14"/>
      <c r="K650" s="14"/>
    </row>
    <row r="651" spans="5:11" ht="15.75" customHeight="1">
      <c r="E651" s="14"/>
      <c r="K651" s="14"/>
    </row>
    <row r="652" spans="5:11" ht="15.75" customHeight="1">
      <c r="E652" s="14"/>
      <c r="K652" s="14"/>
    </row>
    <row r="653" spans="5:11" ht="15.75" customHeight="1">
      <c r="E653" s="14"/>
      <c r="K653" s="14"/>
    </row>
    <row r="654" spans="5:11" ht="15.75" customHeight="1">
      <c r="E654" s="14"/>
      <c r="K654" s="14"/>
    </row>
    <row r="655" spans="5:11" ht="15.75" customHeight="1">
      <c r="E655" s="14"/>
      <c r="K655" s="14"/>
    </row>
    <row r="656" spans="5:11" ht="15.75" customHeight="1">
      <c r="E656" s="14"/>
      <c r="K656" s="14"/>
    </row>
    <row r="657" spans="5:11" ht="15.75" customHeight="1">
      <c r="E657" s="14"/>
      <c r="K657" s="14"/>
    </row>
    <row r="658" spans="5:11" ht="15.75" customHeight="1">
      <c r="E658" s="14"/>
      <c r="K658" s="14"/>
    </row>
    <row r="659" spans="5:11" ht="15.75" customHeight="1">
      <c r="E659" s="14"/>
      <c r="K659" s="14"/>
    </row>
    <row r="660" spans="5:11" ht="15.75" customHeight="1">
      <c r="E660" s="14"/>
      <c r="K660" s="14"/>
    </row>
    <row r="661" spans="5:11" ht="15.75" customHeight="1">
      <c r="E661" s="14"/>
      <c r="K661" s="14"/>
    </row>
    <row r="662" spans="5:11" ht="15.75" customHeight="1">
      <c r="E662" s="14"/>
      <c r="K662" s="14"/>
    </row>
    <row r="663" spans="5:11" ht="15.75" customHeight="1">
      <c r="E663" s="14"/>
      <c r="K663" s="14"/>
    </row>
    <row r="664" spans="5:11" ht="15.75" customHeight="1">
      <c r="E664" s="14"/>
      <c r="K664" s="14"/>
    </row>
    <row r="665" spans="5:11" ht="15.75" customHeight="1">
      <c r="E665" s="14"/>
      <c r="K665" s="14"/>
    </row>
    <row r="666" spans="5:11" ht="15.75" customHeight="1">
      <c r="E666" s="14"/>
      <c r="K666" s="14"/>
    </row>
    <row r="667" spans="5:11" ht="15.75" customHeight="1">
      <c r="E667" s="14"/>
      <c r="K667" s="14"/>
    </row>
    <row r="668" spans="5:11" ht="15.75" customHeight="1">
      <c r="E668" s="14"/>
      <c r="K668" s="14"/>
    </row>
    <row r="669" spans="5:11" ht="15.75" customHeight="1">
      <c r="E669" s="14"/>
      <c r="K669" s="14"/>
    </row>
    <row r="670" spans="5:11" ht="15.75" customHeight="1">
      <c r="E670" s="14"/>
      <c r="K670" s="14"/>
    </row>
    <row r="671" spans="5:11" ht="15.75" customHeight="1">
      <c r="E671" s="14"/>
      <c r="K671" s="14"/>
    </row>
    <row r="672" spans="5:11" ht="15.75" customHeight="1">
      <c r="E672" s="14"/>
      <c r="K672" s="14"/>
    </row>
    <row r="673" spans="5:11" ht="15.75" customHeight="1">
      <c r="E673" s="14"/>
      <c r="K673" s="14"/>
    </row>
    <row r="674" spans="5:11" ht="15.75" customHeight="1">
      <c r="E674" s="14"/>
      <c r="K674" s="14"/>
    </row>
    <row r="675" spans="5:11" ht="15.75" customHeight="1">
      <c r="E675" s="14"/>
      <c r="K675" s="14"/>
    </row>
    <row r="676" spans="5:11" ht="15.75" customHeight="1">
      <c r="E676" s="14"/>
      <c r="K676" s="14"/>
    </row>
    <row r="677" spans="5:11" ht="15.75" customHeight="1">
      <c r="E677" s="14"/>
      <c r="K677" s="14"/>
    </row>
    <row r="678" spans="5:11" ht="15.75" customHeight="1">
      <c r="E678" s="14"/>
      <c r="K678" s="14"/>
    </row>
    <row r="679" spans="5:11" ht="15.75" customHeight="1">
      <c r="E679" s="14"/>
      <c r="K679" s="14"/>
    </row>
    <row r="680" spans="5:11" ht="15.75" customHeight="1">
      <c r="E680" s="14"/>
      <c r="K680" s="14"/>
    </row>
    <row r="681" spans="5:11" ht="15.75" customHeight="1">
      <c r="E681" s="14"/>
      <c r="K681" s="14"/>
    </row>
    <row r="682" spans="5:11" ht="15.75" customHeight="1">
      <c r="E682" s="14"/>
      <c r="K682" s="14"/>
    </row>
    <row r="683" spans="5:11" ht="15.75" customHeight="1">
      <c r="E683" s="14"/>
      <c r="K683" s="14"/>
    </row>
    <row r="684" spans="5:11" ht="15.75" customHeight="1">
      <c r="E684" s="14"/>
      <c r="K684" s="14"/>
    </row>
    <row r="685" spans="5:11" ht="15.75" customHeight="1">
      <c r="E685" s="14"/>
      <c r="K685" s="14"/>
    </row>
    <row r="686" spans="5:11" ht="15.75" customHeight="1">
      <c r="E686" s="14"/>
      <c r="K686" s="14"/>
    </row>
    <row r="687" spans="5:11" ht="15.75" customHeight="1">
      <c r="E687" s="14"/>
      <c r="K687" s="14"/>
    </row>
    <row r="688" spans="5:11" ht="15.75" customHeight="1">
      <c r="E688" s="14"/>
      <c r="K688" s="14"/>
    </row>
    <row r="689" spans="5:11" ht="15.75" customHeight="1">
      <c r="E689" s="14"/>
      <c r="K689" s="14"/>
    </row>
    <row r="690" spans="5:11" ht="15.75" customHeight="1">
      <c r="E690" s="14"/>
      <c r="K690" s="14"/>
    </row>
    <row r="691" spans="5:11" ht="15.75" customHeight="1">
      <c r="E691" s="14"/>
      <c r="K691" s="14"/>
    </row>
    <row r="692" spans="5:11" ht="15.75" customHeight="1">
      <c r="E692" s="14"/>
      <c r="K692" s="14"/>
    </row>
    <row r="693" spans="5:11" ht="15.75" customHeight="1">
      <c r="E693" s="14"/>
      <c r="K693" s="14"/>
    </row>
    <row r="694" spans="5:11" ht="15.75" customHeight="1">
      <c r="E694" s="14"/>
      <c r="K694" s="14"/>
    </row>
    <row r="695" spans="5:11" ht="15.75" customHeight="1">
      <c r="E695" s="14"/>
      <c r="K695" s="14"/>
    </row>
    <row r="696" spans="5:11" ht="15.75" customHeight="1">
      <c r="E696" s="14"/>
      <c r="K696" s="14"/>
    </row>
    <row r="697" spans="5:11" ht="15.75" customHeight="1">
      <c r="E697" s="14"/>
      <c r="K697" s="14"/>
    </row>
    <row r="698" spans="5:11" ht="15.75" customHeight="1">
      <c r="E698" s="14"/>
      <c r="K698" s="14"/>
    </row>
    <row r="699" spans="5:11" ht="15.75" customHeight="1">
      <c r="E699" s="14"/>
      <c r="K699" s="14"/>
    </row>
    <row r="700" spans="5:11" ht="15.75" customHeight="1">
      <c r="E700" s="14"/>
      <c r="K700" s="14"/>
    </row>
    <row r="701" spans="5:11" ht="15.75" customHeight="1">
      <c r="E701" s="14"/>
      <c r="K701" s="14"/>
    </row>
    <row r="702" spans="5:11" ht="15.75" customHeight="1">
      <c r="E702" s="14"/>
      <c r="K702" s="14"/>
    </row>
    <row r="703" spans="5:11" ht="15.75" customHeight="1">
      <c r="E703" s="14"/>
      <c r="K703" s="14"/>
    </row>
    <row r="704" spans="5:11" ht="15.75" customHeight="1">
      <c r="E704" s="14"/>
      <c r="K704" s="14"/>
    </row>
    <row r="705" spans="5:11" ht="15.75" customHeight="1">
      <c r="E705" s="14"/>
      <c r="K705" s="14"/>
    </row>
    <row r="706" spans="5:11" ht="15.75" customHeight="1">
      <c r="E706" s="14"/>
      <c r="K706" s="14"/>
    </row>
    <row r="707" spans="5:11" ht="15.75" customHeight="1">
      <c r="E707" s="14"/>
      <c r="K707" s="14"/>
    </row>
    <row r="708" spans="5:11" ht="15.75" customHeight="1">
      <c r="E708" s="14"/>
      <c r="K708" s="14"/>
    </row>
    <row r="709" spans="5:11" ht="15.75" customHeight="1">
      <c r="E709" s="14"/>
      <c r="K709" s="14"/>
    </row>
    <row r="710" spans="5:11" ht="15.75" customHeight="1">
      <c r="E710" s="14"/>
      <c r="K710" s="14"/>
    </row>
    <row r="711" spans="5:11" ht="15.75" customHeight="1">
      <c r="E711" s="14"/>
      <c r="K711" s="14"/>
    </row>
    <row r="712" spans="5:11" ht="15.75" customHeight="1">
      <c r="E712" s="14"/>
      <c r="K712" s="14"/>
    </row>
    <row r="713" spans="5:11" ht="15.75" customHeight="1">
      <c r="E713" s="14"/>
      <c r="K713" s="14"/>
    </row>
    <row r="714" spans="5:11" ht="15.75" customHeight="1">
      <c r="E714" s="14"/>
      <c r="K714" s="14"/>
    </row>
    <row r="715" spans="5:11" ht="15.75" customHeight="1">
      <c r="E715" s="14"/>
      <c r="K715" s="14"/>
    </row>
    <row r="716" spans="5:11" ht="15.75" customHeight="1">
      <c r="E716" s="14"/>
      <c r="K716" s="14"/>
    </row>
    <row r="717" spans="5:11" ht="15.75" customHeight="1">
      <c r="E717" s="14"/>
      <c r="K717" s="14"/>
    </row>
    <row r="718" spans="5:11" ht="15.75" customHeight="1">
      <c r="E718" s="14"/>
      <c r="K718" s="14"/>
    </row>
    <row r="719" spans="5:11" ht="15.75" customHeight="1">
      <c r="E719" s="14"/>
      <c r="K719" s="14"/>
    </row>
    <row r="720" spans="5:11" ht="15.75" customHeight="1">
      <c r="E720" s="14"/>
      <c r="K720" s="14"/>
    </row>
    <row r="721" spans="5:11" ht="15.75" customHeight="1">
      <c r="E721" s="14"/>
      <c r="K721" s="14"/>
    </row>
    <row r="722" spans="5:11" ht="15.75" customHeight="1">
      <c r="E722" s="14"/>
      <c r="K722" s="14"/>
    </row>
    <row r="723" spans="5:11" ht="15.75" customHeight="1">
      <c r="E723" s="14"/>
      <c r="K723" s="14"/>
    </row>
    <row r="724" spans="5:11" ht="15.75" customHeight="1">
      <c r="E724" s="14"/>
      <c r="K724" s="14"/>
    </row>
    <row r="725" spans="5:11" ht="15.75" customHeight="1">
      <c r="E725" s="14"/>
      <c r="K725" s="14"/>
    </row>
    <row r="726" spans="5:11" ht="15.75" customHeight="1">
      <c r="E726" s="14"/>
      <c r="K726" s="14"/>
    </row>
    <row r="727" spans="5:11" ht="15.75" customHeight="1">
      <c r="E727" s="14"/>
      <c r="K727" s="14"/>
    </row>
    <row r="728" spans="5:11" ht="15.75" customHeight="1">
      <c r="E728" s="14"/>
      <c r="K728" s="14"/>
    </row>
    <row r="729" spans="5:11" ht="15.75" customHeight="1">
      <c r="E729" s="14"/>
      <c r="K729" s="14"/>
    </row>
    <row r="730" spans="5:11" ht="15.75" customHeight="1">
      <c r="E730" s="14"/>
      <c r="K730" s="14"/>
    </row>
    <row r="731" spans="5:11" ht="15.75" customHeight="1">
      <c r="E731" s="14"/>
      <c r="K731" s="14"/>
    </row>
    <row r="732" spans="5:11" ht="15.75" customHeight="1">
      <c r="E732" s="14"/>
      <c r="K732" s="14"/>
    </row>
    <row r="733" spans="5:11" ht="15.75" customHeight="1">
      <c r="E733" s="14"/>
      <c r="K733" s="14"/>
    </row>
    <row r="734" spans="5:11" ht="15.75" customHeight="1">
      <c r="E734" s="14"/>
      <c r="K734" s="14"/>
    </row>
    <row r="735" spans="5:11" ht="15.75" customHeight="1">
      <c r="E735" s="14"/>
      <c r="K735" s="14"/>
    </row>
    <row r="736" spans="5:11" ht="15.75" customHeight="1">
      <c r="E736" s="14"/>
      <c r="K736" s="14"/>
    </row>
    <row r="737" spans="5:11" ht="15.75" customHeight="1">
      <c r="E737" s="14"/>
      <c r="K737" s="14"/>
    </row>
    <row r="738" spans="5:11" ht="15.75" customHeight="1">
      <c r="E738" s="14"/>
      <c r="K738" s="14"/>
    </row>
    <row r="739" spans="5:11" ht="15.75" customHeight="1">
      <c r="E739" s="14"/>
      <c r="K739" s="14"/>
    </row>
    <row r="740" spans="5:11" ht="15.75" customHeight="1">
      <c r="E740" s="14"/>
      <c r="K740" s="14"/>
    </row>
    <row r="741" spans="5:11" ht="15.75" customHeight="1">
      <c r="E741" s="14"/>
      <c r="K741" s="14"/>
    </row>
    <row r="742" spans="5:11" ht="15.75" customHeight="1">
      <c r="E742" s="14"/>
      <c r="K742" s="14"/>
    </row>
    <row r="743" spans="5:11" ht="15.75" customHeight="1">
      <c r="E743" s="14"/>
      <c r="K743" s="14"/>
    </row>
    <row r="744" spans="5:11" ht="15.75" customHeight="1">
      <c r="E744" s="14"/>
      <c r="K744" s="14"/>
    </row>
    <row r="745" spans="5:11" ht="15.75" customHeight="1">
      <c r="E745" s="14"/>
      <c r="K745" s="14"/>
    </row>
    <row r="746" spans="5:11" ht="15.75" customHeight="1">
      <c r="E746" s="14"/>
      <c r="K746" s="14"/>
    </row>
    <row r="747" spans="5:11" ht="15.75" customHeight="1">
      <c r="E747" s="14"/>
      <c r="K747" s="14"/>
    </row>
    <row r="748" spans="5:11" ht="15.75" customHeight="1">
      <c r="E748" s="14"/>
      <c r="K748" s="14"/>
    </row>
    <row r="749" spans="5:11" ht="15.75" customHeight="1">
      <c r="E749" s="14"/>
      <c r="K749" s="14"/>
    </row>
    <row r="750" spans="5:11" ht="15.75" customHeight="1">
      <c r="E750" s="14"/>
      <c r="K750" s="14"/>
    </row>
    <row r="751" spans="5:11" ht="15.75" customHeight="1">
      <c r="E751" s="14"/>
      <c r="K751" s="14"/>
    </row>
    <row r="752" spans="5:11" ht="15.75" customHeight="1">
      <c r="E752" s="14"/>
      <c r="K752" s="14"/>
    </row>
    <row r="753" spans="5:11" ht="15.75" customHeight="1">
      <c r="E753" s="14"/>
      <c r="K753" s="14"/>
    </row>
    <row r="754" spans="5:11" ht="15.75" customHeight="1">
      <c r="E754" s="14"/>
      <c r="K754" s="14"/>
    </row>
    <row r="755" spans="5:11" ht="15.75" customHeight="1">
      <c r="E755" s="14"/>
      <c r="K755" s="14"/>
    </row>
    <row r="756" spans="5:11" ht="15.75" customHeight="1">
      <c r="E756" s="14"/>
      <c r="K756" s="14"/>
    </row>
    <row r="757" spans="5:11" ht="15.75" customHeight="1">
      <c r="E757" s="14"/>
      <c r="K757" s="14"/>
    </row>
    <row r="758" spans="5:11" ht="15.75" customHeight="1">
      <c r="E758" s="14"/>
      <c r="K758" s="14"/>
    </row>
    <row r="759" spans="5:11" ht="15.75" customHeight="1">
      <c r="E759" s="14"/>
      <c r="K759" s="14"/>
    </row>
    <row r="760" spans="5:11" ht="15.75" customHeight="1">
      <c r="E760" s="14"/>
      <c r="K760" s="14"/>
    </row>
    <row r="761" spans="5:11" ht="15.75" customHeight="1">
      <c r="E761" s="14"/>
      <c r="K761" s="14"/>
    </row>
    <row r="762" spans="5:11" ht="15.75" customHeight="1">
      <c r="E762" s="14"/>
      <c r="K762" s="14"/>
    </row>
    <row r="763" spans="5:11" ht="15.75" customHeight="1">
      <c r="E763" s="14"/>
      <c r="K763" s="14"/>
    </row>
    <row r="764" spans="5:11" ht="15.75" customHeight="1">
      <c r="E764" s="14"/>
      <c r="K764" s="14"/>
    </row>
    <row r="765" spans="5:11" ht="15.75" customHeight="1">
      <c r="E765" s="14"/>
      <c r="K765" s="14"/>
    </row>
    <row r="766" spans="5:11" ht="15.75" customHeight="1">
      <c r="E766" s="14"/>
      <c r="K766" s="14"/>
    </row>
    <row r="767" spans="5:11" ht="15.75" customHeight="1">
      <c r="E767" s="14"/>
      <c r="K767" s="14"/>
    </row>
    <row r="768" spans="5:11" ht="15.75" customHeight="1">
      <c r="E768" s="14"/>
      <c r="K768" s="14"/>
    </row>
    <row r="769" spans="5:11" ht="15.75" customHeight="1">
      <c r="E769" s="14"/>
      <c r="K769" s="14"/>
    </row>
    <row r="770" spans="5:11" ht="15.75" customHeight="1">
      <c r="E770" s="14"/>
      <c r="K770" s="14"/>
    </row>
    <row r="771" spans="5:11" ht="15.75" customHeight="1">
      <c r="E771" s="14"/>
      <c r="K771" s="14"/>
    </row>
    <row r="772" spans="5:11" ht="15.75" customHeight="1">
      <c r="E772" s="14"/>
      <c r="K772" s="14"/>
    </row>
    <row r="773" spans="5:11" ht="15.75" customHeight="1">
      <c r="E773" s="14"/>
      <c r="K773" s="14"/>
    </row>
    <row r="774" spans="5:11" ht="15.75" customHeight="1">
      <c r="E774" s="14"/>
      <c r="K774" s="14"/>
    </row>
    <row r="775" spans="5:11" ht="15.75" customHeight="1">
      <c r="E775" s="14"/>
      <c r="K775" s="14"/>
    </row>
    <row r="776" spans="5:11" ht="15.75" customHeight="1">
      <c r="E776" s="14"/>
      <c r="K776" s="14"/>
    </row>
    <row r="777" spans="5:11" ht="15.75" customHeight="1">
      <c r="E777" s="14"/>
      <c r="K777" s="14"/>
    </row>
    <row r="778" spans="5:11" ht="15.75" customHeight="1">
      <c r="E778" s="14"/>
      <c r="K778" s="14"/>
    </row>
    <row r="779" spans="5:11" ht="15.75" customHeight="1">
      <c r="E779" s="14"/>
      <c r="K779" s="14"/>
    </row>
    <row r="780" spans="5:11" ht="15.75" customHeight="1">
      <c r="E780" s="14"/>
      <c r="K780" s="14"/>
    </row>
    <row r="781" spans="5:11" ht="15.75" customHeight="1">
      <c r="E781" s="14"/>
      <c r="K781" s="14"/>
    </row>
    <row r="782" spans="5:11" ht="15.75" customHeight="1">
      <c r="E782" s="14"/>
      <c r="K782" s="14"/>
    </row>
    <row r="783" spans="5:11" ht="15.75" customHeight="1">
      <c r="E783" s="14"/>
      <c r="K783" s="14"/>
    </row>
    <row r="784" spans="5:11" ht="15.75" customHeight="1">
      <c r="E784" s="14"/>
      <c r="K784" s="14"/>
    </row>
    <row r="785" spans="5:11" ht="15.75" customHeight="1">
      <c r="E785" s="14"/>
      <c r="K785" s="14"/>
    </row>
    <row r="786" spans="5:11" ht="15.75" customHeight="1">
      <c r="E786" s="14"/>
      <c r="K786" s="14"/>
    </row>
    <row r="787" spans="5:11" ht="15.75" customHeight="1">
      <c r="E787" s="14"/>
      <c r="K787" s="14"/>
    </row>
    <row r="788" spans="5:11" ht="15.75" customHeight="1">
      <c r="E788" s="14"/>
      <c r="K788" s="14"/>
    </row>
    <row r="789" spans="5:11" ht="15.75" customHeight="1">
      <c r="E789" s="14"/>
      <c r="K789" s="14"/>
    </row>
    <row r="790" spans="5:11" ht="15.75" customHeight="1">
      <c r="E790" s="14"/>
      <c r="K790" s="14"/>
    </row>
    <row r="791" spans="5:11" ht="15.75" customHeight="1">
      <c r="E791" s="14"/>
      <c r="K791" s="14"/>
    </row>
    <row r="792" spans="5:11" ht="15.75" customHeight="1">
      <c r="E792" s="14"/>
      <c r="K792" s="14"/>
    </row>
    <row r="793" spans="5:11" ht="15.75" customHeight="1">
      <c r="E793" s="14"/>
      <c r="K793" s="14"/>
    </row>
    <row r="794" spans="5:11" ht="15.75" customHeight="1">
      <c r="E794" s="14"/>
      <c r="K794" s="14"/>
    </row>
    <row r="795" spans="5:11" ht="15.75" customHeight="1">
      <c r="E795" s="14"/>
      <c r="K795" s="14"/>
    </row>
    <row r="796" spans="5:11" ht="15.75" customHeight="1">
      <c r="E796" s="14"/>
      <c r="K796" s="14"/>
    </row>
    <row r="797" spans="5:11" ht="15.75" customHeight="1">
      <c r="E797" s="14"/>
      <c r="K797" s="14"/>
    </row>
    <row r="798" spans="5:11" ht="15.75" customHeight="1">
      <c r="E798" s="14"/>
      <c r="K798" s="14"/>
    </row>
    <row r="799" spans="5:11" ht="15.75" customHeight="1">
      <c r="E799" s="14"/>
      <c r="K799" s="14"/>
    </row>
    <row r="800" spans="5:11" ht="15.75" customHeight="1">
      <c r="E800" s="14"/>
      <c r="K800" s="14"/>
    </row>
    <row r="801" spans="5:11" ht="15.75" customHeight="1">
      <c r="E801" s="14"/>
      <c r="K801" s="14"/>
    </row>
    <row r="802" spans="5:11" ht="15.75" customHeight="1">
      <c r="E802" s="14"/>
      <c r="K802" s="14"/>
    </row>
    <row r="803" spans="5:11" ht="15.75" customHeight="1">
      <c r="E803" s="14"/>
      <c r="K803" s="14"/>
    </row>
    <row r="804" spans="5:11" ht="15.75" customHeight="1">
      <c r="E804" s="14"/>
      <c r="K804" s="14"/>
    </row>
    <row r="805" spans="5:11" ht="15.75" customHeight="1">
      <c r="E805" s="14"/>
      <c r="K805" s="14"/>
    </row>
    <row r="806" spans="5:11" ht="15.75" customHeight="1">
      <c r="E806" s="14"/>
      <c r="K806" s="14"/>
    </row>
    <row r="807" spans="5:11" ht="15.75" customHeight="1">
      <c r="E807" s="14"/>
      <c r="K807" s="14"/>
    </row>
    <row r="808" spans="5:11" ht="15.75" customHeight="1">
      <c r="E808" s="14"/>
      <c r="K808" s="14"/>
    </row>
    <row r="809" spans="5:11" ht="15.75" customHeight="1">
      <c r="E809" s="14"/>
      <c r="K809" s="14"/>
    </row>
    <row r="810" spans="5:11" ht="15.75" customHeight="1">
      <c r="E810" s="14"/>
      <c r="K810" s="14"/>
    </row>
    <row r="811" spans="5:11" ht="15.75" customHeight="1">
      <c r="E811" s="14"/>
      <c r="K811" s="14"/>
    </row>
    <row r="812" spans="5:11" ht="15.75" customHeight="1">
      <c r="E812" s="14"/>
      <c r="K812" s="14"/>
    </row>
    <row r="813" spans="5:11" ht="15.75" customHeight="1">
      <c r="E813" s="14"/>
      <c r="K813" s="14"/>
    </row>
    <row r="814" spans="5:11" ht="15.75" customHeight="1">
      <c r="E814" s="14"/>
      <c r="K814" s="14"/>
    </row>
    <row r="815" spans="5:11" ht="15.75" customHeight="1">
      <c r="E815" s="14"/>
      <c r="K815" s="14"/>
    </row>
    <row r="816" spans="5:11" ht="15.75" customHeight="1">
      <c r="E816" s="14"/>
      <c r="K816" s="14"/>
    </row>
    <row r="817" spans="5:11" ht="15.75" customHeight="1">
      <c r="E817" s="14"/>
      <c r="K817" s="14"/>
    </row>
    <row r="818" spans="5:11" ht="15.75" customHeight="1">
      <c r="E818" s="14"/>
      <c r="K818" s="14"/>
    </row>
    <row r="819" spans="5:11" ht="15.75" customHeight="1">
      <c r="E819" s="14"/>
      <c r="K819" s="14"/>
    </row>
    <row r="820" spans="5:11" ht="15.75" customHeight="1">
      <c r="E820" s="14"/>
      <c r="K820" s="14"/>
    </row>
    <row r="821" spans="5:11" ht="15.75" customHeight="1">
      <c r="E821" s="14"/>
      <c r="K821" s="14"/>
    </row>
    <row r="822" spans="5:11" ht="15.75" customHeight="1">
      <c r="E822" s="14"/>
      <c r="K822" s="14"/>
    </row>
    <row r="823" spans="5:11" ht="15.75" customHeight="1">
      <c r="E823" s="14"/>
      <c r="K823" s="14"/>
    </row>
    <row r="824" spans="5:11" ht="15.75" customHeight="1">
      <c r="E824" s="14"/>
      <c r="K824" s="14"/>
    </row>
    <row r="825" spans="5:11" ht="15.75" customHeight="1">
      <c r="E825" s="14"/>
      <c r="K825" s="14"/>
    </row>
    <row r="826" spans="5:11" ht="15.75" customHeight="1">
      <c r="E826" s="14"/>
      <c r="K826" s="14"/>
    </row>
    <row r="827" spans="5:11" ht="15.75" customHeight="1">
      <c r="E827" s="14"/>
      <c r="K827" s="14"/>
    </row>
    <row r="828" spans="5:11" ht="15.75" customHeight="1">
      <c r="E828" s="14"/>
      <c r="K828" s="14"/>
    </row>
    <row r="829" spans="5:11" ht="15.75" customHeight="1">
      <c r="E829" s="14"/>
      <c r="K829" s="14"/>
    </row>
    <row r="830" spans="5:11" ht="15.75" customHeight="1">
      <c r="E830" s="14"/>
      <c r="K830" s="14"/>
    </row>
    <row r="831" spans="5:11" ht="15.75" customHeight="1">
      <c r="E831" s="14"/>
      <c r="K831" s="14"/>
    </row>
    <row r="832" spans="5:11" ht="15.75" customHeight="1">
      <c r="E832" s="14"/>
      <c r="K832" s="14"/>
    </row>
    <row r="833" spans="5:11" ht="15.75" customHeight="1">
      <c r="E833" s="14"/>
      <c r="K833" s="14"/>
    </row>
    <row r="834" spans="5:11" ht="15.75" customHeight="1">
      <c r="E834" s="14"/>
      <c r="K834" s="14"/>
    </row>
    <row r="835" spans="5:11" ht="15.75" customHeight="1">
      <c r="E835" s="14"/>
      <c r="K835" s="14"/>
    </row>
    <row r="836" spans="5:11" ht="15.75" customHeight="1">
      <c r="E836" s="14"/>
      <c r="K836" s="14"/>
    </row>
    <row r="837" spans="5:11" ht="15.75" customHeight="1">
      <c r="E837" s="14"/>
      <c r="K837" s="14"/>
    </row>
    <row r="838" spans="5:11" ht="15.75" customHeight="1">
      <c r="E838" s="14"/>
      <c r="K838" s="14"/>
    </row>
    <row r="839" spans="5:11" ht="15.75" customHeight="1">
      <c r="E839" s="14"/>
      <c r="K839" s="14"/>
    </row>
    <row r="840" spans="5:11" ht="15.75" customHeight="1">
      <c r="E840" s="14"/>
      <c r="K840" s="14"/>
    </row>
    <row r="841" spans="5:11" ht="15.75" customHeight="1">
      <c r="E841" s="14"/>
      <c r="K841" s="14"/>
    </row>
    <row r="842" spans="5:11" ht="15.75" customHeight="1">
      <c r="E842" s="14"/>
      <c r="K842" s="14"/>
    </row>
    <row r="843" spans="5:11" ht="15.75" customHeight="1">
      <c r="E843" s="14"/>
      <c r="K843" s="14"/>
    </row>
    <row r="844" spans="5:11" ht="15.75" customHeight="1">
      <c r="E844" s="14"/>
      <c r="K844" s="14"/>
    </row>
    <row r="845" spans="5:11" ht="15.75" customHeight="1">
      <c r="E845" s="14"/>
      <c r="K845" s="14"/>
    </row>
    <row r="846" spans="5:11" ht="15.75" customHeight="1">
      <c r="E846" s="14"/>
      <c r="K846" s="14"/>
    </row>
    <row r="847" spans="5:11" ht="15.75" customHeight="1">
      <c r="E847" s="14"/>
      <c r="K847" s="14"/>
    </row>
    <row r="848" spans="5:11" ht="15.75" customHeight="1">
      <c r="E848" s="14"/>
      <c r="K848" s="14"/>
    </row>
    <row r="849" spans="5:11" ht="15.75" customHeight="1">
      <c r="E849" s="14"/>
      <c r="K849" s="14"/>
    </row>
    <row r="850" spans="5:11" ht="15.75" customHeight="1">
      <c r="E850" s="14"/>
      <c r="K850" s="14"/>
    </row>
    <row r="851" spans="5:11" ht="15.75" customHeight="1">
      <c r="E851" s="14"/>
      <c r="K851" s="14"/>
    </row>
    <row r="852" spans="5:11" ht="15.75" customHeight="1">
      <c r="E852" s="14"/>
      <c r="K852" s="14"/>
    </row>
    <row r="853" spans="5:11" ht="15.75" customHeight="1">
      <c r="E853" s="14"/>
      <c r="K853" s="14"/>
    </row>
    <row r="854" spans="5:11" ht="15.75" customHeight="1">
      <c r="E854" s="14"/>
      <c r="K854" s="14"/>
    </row>
    <row r="855" spans="5:11" ht="15.75" customHeight="1">
      <c r="E855" s="14"/>
      <c r="K855" s="14"/>
    </row>
    <row r="856" spans="5:11" ht="15.75" customHeight="1">
      <c r="E856" s="14"/>
      <c r="K856" s="14"/>
    </row>
    <row r="857" spans="5:11" ht="15.75" customHeight="1">
      <c r="E857" s="14"/>
      <c r="K857" s="14"/>
    </row>
    <row r="858" spans="5:11" ht="15.75" customHeight="1">
      <c r="E858" s="14"/>
      <c r="K858" s="14"/>
    </row>
    <row r="859" spans="5:11" ht="15.75" customHeight="1">
      <c r="E859" s="14"/>
      <c r="K859" s="14"/>
    </row>
    <row r="860" spans="5:11" ht="15.75" customHeight="1">
      <c r="E860" s="14"/>
      <c r="K860" s="14"/>
    </row>
    <row r="861" spans="5:11" ht="15.75" customHeight="1">
      <c r="E861" s="14"/>
      <c r="K861" s="14"/>
    </row>
    <row r="862" spans="5:11" ht="15.75" customHeight="1">
      <c r="E862" s="14"/>
      <c r="K862" s="14"/>
    </row>
    <row r="863" spans="5:11" ht="15.75" customHeight="1">
      <c r="E863" s="14"/>
      <c r="K863" s="14"/>
    </row>
    <row r="864" spans="5:11" ht="15.75" customHeight="1">
      <c r="E864" s="14"/>
      <c r="K864" s="14"/>
    </row>
    <row r="865" spans="5:11" ht="15.75" customHeight="1">
      <c r="E865" s="14"/>
      <c r="K865" s="14"/>
    </row>
    <row r="866" spans="5:11" ht="15.75" customHeight="1">
      <c r="E866" s="14"/>
      <c r="K866" s="14"/>
    </row>
    <row r="867" spans="5:11" ht="15.75" customHeight="1">
      <c r="E867" s="14"/>
      <c r="K867" s="14"/>
    </row>
    <row r="868" spans="5:11" ht="15.75" customHeight="1">
      <c r="E868" s="14"/>
      <c r="K868" s="14"/>
    </row>
    <row r="869" spans="5:11" ht="15.75" customHeight="1">
      <c r="E869" s="14"/>
      <c r="K869" s="14"/>
    </row>
    <row r="870" spans="5:11" ht="15.75" customHeight="1">
      <c r="E870" s="14"/>
      <c r="K870" s="14"/>
    </row>
    <row r="871" spans="5:11" ht="15.75" customHeight="1">
      <c r="E871" s="14"/>
      <c r="K871" s="14"/>
    </row>
    <row r="872" spans="5:11" ht="15.75" customHeight="1">
      <c r="E872" s="14"/>
      <c r="K872" s="14"/>
    </row>
    <row r="873" spans="5:11" ht="15.75" customHeight="1">
      <c r="E873" s="14"/>
      <c r="K873" s="14"/>
    </row>
    <row r="874" spans="5:11" ht="15.75" customHeight="1">
      <c r="E874" s="14"/>
      <c r="K874" s="14"/>
    </row>
    <row r="875" spans="5:11" ht="15.75" customHeight="1">
      <c r="E875" s="14"/>
      <c r="K875" s="14"/>
    </row>
    <row r="876" spans="5:11" ht="15.75" customHeight="1">
      <c r="E876" s="14"/>
      <c r="K876" s="14"/>
    </row>
    <row r="877" spans="5:11" ht="15.75" customHeight="1">
      <c r="E877" s="14"/>
      <c r="K877" s="14"/>
    </row>
    <row r="878" spans="5:11" ht="15.75" customHeight="1">
      <c r="E878" s="14"/>
      <c r="K878" s="14"/>
    </row>
    <row r="879" spans="5:11" ht="15.75" customHeight="1">
      <c r="E879" s="14"/>
      <c r="K879" s="14"/>
    </row>
    <row r="880" spans="5:11" ht="15.75" customHeight="1">
      <c r="E880" s="14"/>
      <c r="K880" s="14"/>
    </row>
    <row r="881" spans="5:11" ht="15.75" customHeight="1">
      <c r="E881" s="14"/>
      <c r="K881" s="14"/>
    </row>
    <row r="882" spans="5:11" ht="15.75" customHeight="1">
      <c r="E882" s="14"/>
      <c r="K882" s="14"/>
    </row>
    <row r="883" spans="5:11" ht="15.75" customHeight="1">
      <c r="E883" s="14"/>
      <c r="K883" s="14"/>
    </row>
    <row r="884" spans="5:11" ht="15.75" customHeight="1">
      <c r="E884" s="14"/>
      <c r="K884" s="14"/>
    </row>
    <row r="885" spans="5:11" ht="15.75" customHeight="1">
      <c r="E885" s="14"/>
      <c r="K885" s="14"/>
    </row>
    <row r="886" spans="5:11" ht="15.75" customHeight="1">
      <c r="E886" s="14"/>
      <c r="K886" s="14"/>
    </row>
    <row r="887" spans="5:11" ht="15.75" customHeight="1">
      <c r="E887" s="14"/>
      <c r="K887" s="14"/>
    </row>
    <row r="888" spans="5:11" ht="15.75" customHeight="1">
      <c r="E888" s="14"/>
      <c r="K888" s="14"/>
    </row>
    <row r="889" spans="5:11" ht="15.75" customHeight="1">
      <c r="E889" s="14"/>
      <c r="K889" s="14"/>
    </row>
    <row r="890" spans="5:11" ht="15.75" customHeight="1">
      <c r="E890" s="14"/>
      <c r="K890" s="14"/>
    </row>
    <row r="891" spans="5:11" ht="15.75" customHeight="1">
      <c r="E891" s="14"/>
      <c r="K891" s="14"/>
    </row>
    <row r="892" spans="5:11" ht="15.75" customHeight="1">
      <c r="E892" s="14"/>
      <c r="K892" s="14"/>
    </row>
    <row r="893" spans="5:11" ht="15.75" customHeight="1">
      <c r="E893" s="14"/>
      <c r="K893" s="14"/>
    </row>
    <row r="894" spans="5:11" ht="15.75" customHeight="1">
      <c r="E894" s="14"/>
      <c r="K894" s="14"/>
    </row>
    <row r="895" spans="5:11" ht="15.75" customHeight="1">
      <c r="E895" s="14"/>
      <c r="K895" s="14"/>
    </row>
    <row r="896" spans="5:11" ht="15.75" customHeight="1">
      <c r="E896" s="14"/>
      <c r="K896" s="14"/>
    </row>
    <row r="897" spans="5:11" ht="15.75" customHeight="1">
      <c r="E897" s="14"/>
      <c r="K897" s="14"/>
    </row>
    <row r="898" spans="5:11" ht="15.75" customHeight="1">
      <c r="E898" s="14"/>
      <c r="K898" s="14"/>
    </row>
    <row r="899" spans="5:11" ht="15.75" customHeight="1">
      <c r="E899" s="14"/>
      <c r="K899" s="14"/>
    </row>
    <row r="900" spans="5:11" ht="15.75" customHeight="1">
      <c r="E900" s="14"/>
      <c r="K900" s="14"/>
    </row>
    <row r="901" spans="5:11" ht="15.75" customHeight="1">
      <c r="E901" s="14"/>
      <c r="K901" s="14"/>
    </row>
    <row r="902" spans="5:11" ht="15.75" customHeight="1">
      <c r="E902" s="14"/>
      <c r="K902" s="14"/>
    </row>
    <row r="903" spans="5:11" ht="15.75" customHeight="1">
      <c r="E903" s="14"/>
      <c r="K903" s="14"/>
    </row>
    <row r="904" spans="5:11" ht="15.75" customHeight="1">
      <c r="E904" s="14"/>
      <c r="K904" s="14"/>
    </row>
    <row r="905" spans="5:11" ht="15.75" customHeight="1">
      <c r="E905" s="14"/>
      <c r="K905" s="14"/>
    </row>
    <row r="906" spans="5:11" ht="15.75" customHeight="1">
      <c r="E906" s="14"/>
      <c r="K906" s="14"/>
    </row>
    <row r="907" spans="5:11" ht="15.75" customHeight="1">
      <c r="E907" s="14"/>
      <c r="K907" s="14"/>
    </row>
    <row r="908" spans="5:11" ht="15.75" customHeight="1">
      <c r="E908" s="14"/>
      <c r="K908" s="14"/>
    </row>
    <row r="909" spans="5:11" ht="15.75" customHeight="1">
      <c r="E909" s="14"/>
      <c r="K909" s="14"/>
    </row>
    <row r="910" spans="5:11" ht="15.75" customHeight="1">
      <c r="E910" s="14"/>
      <c r="K910" s="14"/>
    </row>
    <row r="911" spans="5:11" ht="15.75" customHeight="1">
      <c r="E911" s="14"/>
      <c r="K911" s="14"/>
    </row>
    <row r="912" spans="5:11" ht="15.75" customHeight="1">
      <c r="E912" s="14"/>
      <c r="K912" s="14"/>
    </row>
    <row r="913" spans="5:11" ht="15.75" customHeight="1">
      <c r="E913" s="14"/>
      <c r="K913" s="14"/>
    </row>
    <row r="914" spans="5:11" ht="15.75" customHeight="1">
      <c r="E914" s="14"/>
      <c r="K914" s="14"/>
    </row>
    <row r="915" spans="5:11" ht="15.75" customHeight="1">
      <c r="E915" s="14"/>
      <c r="K915" s="14"/>
    </row>
    <row r="916" spans="5:11" ht="15.75" customHeight="1">
      <c r="E916" s="14"/>
      <c r="K916" s="14"/>
    </row>
    <row r="917" spans="5:11" ht="15.75" customHeight="1">
      <c r="E917" s="14"/>
      <c r="K917" s="14"/>
    </row>
    <row r="918" spans="5:11" ht="15.75" customHeight="1">
      <c r="E918" s="14"/>
      <c r="K918" s="14"/>
    </row>
    <row r="919" spans="5:11" ht="15.75" customHeight="1">
      <c r="E919" s="14"/>
      <c r="K919" s="14"/>
    </row>
    <row r="920" spans="5:11" ht="15.75" customHeight="1">
      <c r="E920" s="14"/>
      <c r="K920" s="14"/>
    </row>
    <row r="921" spans="5:11" ht="15.75" customHeight="1">
      <c r="E921" s="14"/>
      <c r="K921" s="14"/>
    </row>
    <row r="922" spans="5:11" ht="15.75" customHeight="1">
      <c r="E922" s="14"/>
      <c r="K922" s="14"/>
    </row>
    <row r="923" spans="5:11" ht="15.75" customHeight="1">
      <c r="E923" s="14"/>
      <c r="K923" s="14"/>
    </row>
    <row r="924" spans="5:11" ht="15.75" customHeight="1">
      <c r="E924" s="14"/>
      <c r="K924" s="14"/>
    </row>
    <row r="925" spans="5:11" ht="15.75" customHeight="1">
      <c r="E925" s="14"/>
      <c r="K925" s="14"/>
    </row>
    <row r="926" spans="5:11" ht="15.75" customHeight="1">
      <c r="E926" s="14"/>
      <c r="K926" s="14"/>
    </row>
    <row r="927" spans="5:11" ht="15.75" customHeight="1">
      <c r="E927" s="14"/>
      <c r="K927" s="14"/>
    </row>
    <row r="928" spans="5:11" ht="15.75" customHeight="1">
      <c r="E928" s="14"/>
      <c r="K928" s="14"/>
    </row>
    <row r="929" spans="5:11" ht="15.75" customHeight="1">
      <c r="E929" s="14"/>
      <c r="K929" s="14"/>
    </row>
    <row r="930" spans="5:11" ht="15.75" customHeight="1">
      <c r="E930" s="14"/>
      <c r="K930" s="14"/>
    </row>
    <row r="931" spans="5:11" ht="15.75" customHeight="1">
      <c r="E931" s="14"/>
      <c r="K931" s="14"/>
    </row>
    <row r="932" spans="5:11" ht="15.75" customHeight="1">
      <c r="E932" s="14"/>
      <c r="K932" s="14"/>
    </row>
    <row r="933" spans="5:11" ht="15.75" customHeight="1">
      <c r="E933" s="14"/>
      <c r="K933" s="14"/>
    </row>
    <row r="934" spans="5:11" ht="15.75" customHeight="1">
      <c r="E934" s="14"/>
      <c r="K934" s="14"/>
    </row>
    <row r="935" spans="5:11" ht="15.75" customHeight="1">
      <c r="E935" s="14"/>
      <c r="K935" s="14"/>
    </row>
    <row r="936" spans="5:11" ht="15.75" customHeight="1">
      <c r="E936" s="14"/>
      <c r="K936" s="14"/>
    </row>
    <row r="937" spans="5:11" ht="15.75" customHeight="1">
      <c r="E937" s="14"/>
      <c r="K937" s="14"/>
    </row>
    <row r="938" spans="5:11" ht="15.75" customHeight="1">
      <c r="E938" s="14"/>
      <c r="K938" s="14"/>
    </row>
    <row r="939" spans="5:11" ht="15.75" customHeight="1">
      <c r="E939" s="14"/>
      <c r="K939" s="14"/>
    </row>
    <row r="940" spans="5:11" ht="15.75" customHeight="1">
      <c r="E940" s="14"/>
      <c r="K940" s="14"/>
    </row>
    <row r="941" spans="5:11" ht="15.75" customHeight="1">
      <c r="E941" s="14"/>
      <c r="K941" s="14"/>
    </row>
    <row r="942" spans="5:11" ht="15.75" customHeight="1">
      <c r="E942" s="14"/>
      <c r="K942" s="14"/>
    </row>
    <row r="943" spans="5:11" ht="15.75" customHeight="1">
      <c r="E943" s="14"/>
      <c r="K943" s="14"/>
    </row>
    <row r="944" spans="5:11" ht="15.75" customHeight="1">
      <c r="E944" s="14"/>
      <c r="K944" s="14"/>
    </row>
    <row r="945" spans="5:11" ht="15.75" customHeight="1">
      <c r="E945" s="14"/>
      <c r="K945" s="14"/>
    </row>
    <row r="946" spans="5:11" ht="15.75" customHeight="1">
      <c r="E946" s="14"/>
      <c r="K946" s="14"/>
    </row>
    <row r="947" spans="5:11" ht="15.75" customHeight="1">
      <c r="E947" s="14"/>
      <c r="K947" s="14"/>
    </row>
    <row r="948" spans="5:11" ht="15.75" customHeight="1">
      <c r="E948" s="14"/>
      <c r="K948" s="14"/>
    </row>
    <row r="949" spans="5:11" ht="15.75" customHeight="1">
      <c r="E949" s="14"/>
      <c r="K949" s="14"/>
    </row>
    <row r="950" spans="5:11" ht="15.75" customHeight="1">
      <c r="E950" s="14"/>
      <c r="K950" s="14"/>
    </row>
    <row r="951" spans="5:11" ht="15.75" customHeight="1">
      <c r="E951" s="14"/>
      <c r="K951" s="14"/>
    </row>
    <row r="952" spans="5:11" ht="15.75" customHeight="1">
      <c r="E952" s="14"/>
      <c r="K952" s="14"/>
    </row>
    <row r="953" spans="5:11" ht="15.75" customHeight="1">
      <c r="E953" s="14"/>
      <c r="K953" s="14"/>
    </row>
    <row r="954" spans="5:11" ht="15.75" customHeight="1">
      <c r="E954" s="14"/>
      <c r="K954" s="14"/>
    </row>
    <row r="955" spans="5:11" ht="15.75" customHeight="1">
      <c r="E955" s="14"/>
      <c r="K955" s="14"/>
    </row>
    <row r="956" spans="5:11" ht="15.75" customHeight="1">
      <c r="E956" s="14"/>
      <c r="K956" s="14"/>
    </row>
    <row r="957" spans="5:11" ht="15.75" customHeight="1">
      <c r="E957" s="14"/>
      <c r="K957" s="14"/>
    </row>
    <row r="958" spans="5:11" ht="15.75" customHeight="1">
      <c r="E958" s="14"/>
      <c r="K958" s="14"/>
    </row>
    <row r="959" spans="5:11" ht="15.75" customHeight="1">
      <c r="E959" s="14"/>
      <c r="K959" s="14"/>
    </row>
    <row r="960" spans="5:11" ht="15.75" customHeight="1">
      <c r="E960" s="14"/>
      <c r="K960" s="14"/>
    </row>
    <row r="961" spans="5:11" ht="15.75" customHeight="1">
      <c r="E961" s="14"/>
      <c r="K961" s="14"/>
    </row>
    <row r="962" spans="5:11" ht="15.75" customHeight="1">
      <c r="E962" s="14"/>
      <c r="K962" s="14"/>
    </row>
    <row r="963" spans="5:11" ht="15.75" customHeight="1">
      <c r="E963" s="14"/>
      <c r="K963" s="14"/>
    </row>
    <row r="964" spans="5:11" ht="15.75" customHeight="1">
      <c r="E964" s="14"/>
      <c r="K964" s="14"/>
    </row>
    <row r="965" spans="5:11" ht="15.75" customHeight="1">
      <c r="E965" s="14"/>
      <c r="K965" s="14"/>
    </row>
    <row r="966" spans="5:11" ht="15.75" customHeight="1">
      <c r="E966" s="14"/>
      <c r="K966" s="14"/>
    </row>
    <row r="967" spans="5:11" ht="15.75" customHeight="1">
      <c r="E967" s="14"/>
      <c r="K967" s="14"/>
    </row>
    <row r="968" spans="5:11" ht="15.75" customHeight="1">
      <c r="E968" s="14"/>
      <c r="K968" s="14"/>
    </row>
    <row r="969" spans="5:11" ht="15.75" customHeight="1">
      <c r="E969" s="14"/>
      <c r="K969" s="14"/>
    </row>
    <row r="970" spans="5:11" ht="15.75" customHeight="1">
      <c r="E970" s="14"/>
      <c r="K970" s="14"/>
    </row>
    <row r="971" spans="5:11" ht="15.75" customHeight="1">
      <c r="E971" s="14"/>
      <c r="K971" s="14"/>
    </row>
    <row r="972" spans="5:11" ht="15.75" customHeight="1">
      <c r="E972" s="14"/>
      <c r="K972" s="14"/>
    </row>
    <row r="973" spans="5:11" ht="15.75" customHeight="1">
      <c r="E973" s="14"/>
      <c r="K973" s="14"/>
    </row>
    <row r="974" spans="5:11" ht="15.75" customHeight="1">
      <c r="E974" s="14"/>
      <c r="K974" s="14"/>
    </row>
    <row r="975" spans="5:11" ht="15.75" customHeight="1">
      <c r="E975" s="14"/>
      <c r="K975" s="14"/>
    </row>
    <row r="976" spans="5:11" ht="15.75" customHeight="1">
      <c r="E976" s="14"/>
      <c r="K976" s="14"/>
    </row>
    <row r="977" spans="5:11" ht="15.75" customHeight="1">
      <c r="E977" s="14"/>
      <c r="K977" s="14"/>
    </row>
    <row r="978" spans="5:11" ht="15.75" customHeight="1">
      <c r="E978" s="14"/>
      <c r="K978" s="14"/>
    </row>
    <row r="979" spans="5:11" ht="15.75" customHeight="1">
      <c r="E979" s="14"/>
      <c r="K979" s="14"/>
    </row>
    <row r="980" spans="5:11" ht="15.75" customHeight="1">
      <c r="E980" s="14"/>
      <c r="K980" s="14"/>
    </row>
    <row r="981" spans="5:11" ht="15.75" customHeight="1">
      <c r="E981" s="14"/>
      <c r="K981" s="14"/>
    </row>
    <row r="982" spans="5:11" ht="15.75" customHeight="1">
      <c r="E982" s="14"/>
      <c r="K982" s="14"/>
    </row>
    <row r="983" spans="5:11" ht="15.75" customHeight="1">
      <c r="E983" s="14"/>
      <c r="K983" s="14"/>
    </row>
    <row r="984" spans="5:11" ht="15.75" customHeight="1">
      <c r="E984" s="14"/>
      <c r="K984" s="14"/>
    </row>
    <row r="985" spans="5:11" ht="15.75" customHeight="1">
      <c r="E985" s="14"/>
      <c r="K985" s="14"/>
    </row>
    <row r="986" spans="5:11" ht="15.75" customHeight="1">
      <c r="E986" s="14"/>
      <c r="K986" s="14"/>
    </row>
    <row r="987" spans="5:11" ht="15.75" customHeight="1">
      <c r="E987" s="14"/>
      <c r="K987" s="14"/>
    </row>
    <row r="988" spans="5:11" ht="15.75" customHeight="1">
      <c r="E988" s="14"/>
      <c r="K988" s="14"/>
    </row>
    <row r="989" spans="5:11" ht="15.75" customHeight="1">
      <c r="E989" s="14"/>
      <c r="K989" s="14"/>
    </row>
    <row r="990" spans="5:11" ht="15.75" customHeight="1">
      <c r="E990" s="14"/>
      <c r="K990" s="14"/>
    </row>
    <row r="991" spans="5:11" ht="15.75" customHeight="1">
      <c r="E991" s="14"/>
      <c r="K991" s="14"/>
    </row>
    <row r="992" spans="5:11" ht="15.75" customHeight="1">
      <c r="E992" s="14"/>
      <c r="K992" s="14"/>
    </row>
    <row r="993" spans="5:11" ht="15.75" customHeight="1">
      <c r="E993" s="14"/>
      <c r="K993" s="14"/>
    </row>
    <row r="994" spans="5:11" ht="15.75" customHeight="1">
      <c r="E994" s="14"/>
      <c r="K994" s="14"/>
    </row>
    <row r="995" spans="5:11" ht="15.75" customHeight="1">
      <c r="E995" s="14"/>
      <c r="K995" s="14"/>
    </row>
    <row r="996" spans="5:11" ht="15.75" customHeight="1">
      <c r="E996" s="14"/>
      <c r="K996" s="14"/>
    </row>
    <row r="997" spans="5:11" ht="15.75" customHeight="1">
      <c r="E997" s="14"/>
      <c r="K997" s="14"/>
    </row>
    <row r="998" spans="5:11" ht="15.75" customHeight="1">
      <c r="E998" s="14"/>
      <c r="K998" s="14"/>
    </row>
    <row r="999" spans="5:11" ht="15.75" customHeight="1">
      <c r="E999" s="14"/>
      <c r="K999" s="14"/>
    </row>
    <row r="1000" spans="5:11" ht="15.75" customHeight="1">
      <c r="E1000" s="14"/>
      <c r="K1000" s="14"/>
    </row>
  </sheetData>
  <mergeCells count="2">
    <mergeCell ref="F7:J7"/>
    <mergeCell ref="L7:AR7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D0E9EA"/>
  </sheetPr>
  <dimension ref="A1:BA1000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K1" sqref="K1:M1"/>
    </sheetView>
  </sheetViews>
  <sheetFormatPr defaultColWidth="12.54296875" defaultRowHeight="15" customHeight="1" outlineLevelRow="1"/>
  <cols>
    <col min="1" max="1" width="11.81640625" customWidth="1"/>
    <col min="2" max="7" width="5.453125" customWidth="1"/>
    <col min="8" max="8" width="44.54296875" customWidth="1"/>
    <col min="9" max="9" width="1.7265625" customWidth="1"/>
    <col min="15" max="15" width="1.7265625" customWidth="1"/>
    <col min="50" max="53" width="8.54296875" customWidth="1"/>
  </cols>
  <sheetData>
    <row r="1" spans="8:53" ht="14.5">
      <c r="J1" s="392" t="s">
        <v>2137</v>
      </c>
      <c r="K1" s="392" t="s">
        <v>2137</v>
      </c>
      <c r="L1" s="392" t="s">
        <v>2138</v>
      </c>
      <c r="M1" s="392" t="s">
        <v>2139</v>
      </c>
      <c r="N1" s="392" t="s">
        <v>547</v>
      </c>
      <c r="O1" s="392"/>
      <c r="P1" s="392" t="s">
        <v>2140</v>
      </c>
      <c r="Q1" s="392" t="s">
        <v>2141</v>
      </c>
      <c r="R1" s="392" t="s">
        <v>550</v>
      </c>
      <c r="S1" s="392" t="s">
        <v>549</v>
      </c>
      <c r="T1" s="392" t="s">
        <v>548</v>
      </c>
      <c r="U1" s="392" t="s">
        <v>2142</v>
      </c>
      <c r="V1" s="392" t="s">
        <v>2143</v>
      </c>
      <c r="W1" s="392" t="s">
        <v>906</v>
      </c>
      <c r="X1" s="392" t="s">
        <v>898</v>
      </c>
      <c r="Y1" s="392" t="s">
        <v>2144</v>
      </c>
      <c r="Z1" s="392" t="s">
        <v>2145</v>
      </c>
      <c r="AA1" s="392" t="s">
        <v>2146</v>
      </c>
      <c r="AB1" s="392" t="s">
        <v>2147</v>
      </c>
      <c r="AC1" s="392" t="s">
        <v>2148</v>
      </c>
      <c r="AD1" s="392" t="s">
        <v>2149</v>
      </c>
      <c r="AE1" s="392" t="s">
        <v>2150</v>
      </c>
      <c r="AF1" s="392" t="s">
        <v>2151</v>
      </c>
      <c r="AG1" s="392" t="s">
        <v>2152</v>
      </c>
      <c r="AH1" s="392" t="s">
        <v>2153</v>
      </c>
      <c r="AI1" s="392" t="s">
        <v>2154</v>
      </c>
      <c r="AJ1" s="392" t="s">
        <v>2155</v>
      </c>
      <c r="AK1" s="392" t="s">
        <v>2156</v>
      </c>
      <c r="AL1" s="392" t="s">
        <v>2157</v>
      </c>
      <c r="AM1" s="392" t="s">
        <v>2158</v>
      </c>
      <c r="AN1" s="392" t="s">
        <v>2159</v>
      </c>
      <c r="AO1" s="392" t="s">
        <v>2160</v>
      </c>
      <c r="AP1" s="392" t="s">
        <v>2161</v>
      </c>
      <c r="AQ1" s="392" t="s">
        <v>2162</v>
      </c>
      <c r="AR1" s="392" t="s">
        <v>2163</v>
      </c>
      <c r="AS1" s="392" t="s">
        <v>2164</v>
      </c>
      <c r="AT1" s="392" t="s">
        <v>2165</v>
      </c>
      <c r="AU1" s="392" t="s">
        <v>2166</v>
      </c>
      <c r="AV1" s="392" t="s">
        <v>2167</v>
      </c>
      <c r="AW1" s="392" t="s">
        <v>2168</v>
      </c>
      <c r="AX1" s="393"/>
      <c r="AY1" s="393"/>
      <c r="AZ1" s="393"/>
      <c r="BA1" s="393"/>
    </row>
    <row r="3" spans="8:53" ht="14.5">
      <c r="P3" s="3" t="str">
        <f t="array" ref="P3">INDEX('WH Rev &amp; Events Data'!$6:$6,MATCH(P$4,'WH Rev &amp; Events Data'!$8:$8,0))</f>
        <v>DFW</v>
      </c>
      <c r="Q3" s="3" t="str">
        <f t="array" ref="Q3">INDEX('WH Rev &amp; Events Data'!$6:$6,MATCH(Q$4,'WH Rev &amp; Events Data'!$8:$8,0))</f>
        <v>DFW</v>
      </c>
      <c r="R3" s="3" t="str">
        <f t="array" ref="R3">INDEX('WH Rev &amp; Events Data'!$6:$6,MATCH(R$4,'WH Rev &amp; Events Data'!$8:$8,0))</f>
        <v>DFW</v>
      </c>
      <c r="S3" s="3" t="str">
        <f t="array" ref="S3">INDEX('WH Rev &amp; Events Data'!$6:$6,MATCH(S$4,'WH Rev &amp; Events Data'!$8:$8,0))</f>
        <v>DFW</v>
      </c>
      <c r="T3" s="3" t="str">
        <f t="array" ref="T3">INDEX('WH Rev &amp; Events Data'!$6:$6,MATCH(T$4,'WH Rev &amp; Events Data'!$8:$8,0))</f>
        <v>DFW</v>
      </c>
      <c r="U3" s="3" t="str">
        <f t="array" ref="U3">INDEX('WH Rev &amp; Events Data'!$6:$6,MATCH(U$4,'WH Rev &amp; Events Data'!$8:$8,0))</f>
        <v>DFW</v>
      </c>
      <c r="V3" s="3" t="str">
        <f t="array" ref="V3">INDEX('WH Rev &amp; Events Data'!$6:$6,MATCH(V$4,'WH Rev &amp; Events Data'!$8:$8,0))</f>
        <v>DFW</v>
      </c>
      <c r="W3" s="3" t="str">
        <f t="array" ref="W3">INDEX('WH Rev &amp; Events Data'!$6:$6,MATCH(W$4,'WH Rev &amp; Events Data'!$8:$8,0))</f>
        <v>DFW</v>
      </c>
      <c r="X3" s="3" t="str">
        <f t="array" ref="X3">INDEX('WH Rev &amp; Events Data'!$6:$6,MATCH(X$4,'WH Rev &amp; Events Data'!$8:$8,0))</f>
        <v>DFW</v>
      </c>
      <c r="Y3" s="3" t="str">
        <f t="array" ref="Y3">INDEX('WH Rev &amp; Events Data'!$6:$6,MATCH(Y$4,'WH Rev &amp; Events Data'!$8:$8,0))</f>
        <v>DFW</v>
      </c>
      <c r="Z3" s="3" t="str">
        <f t="array" ref="Z3">INDEX('WH Rev &amp; Events Data'!$6:$6,MATCH(Z$4,'WH Rev &amp; Events Data'!$8:$8,0))</f>
        <v>DFW</v>
      </c>
      <c r="AA3" s="3" t="str">
        <f t="array" ref="AA3">INDEX('WH Rev &amp; Events Data'!$6:$6,MATCH(AA$4,'WH Rev &amp; Events Data'!$8:$8,0))</f>
        <v>DFW</v>
      </c>
      <c r="AB3" s="3" t="str">
        <f t="array" ref="AB3">INDEX('WH Rev &amp; Events Data'!$6:$6,MATCH(AB$4,'WH Rev &amp; Events Data'!$8:$8,0))</f>
        <v>DFW</v>
      </c>
      <c r="AC3" s="3" t="str">
        <f t="array" ref="AC3">INDEX('WH Rev &amp; Events Data'!$6:$6,MATCH(AC$4,'WH Rev &amp; Events Data'!$8:$8,0))</f>
        <v>DFW</v>
      </c>
      <c r="AD3" s="3" t="str">
        <f t="array" ref="AD3">INDEX('WH Rev &amp; Events Data'!$6:$6,MATCH(AD$4,'WH Rev &amp; Events Data'!$8:$8,0))</f>
        <v>DFW</v>
      </c>
      <c r="AE3" s="3" t="str">
        <f t="array" ref="AE3">INDEX('WH Rev &amp; Events Data'!$6:$6,MATCH(AE$4,'WH Rev &amp; Events Data'!$8:$8,0))</f>
        <v>DFW</v>
      </c>
      <c r="AF3" s="3" t="str">
        <f t="array" ref="AF3">INDEX('WH Rev &amp; Events Data'!$6:$6,MATCH(AF$4,'WH Rev &amp; Events Data'!$8:$8,0))</f>
        <v>DFW</v>
      </c>
      <c r="AG3" s="3" t="str">
        <f t="array" ref="AG3">INDEX('WH Rev &amp; Events Data'!$6:$6,MATCH(AG$4,'WH Rev &amp; Events Data'!$8:$8,0))</f>
        <v>DFW</v>
      </c>
      <c r="AH3" s="3" t="str">
        <f t="array" ref="AH3">INDEX('WH Rev &amp; Events Data'!$6:$6,MATCH(AH$4,'WH Rev &amp; Events Data'!$8:$8,0))</f>
        <v>HC</v>
      </c>
      <c r="AI3" s="3" t="e">
        <f t="array" ref="AI3">INDEX('WH Rev &amp; Events Data'!$6:$6,MATCH(AI$4,'WH Rev &amp; Events Data'!$8:$8,0))</f>
        <v>#N/A</v>
      </c>
      <c r="AJ3" s="3" t="str">
        <f t="array" ref="AJ3">INDEX('WH Rev &amp; Events Data'!$6:$6,MATCH(AJ$4,'WH Rev &amp; Events Data'!$8:$8,0))</f>
        <v>HC</v>
      </c>
      <c r="AK3" s="3" t="str">
        <f t="array" ref="AK3">INDEX('WH Rev &amp; Events Data'!$6:$6,MATCH(AK$4,'WH Rev &amp; Events Data'!$8:$8,0))</f>
        <v>HC</v>
      </c>
      <c r="AL3" s="3" t="str">
        <f t="array" ref="AL3">INDEX('WH Rev &amp; Events Data'!$6:$6,MATCH(AL$4,'WH Rev &amp; Events Data'!$8:$8,0))</f>
        <v>HC</v>
      </c>
      <c r="AM3" s="3" t="str">
        <f t="array" ref="AM3">INDEX('WH Rev &amp; Events Data'!$6:$6,MATCH(AM$4,'WH Rev &amp; Events Data'!$8:$8,0))</f>
        <v>HC</v>
      </c>
      <c r="AN3" s="3" t="str">
        <f t="array" ref="AN3">INDEX('WH Rev &amp; Events Data'!$6:$6,MATCH(AN$4,'WH Rev &amp; Events Data'!$8:$8,0))</f>
        <v>HC</v>
      </c>
      <c r="AO3" s="3" t="str">
        <f t="array" ref="AO3">INDEX('WH Rev &amp; Events Data'!$6:$6,MATCH(AO$4,'WH Rev &amp; Events Data'!$8:$8,0))</f>
        <v>HTX</v>
      </c>
      <c r="AP3" s="3" t="str">
        <f t="array" ref="AP3">INDEX('WH Rev &amp; Events Data'!$6:$6,MATCH(AP$4,'WH Rev &amp; Events Data'!$8:$8,0))</f>
        <v>HTX</v>
      </c>
      <c r="AQ3" s="3" t="e">
        <f t="array" ref="AQ3">INDEX('WH Rev &amp; Events Data'!$6:$6,MATCH(AQ$4,'WH Rev &amp; Events Data'!$8:$8,0))</f>
        <v>#N/A</v>
      </c>
      <c r="AR3" s="3" t="str">
        <f t="array" ref="AR3">INDEX('WH Rev &amp; Events Data'!$6:$6,MATCH(AR$4,'WH Rev &amp; Events Data'!$8:$8,0))</f>
        <v>HTX</v>
      </c>
      <c r="AS3" s="3" t="str">
        <f t="array" ref="AS3">INDEX('WH Rev &amp; Events Data'!$6:$6,MATCH(AS$4,'WH Rev &amp; Events Data'!$8:$8,0))</f>
        <v>HTX</v>
      </c>
      <c r="AT3" s="3" t="str">
        <f t="array" ref="AT3">INDEX('WH Rev &amp; Events Data'!$6:$6,MATCH(AT$4,'WH Rev &amp; Events Data'!$8:$8,0))</f>
        <v>HTX</v>
      </c>
      <c r="AU3" s="3" t="str">
        <f t="array" ref="AU3">INDEX('WH Rev &amp; Events Data'!$6:$6,MATCH(AU$4,'WH Rev &amp; Events Data'!$8:$8,0))</f>
        <v>HTX</v>
      </c>
      <c r="AV3" s="3" t="str">
        <f t="array" ref="AV3">INDEX('WH Rev &amp; Events Data'!$6:$6,MATCH(AV$4,'WH Rev &amp; Events Data'!$8:$8,0))</f>
        <v>HTX</v>
      </c>
      <c r="AW3" s="3" t="str">
        <f t="array" ref="AW3">INDEX('WH Rev &amp; Events Data'!$6:$6,MATCH(AW$4,'WH Rev &amp; Events Data'!$8:$8,0))</f>
        <v>ATL</v>
      </c>
    </row>
    <row r="4" spans="8:53" ht="58">
      <c r="J4" s="394" t="s">
        <v>204</v>
      </c>
      <c r="K4" s="394" t="s">
        <v>80</v>
      </c>
      <c r="L4" s="394" t="s">
        <v>2059</v>
      </c>
      <c r="M4" s="394" t="s">
        <v>2058</v>
      </c>
      <c r="N4" s="394" t="s">
        <v>2060</v>
      </c>
      <c r="O4" s="394"/>
      <c r="P4" s="394" t="s">
        <v>2073</v>
      </c>
      <c r="Q4" s="394" t="s">
        <v>2061</v>
      </c>
      <c r="R4" s="394" t="s">
        <v>2074</v>
      </c>
      <c r="S4" s="394" t="s">
        <v>2062</v>
      </c>
      <c r="T4" s="394" t="s">
        <v>2066</v>
      </c>
      <c r="U4" s="394" t="s">
        <v>2063</v>
      </c>
      <c r="V4" s="394" t="s">
        <v>2075</v>
      </c>
      <c r="W4" s="394" t="s">
        <v>2064</v>
      </c>
      <c r="X4" s="394" t="s">
        <v>2093</v>
      </c>
      <c r="Y4" s="394" t="s">
        <v>2076</v>
      </c>
      <c r="Z4" s="394" t="s">
        <v>2065</v>
      </c>
      <c r="AA4" s="394" t="s">
        <v>2077</v>
      </c>
      <c r="AB4" s="394" t="s">
        <v>2067</v>
      </c>
      <c r="AC4" s="394" t="s">
        <v>2068</v>
      </c>
      <c r="AD4" s="394" t="s">
        <v>2069</v>
      </c>
      <c r="AE4" s="394" t="s">
        <v>2070</v>
      </c>
      <c r="AF4" s="394" t="s">
        <v>2071</v>
      </c>
      <c r="AG4" s="394" t="s">
        <v>2072</v>
      </c>
      <c r="AH4" s="394" t="s">
        <v>2078</v>
      </c>
      <c r="AI4" s="394" t="s">
        <v>2169</v>
      </c>
      <c r="AJ4" s="394" t="s">
        <v>2080</v>
      </c>
      <c r="AK4" s="394" t="s">
        <v>2081</v>
      </c>
      <c r="AL4" s="394" t="s">
        <v>2082</v>
      </c>
      <c r="AM4" s="394" t="s">
        <v>2083</v>
      </c>
      <c r="AN4" s="394" t="s">
        <v>2084</v>
      </c>
      <c r="AO4" s="394" t="s">
        <v>2085</v>
      </c>
      <c r="AP4" s="394" t="s">
        <v>2086</v>
      </c>
      <c r="AQ4" s="394" t="s">
        <v>2170</v>
      </c>
      <c r="AR4" s="394" t="s">
        <v>2087</v>
      </c>
      <c r="AS4" s="394" t="s">
        <v>2091</v>
      </c>
      <c r="AT4" s="394" t="s">
        <v>2088</v>
      </c>
      <c r="AU4" s="394" t="s">
        <v>2089</v>
      </c>
      <c r="AV4" s="394" t="s">
        <v>2090</v>
      </c>
      <c r="AW4" s="394" t="s">
        <v>2092</v>
      </c>
    </row>
    <row r="9" spans="8:53" ht="14.5">
      <c r="H9" s="395" t="s">
        <v>33</v>
      </c>
      <c r="I9" s="395"/>
    </row>
    <row r="10" spans="8:53" ht="14.5">
      <c r="H10" s="395"/>
      <c r="I10" s="395"/>
    </row>
    <row r="11" spans="8:53" ht="14.5" hidden="1" outlineLevel="1">
      <c r="H11" s="396" t="s">
        <v>2126</v>
      </c>
      <c r="I11" s="396"/>
      <c r="J11" s="397"/>
      <c r="K11" s="397"/>
      <c r="L11" s="397"/>
      <c r="M11" s="397"/>
      <c r="N11" s="397"/>
      <c r="O11" s="397"/>
      <c r="P11" s="397">
        <v>134.822</v>
      </c>
      <c r="Q11" s="397">
        <v>62.969960000000007</v>
      </c>
      <c r="R11" s="397">
        <v>84.463499999999996</v>
      </c>
      <c r="S11" s="397">
        <v>85.5535</v>
      </c>
      <c r="T11" s="397">
        <v>296.25963999999999</v>
      </c>
      <c r="U11" s="397">
        <v>137.14228</v>
      </c>
      <c r="V11" s="397">
        <v>276.02907999999996</v>
      </c>
      <c r="W11" s="397">
        <v>171.34361000000001</v>
      </c>
      <c r="X11" s="397">
        <v>8.61632</v>
      </c>
      <c r="Y11" s="397">
        <v>63.5075</v>
      </c>
      <c r="Z11" s="397">
        <v>35.265999999999998</v>
      </c>
      <c r="AA11" s="397">
        <v>36.613</v>
      </c>
      <c r="AB11" s="397">
        <v>58.344999999999999</v>
      </c>
      <c r="AC11" s="397">
        <v>182.28066000000001</v>
      </c>
      <c r="AD11" s="397">
        <v>181.61859999999999</v>
      </c>
      <c r="AE11" s="397">
        <v>910.72083000000009</v>
      </c>
      <c r="AF11" s="397">
        <v>57.49192</v>
      </c>
      <c r="AG11" s="397">
        <v>42.600830000000002</v>
      </c>
      <c r="AH11" s="397">
        <v>220.21938</v>
      </c>
      <c r="AI11" s="397">
        <v>173.50302000000002</v>
      </c>
      <c r="AJ11" s="397">
        <v>0</v>
      </c>
      <c r="AK11" s="397">
        <v>55.051839999999999</v>
      </c>
      <c r="AL11" s="397">
        <v>117.39552</v>
      </c>
      <c r="AM11" s="397">
        <v>137.74101000000002</v>
      </c>
      <c r="AN11" s="397">
        <v>53.811250000000001</v>
      </c>
      <c r="AO11" s="397">
        <v>222.03352000000001</v>
      </c>
      <c r="AP11" s="397">
        <v>124.20366</v>
      </c>
      <c r="AQ11" s="397">
        <v>0</v>
      </c>
      <c r="AR11" s="397">
        <v>120.93387000000001</v>
      </c>
      <c r="AS11" s="397">
        <v>18.524000000000001</v>
      </c>
      <c r="AT11" s="397">
        <v>156.75524000000001</v>
      </c>
      <c r="AU11" s="397">
        <v>205.40674999999999</v>
      </c>
      <c r="AV11" s="397">
        <v>712.42084999999997</v>
      </c>
      <c r="AW11" s="397">
        <v>360.47206</v>
      </c>
    </row>
    <row r="12" spans="8:53" ht="14.5" hidden="1" outlineLevel="1">
      <c r="H12" s="396" t="s">
        <v>2127</v>
      </c>
      <c r="I12" s="396"/>
      <c r="J12" s="397"/>
      <c r="K12" s="397"/>
      <c r="L12" s="397"/>
      <c r="M12" s="397"/>
      <c r="N12" s="397"/>
      <c r="O12" s="397"/>
      <c r="P12" s="397">
        <v>123.45</v>
      </c>
      <c r="Q12" s="397">
        <v>49</v>
      </c>
      <c r="R12" s="397">
        <v>59.174999999999997</v>
      </c>
      <c r="S12" s="397">
        <v>68.5</v>
      </c>
      <c r="T12" s="397">
        <v>211.85</v>
      </c>
      <c r="U12" s="397">
        <v>117.8</v>
      </c>
      <c r="V12" s="397">
        <v>247.45</v>
      </c>
      <c r="W12" s="397">
        <v>152.05000000000001</v>
      </c>
      <c r="X12" s="397">
        <v>0</v>
      </c>
      <c r="Y12" s="397">
        <v>48.95</v>
      </c>
      <c r="Z12" s="397">
        <v>49.15</v>
      </c>
      <c r="AA12" s="397">
        <v>36.200000000000003</v>
      </c>
      <c r="AB12" s="397">
        <v>58.25</v>
      </c>
      <c r="AC12" s="397">
        <v>143.4</v>
      </c>
      <c r="AD12" s="397">
        <v>146.85</v>
      </c>
      <c r="AE12" s="397">
        <v>610.65</v>
      </c>
      <c r="AF12" s="397">
        <v>46.55</v>
      </c>
      <c r="AG12" s="397">
        <v>41</v>
      </c>
      <c r="AH12" s="397">
        <v>208.99509</v>
      </c>
      <c r="AI12" s="397">
        <v>174.97503</v>
      </c>
      <c r="AJ12" s="397">
        <v>0</v>
      </c>
      <c r="AK12" s="397">
        <v>60.9</v>
      </c>
      <c r="AL12" s="397">
        <v>116.2</v>
      </c>
      <c r="AM12" s="397">
        <v>113.65</v>
      </c>
      <c r="AN12" s="397">
        <v>30.95</v>
      </c>
      <c r="AO12" s="397">
        <v>138.47499999999999</v>
      </c>
      <c r="AP12" s="397">
        <v>91.25</v>
      </c>
      <c r="AQ12" s="397">
        <v>0</v>
      </c>
      <c r="AR12" s="397">
        <v>59.95</v>
      </c>
      <c r="AS12" s="397">
        <v>15.7</v>
      </c>
      <c r="AT12" s="397">
        <v>115.15</v>
      </c>
      <c r="AU12" s="397">
        <v>130.9</v>
      </c>
      <c r="AV12" s="397">
        <v>382.82499999999999</v>
      </c>
      <c r="AW12" s="397">
        <v>314.89999999999998</v>
      </c>
    </row>
    <row r="13" spans="8:53" ht="14.5" hidden="1" outlineLevel="1">
      <c r="H13" s="396" t="s">
        <v>2128</v>
      </c>
      <c r="I13" s="396"/>
      <c r="J13" s="397"/>
      <c r="K13" s="397"/>
      <c r="L13" s="397"/>
      <c r="M13" s="397"/>
      <c r="N13" s="397"/>
      <c r="O13" s="397"/>
      <c r="P13" s="397">
        <v>115.55</v>
      </c>
      <c r="Q13" s="397">
        <v>47.7</v>
      </c>
      <c r="R13" s="397">
        <v>87.724999999999994</v>
      </c>
      <c r="S13" s="397">
        <v>92.7</v>
      </c>
      <c r="T13" s="397">
        <v>178.75</v>
      </c>
      <c r="U13" s="397">
        <v>112.45</v>
      </c>
      <c r="V13" s="397">
        <v>183.47499999999999</v>
      </c>
      <c r="W13" s="397">
        <v>151.05000000000001</v>
      </c>
      <c r="X13" s="397">
        <v>1.1000000000000001</v>
      </c>
      <c r="Y13" s="397">
        <v>44.424999999999997</v>
      </c>
      <c r="Z13" s="397">
        <v>43.75</v>
      </c>
      <c r="AA13" s="397">
        <v>35.975000000000001</v>
      </c>
      <c r="AB13" s="397">
        <v>63.2</v>
      </c>
      <c r="AC13" s="397">
        <v>135.47499999999999</v>
      </c>
      <c r="AD13" s="397">
        <v>160.1</v>
      </c>
      <c r="AE13" s="397">
        <v>301.89999999999998</v>
      </c>
      <c r="AF13" s="397">
        <v>34.549999999999997</v>
      </c>
      <c r="AG13" s="397">
        <v>39.85</v>
      </c>
      <c r="AH13" s="397">
        <v>173.92500000000001</v>
      </c>
      <c r="AI13" s="397">
        <v>126.55</v>
      </c>
      <c r="AJ13" s="397">
        <v>0</v>
      </c>
      <c r="AK13" s="397">
        <v>52.1</v>
      </c>
      <c r="AL13" s="397">
        <v>101.825</v>
      </c>
      <c r="AM13" s="397">
        <v>103.175</v>
      </c>
      <c r="AN13" s="397">
        <v>26.125</v>
      </c>
      <c r="AO13" s="397">
        <v>125.6</v>
      </c>
      <c r="AP13" s="397">
        <v>90.500009999999989</v>
      </c>
      <c r="AQ13" s="397">
        <v>0</v>
      </c>
      <c r="AR13" s="397">
        <v>65.650000000000006</v>
      </c>
      <c r="AS13" s="397">
        <v>9.4499999999999993</v>
      </c>
      <c r="AT13" s="397">
        <v>104.15</v>
      </c>
      <c r="AU13" s="397">
        <v>97.35</v>
      </c>
      <c r="AV13" s="397">
        <v>280.17500000000001</v>
      </c>
      <c r="AW13" s="397">
        <v>473.625</v>
      </c>
    </row>
    <row r="14" spans="8:53" ht="14.5" hidden="1" outlineLevel="1">
      <c r="H14" s="396" t="s">
        <v>2129</v>
      </c>
      <c r="I14" s="396"/>
      <c r="J14" s="397"/>
      <c r="K14" s="397"/>
      <c r="L14" s="397"/>
      <c r="M14" s="397"/>
      <c r="N14" s="397"/>
      <c r="O14" s="397"/>
      <c r="P14" s="397">
        <v>48.307499999999997</v>
      </c>
      <c r="Q14" s="397">
        <v>25.541250000000002</v>
      </c>
      <c r="R14" s="397">
        <v>34.481250000000003</v>
      </c>
      <c r="S14" s="397">
        <v>29.127500000000001</v>
      </c>
      <c r="T14" s="397">
        <v>78.586250000000007</v>
      </c>
      <c r="U14" s="397">
        <v>42.123750000000001</v>
      </c>
      <c r="V14" s="397">
        <v>78.042500000000004</v>
      </c>
      <c r="W14" s="397">
        <v>70.421250000000001</v>
      </c>
      <c r="X14" s="397">
        <v>0</v>
      </c>
      <c r="Y14" s="397">
        <v>25.585249999999998</v>
      </c>
      <c r="Z14" s="397">
        <v>14.55625</v>
      </c>
      <c r="AA14" s="397">
        <v>19.085000000000001</v>
      </c>
      <c r="AB14" s="397">
        <v>20.15625</v>
      </c>
      <c r="AC14" s="397">
        <v>52.731250000000003</v>
      </c>
      <c r="AD14" s="397">
        <v>59.659750000000003</v>
      </c>
      <c r="AE14" s="397">
        <v>136.77956</v>
      </c>
      <c r="AF14" s="397">
        <v>16.112500000000001</v>
      </c>
      <c r="AG14" s="397">
        <v>24.754999999999999</v>
      </c>
      <c r="AH14" s="397">
        <v>61.914250000000003</v>
      </c>
      <c r="AI14" s="397">
        <v>52.116250000000001</v>
      </c>
      <c r="AJ14" s="397">
        <v>0</v>
      </c>
      <c r="AK14" s="397">
        <v>20.524249999999999</v>
      </c>
      <c r="AL14" s="397">
        <v>37.572499999999998</v>
      </c>
      <c r="AM14" s="397">
        <v>34.70675</v>
      </c>
      <c r="AN14" s="397">
        <v>14.369</v>
      </c>
      <c r="AO14" s="397">
        <v>57.973750000000003</v>
      </c>
      <c r="AP14" s="397">
        <v>35.404000000000003</v>
      </c>
      <c r="AQ14" s="397">
        <v>0</v>
      </c>
      <c r="AR14" s="397">
        <v>27.572749999999999</v>
      </c>
      <c r="AS14" s="397">
        <v>3.7625000000000002</v>
      </c>
      <c r="AT14" s="397">
        <v>40.72625</v>
      </c>
      <c r="AU14" s="397">
        <v>45.204749999999997</v>
      </c>
      <c r="AV14" s="397">
        <v>114.52525</v>
      </c>
      <c r="AW14" s="397">
        <v>155.20075</v>
      </c>
    </row>
    <row r="15" spans="8:53" ht="14.5" hidden="1" outlineLevel="1">
      <c r="H15" s="396" t="s">
        <v>2130</v>
      </c>
      <c r="I15" s="396"/>
      <c r="J15" s="397"/>
      <c r="K15" s="397"/>
      <c r="L15" s="397"/>
      <c r="M15" s="397"/>
      <c r="N15" s="397"/>
      <c r="O15" s="397"/>
      <c r="P15" s="397">
        <v>51.505000000000003</v>
      </c>
      <c r="Q15" s="397">
        <v>22.907</v>
      </c>
      <c r="R15" s="397">
        <v>35.420999999999999</v>
      </c>
      <c r="S15" s="397">
        <v>31.036999999999999</v>
      </c>
      <c r="T15" s="397">
        <v>94.67</v>
      </c>
      <c r="U15" s="397">
        <v>58.691000000000003</v>
      </c>
      <c r="V15" s="397">
        <v>92.009</v>
      </c>
      <c r="W15" s="397">
        <v>57.848459999999996</v>
      </c>
      <c r="X15" s="397">
        <v>0</v>
      </c>
      <c r="Y15" s="397">
        <v>18.260000000000002</v>
      </c>
      <c r="Z15" s="397">
        <v>22.67</v>
      </c>
      <c r="AA15" s="397">
        <v>16.585000000000001</v>
      </c>
      <c r="AB15" s="397">
        <v>23.2</v>
      </c>
      <c r="AC15" s="397">
        <v>64.063000000000002</v>
      </c>
      <c r="AD15" s="397">
        <v>62.755000000000003</v>
      </c>
      <c r="AE15" s="397">
        <v>155.512</v>
      </c>
      <c r="AF15" s="397">
        <v>17.067</v>
      </c>
      <c r="AG15" s="397">
        <v>18.28</v>
      </c>
      <c r="AH15" s="397">
        <v>72.641000000000005</v>
      </c>
      <c r="AI15" s="397">
        <v>61.15</v>
      </c>
      <c r="AJ15" s="397">
        <v>0</v>
      </c>
      <c r="AK15" s="397">
        <v>19.675000000000001</v>
      </c>
      <c r="AL15" s="397">
        <v>40.35</v>
      </c>
      <c r="AM15" s="397">
        <v>44.994</v>
      </c>
      <c r="AN15" s="397">
        <v>14.486000000000001</v>
      </c>
      <c r="AO15" s="397">
        <v>62.82</v>
      </c>
      <c r="AP15" s="397">
        <v>37.46</v>
      </c>
      <c r="AQ15" s="397">
        <v>0</v>
      </c>
      <c r="AR15" s="397">
        <v>37.481000000000002</v>
      </c>
      <c r="AS15" s="397">
        <v>3.6</v>
      </c>
      <c r="AT15" s="397">
        <v>50.261000000000003</v>
      </c>
      <c r="AU15" s="397">
        <v>51.13</v>
      </c>
      <c r="AV15" s="397">
        <v>139.59399999999999</v>
      </c>
      <c r="AW15" s="397">
        <v>98.951999999999998</v>
      </c>
    </row>
    <row r="16" spans="8:53" ht="14.5" hidden="1" outlineLevel="1">
      <c r="H16" s="396" t="s">
        <v>2131</v>
      </c>
      <c r="I16" s="396"/>
      <c r="J16" s="397"/>
      <c r="K16" s="397"/>
      <c r="L16" s="397"/>
      <c r="M16" s="397"/>
      <c r="N16" s="397"/>
      <c r="O16" s="397"/>
      <c r="P16" s="397">
        <v>8.25</v>
      </c>
      <c r="Q16" s="397">
        <v>3.25</v>
      </c>
      <c r="R16" s="397">
        <v>8.5</v>
      </c>
      <c r="S16" s="397">
        <v>4.09</v>
      </c>
      <c r="T16" s="397">
        <v>15.317500000000001</v>
      </c>
      <c r="U16" s="397">
        <v>9</v>
      </c>
      <c r="V16" s="397">
        <v>79.875</v>
      </c>
      <c r="W16" s="397">
        <v>9.8699999999999992</v>
      </c>
      <c r="X16" s="397">
        <v>0</v>
      </c>
      <c r="Y16" s="397">
        <v>4</v>
      </c>
      <c r="Z16" s="397">
        <v>3.75</v>
      </c>
      <c r="AA16" s="397">
        <v>2.25</v>
      </c>
      <c r="AB16" s="397">
        <v>4.5</v>
      </c>
      <c r="AC16" s="397">
        <v>14.5</v>
      </c>
      <c r="AD16" s="397">
        <v>9.7899999999999991</v>
      </c>
      <c r="AE16" s="397">
        <v>126.75</v>
      </c>
      <c r="AF16" s="397">
        <v>2.25</v>
      </c>
      <c r="AG16" s="397">
        <v>1.75</v>
      </c>
      <c r="AH16" s="397">
        <v>8.8825000000000003</v>
      </c>
      <c r="AI16" s="397">
        <v>12.25</v>
      </c>
      <c r="AJ16" s="397">
        <v>0</v>
      </c>
      <c r="AK16" s="397">
        <v>3.75</v>
      </c>
      <c r="AL16" s="397">
        <v>7</v>
      </c>
      <c r="AM16" s="397">
        <v>5.5250000000000004</v>
      </c>
      <c r="AN16" s="397">
        <v>0</v>
      </c>
      <c r="AO16" s="397">
        <v>7.75</v>
      </c>
      <c r="AP16" s="397">
        <v>4.5</v>
      </c>
      <c r="AQ16" s="397">
        <v>0</v>
      </c>
      <c r="AR16" s="397">
        <v>2.25</v>
      </c>
      <c r="AS16" s="397">
        <v>0.75</v>
      </c>
      <c r="AT16" s="397">
        <v>5.5</v>
      </c>
      <c r="AU16" s="397">
        <v>5.5</v>
      </c>
      <c r="AV16" s="397">
        <v>33.625</v>
      </c>
      <c r="AW16" s="397">
        <v>54.5</v>
      </c>
    </row>
    <row r="17" spans="1:49" ht="14.5" hidden="1" outlineLevel="1">
      <c r="H17" s="396" t="s">
        <v>2132</v>
      </c>
      <c r="I17" s="396"/>
      <c r="J17" s="397"/>
      <c r="K17" s="397"/>
      <c r="L17" s="397"/>
      <c r="M17" s="397"/>
      <c r="N17" s="397"/>
      <c r="O17" s="397"/>
      <c r="P17" s="397">
        <v>46.033000000000001</v>
      </c>
      <c r="Q17" s="397">
        <v>21.785</v>
      </c>
      <c r="R17" s="397">
        <v>45.631</v>
      </c>
      <c r="S17" s="397">
        <v>48.802999999999997</v>
      </c>
      <c r="T17" s="397">
        <v>80.61</v>
      </c>
      <c r="U17" s="397">
        <v>31.169</v>
      </c>
      <c r="V17" s="397">
        <v>70.944999999999993</v>
      </c>
      <c r="W17" s="397">
        <v>57.262999999999998</v>
      </c>
      <c r="X17" s="397">
        <v>9.7569999999999997</v>
      </c>
      <c r="Y17" s="397">
        <v>23.4</v>
      </c>
      <c r="Z17" s="397">
        <v>22.593</v>
      </c>
      <c r="AA17" s="397">
        <v>27.212</v>
      </c>
      <c r="AB17" s="397">
        <v>27.1</v>
      </c>
      <c r="AC17" s="397">
        <v>53.067</v>
      </c>
      <c r="AD17" s="397">
        <v>51.177</v>
      </c>
      <c r="AE17" s="397">
        <v>66.962000000000003</v>
      </c>
      <c r="AF17" s="397">
        <v>16.350000000000001</v>
      </c>
      <c r="AG17" s="397">
        <v>24.74</v>
      </c>
      <c r="AH17" s="397">
        <v>64.704999999999998</v>
      </c>
      <c r="AI17" s="397">
        <v>15.669</v>
      </c>
      <c r="AJ17" s="397">
        <v>0</v>
      </c>
      <c r="AK17" s="397">
        <v>19.292999999999999</v>
      </c>
      <c r="AL17" s="397">
        <v>22.460999999999999</v>
      </c>
      <c r="AM17" s="397">
        <v>38.167000000000002</v>
      </c>
      <c r="AN17" s="397">
        <v>10.032</v>
      </c>
      <c r="AO17" s="397">
        <v>41.113999999999997</v>
      </c>
      <c r="AP17" s="397">
        <v>36.164000000000001</v>
      </c>
      <c r="AQ17" s="397">
        <v>3.6046499999999999</v>
      </c>
      <c r="AR17" s="397">
        <v>25.093</v>
      </c>
      <c r="AS17" s="397">
        <v>6.1</v>
      </c>
      <c r="AT17" s="397">
        <v>39.728999999999999</v>
      </c>
      <c r="AU17" s="397">
        <v>30.654</v>
      </c>
      <c r="AV17" s="397">
        <v>71.531999999999996</v>
      </c>
      <c r="AW17" s="397">
        <v>97.114000000000004</v>
      </c>
    </row>
    <row r="18" spans="1:49" ht="14.5" hidden="1" outlineLevel="1">
      <c r="H18" s="396" t="s">
        <v>2133</v>
      </c>
      <c r="I18" s="396"/>
      <c r="J18" s="397"/>
      <c r="K18" s="397"/>
      <c r="L18" s="397"/>
      <c r="M18" s="397"/>
      <c r="N18" s="397"/>
      <c r="O18" s="397"/>
      <c r="P18" s="397">
        <v>0</v>
      </c>
      <c r="Q18" s="397">
        <v>0</v>
      </c>
      <c r="R18" s="397">
        <v>0</v>
      </c>
      <c r="S18" s="397">
        <v>0</v>
      </c>
      <c r="T18" s="397">
        <v>2.2000000000000002</v>
      </c>
      <c r="U18" s="397">
        <v>0</v>
      </c>
      <c r="V18" s="397">
        <v>4.4000000000000004</v>
      </c>
      <c r="W18" s="397">
        <v>3.96</v>
      </c>
      <c r="X18" s="397">
        <v>0</v>
      </c>
      <c r="Y18" s="397">
        <v>2.64</v>
      </c>
      <c r="Z18" s="397">
        <v>2.2000000000000002</v>
      </c>
      <c r="AA18" s="397">
        <v>0</v>
      </c>
      <c r="AB18" s="397">
        <v>0</v>
      </c>
      <c r="AC18" s="397">
        <v>0</v>
      </c>
      <c r="AD18" s="397">
        <v>2.2000000000000002</v>
      </c>
      <c r="AE18" s="397">
        <v>-3.3</v>
      </c>
      <c r="AF18" s="397">
        <v>0</v>
      </c>
      <c r="AG18" s="397">
        <v>0</v>
      </c>
      <c r="AH18" s="397">
        <v>0</v>
      </c>
      <c r="AI18" s="397">
        <v>0</v>
      </c>
      <c r="AJ18" s="397">
        <v>0</v>
      </c>
      <c r="AK18" s="397">
        <v>2.2000000000000002</v>
      </c>
      <c r="AL18" s="397">
        <v>0</v>
      </c>
      <c r="AM18" s="397">
        <v>0</v>
      </c>
      <c r="AN18" s="397">
        <v>0</v>
      </c>
      <c r="AO18" s="397">
        <v>0</v>
      </c>
      <c r="AP18" s="397">
        <v>0</v>
      </c>
      <c r="AQ18" s="397">
        <v>0</v>
      </c>
      <c r="AR18" s="397">
        <v>0</v>
      </c>
      <c r="AS18" s="397">
        <v>0</v>
      </c>
      <c r="AT18" s="397">
        <v>0</v>
      </c>
      <c r="AU18" s="397">
        <v>0</v>
      </c>
      <c r="AV18" s="397">
        <v>0</v>
      </c>
      <c r="AW18" s="397">
        <v>0</v>
      </c>
    </row>
    <row r="19" spans="1:49" ht="14.5" hidden="1" outlineLevel="1">
      <c r="H19" s="396" t="s">
        <v>2134</v>
      </c>
      <c r="I19" s="396"/>
      <c r="J19" s="397"/>
      <c r="K19" s="397"/>
      <c r="L19" s="397"/>
      <c r="M19" s="397"/>
      <c r="N19" s="397"/>
      <c r="O19" s="397"/>
      <c r="P19" s="397">
        <v>0</v>
      </c>
      <c r="Q19" s="397">
        <v>0</v>
      </c>
      <c r="R19" s="397">
        <v>0</v>
      </c>
      <c r="S19" s="397">
        <v>0.5</v>
      </c>
      <c r="T19" s="397">
        <v>0.5</v>
      </c>
      <c r="U19" s="397">
        <v>0.5</v>
      </c>
      <c r="V19" s="397">
        <v>0.5</v>
      </c>
      <c r="W19" s="397">
        <v>0</v>
      </c>
      <c r="X19" s="397">
        <v>0</v>
      </c>
      <c r="Y19" s="397">
        <v>0.5</v>
      </c>
      <c r="Z19" s="397">
        <v>0</v>
      </c>
      <c r="AA19" s="397">
        <v>0</v>
      </c>
      <c r="AB19" s="397">
        <v>0</v>
      </c>
      <c r="AC19" s="397">
        <v>0.5</v>
      </c>
      <c r="AD19" s="397">
        <v>0.5</v>
      </c>
      <c r="AE19" s="397">
        <v>0</v>
      </c>
      <c r="AF19" s="397">
        <v>0</v>
      </c>
      <c r="AG19" s="397">
        <v>0</v>
      </c>
      <c r="AH19" s="397">
        <v>0</v>
      </c>
      <c r="AI19" s="397">
        <v>0</v>
      </c>
      <c r="AJ19" s="397">
        <v>0</v>
      </c>
      <c r="AK19" s="397">
        <v>0</v>
      </c>
      <c r="AL19" s="397">
        <v>0</v>
      </c>
      <c r="AM19" s="397">
        <v>0</v>
      </c>
      <c r="AN19" s="397">
        <v>0</v>
      </c>
      <c r="AO19" s="397">
        <v>0</v>
      </c>
      <c r="AP19" s="397">
        <v>0</v>
      </c>
      <c r="AQ19" s="397">
        <v>0</v>
      </c>
      <c r="AR19" s="397">
        <v>0</v>
      </c>
      <c r="AS19" s="397">
        <v>0</v>
      </c>
      <c r="AT19" s="397">
        <v>0</v>
      </c>
      <c r="AU19" s="397">
        <v>0</v>
      </c>
      <c r="AV19" s="397">
        <v>0</v>
      </c>
      <c r="AW19" s="397">
        <v>0</v>
      </c>
    </row>
    <row r="20" spans="1:49" ht="14.5" hidden="1" outlineLevel="1">
      <c r="H20" s="396" t="s">
        <v>2135</v>
      </c>
      <c r="I20" s="396"/>
      <c r="J20" s="397"/>
      <c r="K20" s="397"/>
      <c r="L20" s="397"/>
      <c r="M20" s="397"/>
      <c r="N20" s="397"/>
      <c r="O20" s="397"/>
      <c r="P20" s="397">
        <v>16.386500000000002</v>
      </c>
      <c r="Q20" s="397">
        <v>9.2349999999999994</v>
      </c>
      <c r="R20" s="397">
        <v>7.6234999999999999</v>
      </c>
      <c r="S20" s="397">
        <v>3.9035000000000002</v>
      </c>
      <c r="T20" s="397">
        <v>12.012600000000001</v>
      </c>
      <c r="U20" s="397">
        <v>18.408999999999999</v>
      </c>
      <c r="V20" s="397">
        <v>-14.492000000000001</v>
      </c>
      <c r="W20" s="397">
        <v>33.135309999999997</v>
      </c>
      <c r="X20" s="397">
        <v>-12.84</v>
      </c>
      <c r="Y20" s="397">
        <v>14.0535</v>
      </c>
      <c r="Z20" s="397">
        <v>8.6255000000000006</v>
      </c>
      <c r="AA20" s="397">
        <v>6.6650100000000005</v>
      </c>
      <c r="AB20" s="397">
        <v>6.6855000000000002</v>
      </c>
      <c r="AC20" s="397">
        <v>16.012499999999999</v>
      </c>
      <c r="AD20" s="397">
        <v>16.523</v>
      </c>
      <c r="AE20" s="397">
        <v>3.0482399999999998</v>
      </c>
      <c r="AF20" s="397">
        <v>20.343</v>
      </c>
      <c r="AG20" s="397">
        <v>8.8800000000000008</v>
      </c>
      <c r="AH20" s="397">
        <v>22.036550000000002</v>
      </c>
      <c r="AI20" s="397">
        <v>54.640999999999998</v>
      </c>
      <c r="AJ20" s="397">
        <v>0</v>
      </c>
      <c r="AK20" s="397">
        <v>9.5909999999999993</v>
      </c>
      <c r="AL20" s="397">
        <v>31.768000000000001</v>
      </c>
      <c r="AM20" s="397">
        <v>6.1310000000000002</v>
      </c>
      <c r="AN20" s="397">
        <v>24.434000000000001</v>
      </c>
      <c r="AO20" s="397">
        <v>9.4369800000000001</v>
      </c>
      <c r="AP20" s="397">
        <v>11.29499</v>
      </c>
      <c r="AQ20" s="397">
        <v>8.3672500000000003</v>
      </c>
      <c r="AR20" s="397">
        <v>15.653499999999999</v>
      </c>
      <c r="AS20" s="397">
        <v>-2.14</v>
      </c>
      <c r="AT20" s="397">
        <v>0.3499899999999998</v>
      </c>
      <c r="AU20" s="397">
        <v>11.337</v>
      </c>
      <c r="AV20" s="397">
        <v>-12.51613</v>
      </c>
      <c r="AW20" s="397">
        <v>-42.015999999999998</v>
      </c>
    </row>
    <row r="21" spans="1:49" ht="15.75" hidden="1" customHeight="1" outlineLevel="1">
      <c r="H21" s="396" t="s">
        <v>2136</v>
      </c>
      <c r="I21" s="396"/>
      <c r="J21" s="397"/>
      <c r="K21" s="397"/>
      <c r="L21" s="397"/>
      <c r="M21" s="397"/>
      <c r="N21" s="397"/>
      <c r="O21" s="397"/>
      <c r="P21" s="397">
        <v>0.75</v>
      </c>
      <c r="Q21" s="397">
        <v>0.75</v>
      </c>
      <c r="R21" s="397">
        <v>1</v>
      </c>
      <c r="S21" s="397">
        <v>1.5</v>
      </c>
      <c r="T21" s="397">
        <v>4.5</v>
      </c>
      <c r="U21" s="397">
        <v>3.25</v>
      </c>
      <c r="V21" s="397">
        <v>6.75</v>
      </c>
      <c r="W21" s="397">
        <v>6.5</v>
      </c>
      <c r="X21" s="397">
        <v>0</v>
      </c>
      <c r="Y21" s="397">
        <v>0.75</v>
      </c>
      <c r="Z21" s="397">
        <v>0.75</v>
      </c>
      <c r="AA21" s="397">
        <v>1</v>
      </c>
      <c r="AB21" s="397">
        <v>1</v>
      </c>
      <c r="AC21" s="397">
        <v>2.25</v>
      </c>
      <c r="AD21" s="397">
        <v>2</v>
      </c>
      <c r="AE21" s="397">
        <v>5</v>
      </c>
      <c r="AF21" s="397">
        <v>0.5</v>
      </c>
      <c r="AG21" s="397">
        <v>0.75</v>
      </c>
      <c r="AH21" s="397">
        <v>4.5</v>
      </c>
      <c r="AI21" s="397">
        <v>4</v>
      </c>
      <c r="AJ21" s="397">
        <v>0</v>
      </c>
      <c r="AK21" s="397">
        <v>1.75</v>
      </c>
      <c r="AL21" s="397">
        <v>2.25</v>
      </c>
      <c r="AM21" s="397">
        <v>2.25</v>
      </c>
      <c r="AN21" s="397">
        <v>1.5</v>
      </c>
      <c r="AO21" s="397">
        <v>3</v>
      </c>
      <c r="AP21" s="397">
        <v>1.5</v>
      </c>
      <c r="AQ21" s="397">
        <v>0</v>
      </c>
      <c r="AR21" s="397">
        <v>1</v>
      </c>
      <c r="AS21" s="397">
        <v>0.5</v>
      </c>
      <c r="AT21" s="397">
        <v>1.25</v>
      </c>
      <c r="AU21" s="397">
        <v>2</v>
      </c>
      <c r="AV21" s="397">
        <v>3.5</v>
      </c>
      <c r="AW21" s="397">
        <v>5</v>
      </c>
    </row>
    <row r="22" spans="1:49" ht="15.75" customHeight="1" collapsed="1">
      <c r="A22" s="398" t="s">
        <v>122</v>
      </c>
      <c r="H22" s="399" t="s">
        <v>122</v>
      </c>
      <c r="I22" s="399"/>
      <c r="J22" s="400">
        <f t="shared" ref="J22:J23" si="0">SUMIFS($P22:$AW22,$P$3:$AW$3,J$4)</f>
        <v>9747.4759099999992</v>
      </c>
      <c r="K22" s="400">
        <f t="shared" ref="K22:K23" si="1">J22-AE22-AF22</f>
        <v>7222.2388599999995</v>
      </c>
      <c r="L22" s="400">
        <f t="shared" ref="L22:N22" si="2">SUMIFS($P22:$AW22,$P$3:$AW$3,L$4)</f>
        <v>4331.34548</v>
      </c>
      <c r="M22" s="400">
        <f t="shared" si="2"/>
        <v>2221.5228900000002</v>
      </c>
      <c r="N22" s="400">
        <f t="shared" si="2"/>
        <v>1517.7478099999998</v>
      </c>
      <c r="O22" s="400"/>
      <c r="P22" s="400">
        <f t="shared" ref="P22:AW22" si="3">SUBTOTAL(9,P11:P21)</f>
        <v>545.05399999999997</v>
      </c>
      <c r="Q22" s="400">
        <f t="shared" si="3"/>
        <v>243.13821000000002</v>
      </c>
      <c r="R22" s="400">
        <f t="shared" si="3"/>
        <v>364.02024999999998</v>
      </c>
      <c r="S22" s="400">
        <f t="shared" si="3"/>
        <v>365.71449999999993</v>
      </c>
      <c r="T22" s="400">
        <f t="shared" si="3"/>
        <v>975.25599</v>
      </c>
      <c r="U22" s="400">
        <f t="shared" si="3"/>
        <v>530.53503000000001</v>
      </c>
      <c r="V22" s="400">
        <f t="shared" si="3"/>
        <v>1024.9835800000001</v>
      </c>
      <c r="W22" s="400">
        <f t="shared" si="3"/>
        <v>713.44163000000015</v>
      </c>
      <c r="X22" s="400">
        <f t="shared" si="3"/>
        <v>6.6333200000000012</v>
      </c>
      <c r="Y22" s="400">
        <f t="shared" si="3"/>
        <v>246.07124999999996</v>
      </c>
      <c r="Z22" s="400">
        <f t="shared" si="3"/>
        <v>203.31074999999996</v>
      </c>
      <c r="AA22" s="400">
        <f t="shared" si="3"/>
        <v>181.58501000000001</v>
      </c>
      <c r="AB22" s="400">
        <f t="shared" si="3"/>
        <v>262.43675000000002</v>
      </c>
      <c r="AC22" s="400">
        <f t="shared" si="3"/>
        <v>664.2794100000001</v>
      </c>
      <c r="AD22" s="400">
        <f t="shared" si="3"/>
        <v>693.17335000000003</v>
      </c>
      <c r="AE22" s="400">
        <f t="shared" si="3"/>
        <v>2314.0226299999999</v>
      </c>
      <c r="AF22" s="400">
        <f t="shared" si="3"/>
        <v>211.21442000000002</v>
      </c>
      <c r="AG22" s="400">
        <f t="shared" si="3"/>
        <v>202.60583</v>
      </c>
      <c r="AH22" s="400">
        <f t="shared" si="3"/>
        <v>837.8187700000002</v>
      </c>
      <c r="AI22" s="400">
        <f t="shared" si="3"/>
        <v>674.85429999999997</v>
      </c>
      <c r="AJ22" s="400">
        <f t="shared" si="3"/>
        <v>0</v>
      </c>
      <c r="AK22" s="400">
        <f t="shared" si="3"/>
        <v>244.83509000000001</v>
      </c>
      <c r="AL22" s="400">
        <f t="shared" si="3"/>
        <v>476.82202000000007</v>
      </c>
      <c r="AM22" s="400">
        <f t="shared" si="3"/>
        <v>486.33975999999996</v>
      </c>
      <c r="AN22" s="400">
        <f t="shared" si="3"/>
        <v>175.70725000000002</v>
      </c>
      <c r="AO22" s="400">
        <f t="shared" si="3"/>
        <v>668.20325000000003</v>
      </c>
      <c r="AP22" s="400">
        <f t="shared" si="3"/>
        <v>432.27665999999994</v>
      </c>
      <c r="AQ22" s="400">
        <f t="shared" si="3"/>
        <v>11.9719</v>
      </c>
      <c r="AR22" s="400">
        <f t="shared" si="3"/>
        <v>355.58412000000004</v>
      </c>
      <c r="AS22" s="400">
        <f t="shared" si="3"/>
        <v>56.246500000000012</v>
      </c>
      <c r="AT22" s="400">
        <f t="shared" si="3"/>
        <v>513.87148000000013</v>
      </c>
      <c r="AU22" s="400">
        <f t="shared" si="3"/>
        <v>579.48249999999996</v>
      </c>
      <c r="AV22" s="400">
        <f t="shared" si="3"/>
        <v>1725.6809699999999</v>
      </c>
      <c r="AW22" s="400">
        <f t="shared" si="3"/>
        <v>1517.7478099999998</v>
      </c>
    </row>
    <row r="23" spans="1:49" ht="15.75" customHeight="1">
      <c r="A23" s="401" t="s">
        <v>117</v>
      </c>
      <c r="H23" s="399" t="s">
        <v>117</v>
      </c>
      <c r="I23" s="399"/>
      <c r="J23" s="400">
        <f t="shared" si="0"/>
        <v>7969.7325499999997</v>
      </c>
      <c r="K23" s="400">
        <f t="shared" si="1"/>
        <v>6460.8638000000001</v>
      </c>
      <c r="L23" s="400">
        <f t="shared" ref="L23:N23" si="4">SUMIFS($P23:$AW23,$P$3:$AW$3,L$4)</f>
        <v>3898.1614199999999</v>
      </c>
      <c r="M23" s="400">
        <f t="shared" si="4"/>
        <v>1734.16157</v>
      </c>
      <c r="N23" s="400">
        <f t="shared" si="4"/>
        <v>1731.7743499999999</v>
      </c>
      <c r="O23" s="400"/>
      <c r="P23" s="400">
        <v>481.74878999999999</v>
      </c>
      <c r="Q23" s="400">
        <v>169.83</v>
      </c>
      <c r="R23" s="400">
        <v>433.35861999999997</v>
      </c>
      <c r="S23" s="400">
        <v>499.34897999999998</v>
      </c>
      <c r="T23" s="400">
        <v>862.06998999999996</v>
      </c>
      <c r="U23" s="400">
        <v>462.54599999999999</v>
      </c>
      <c r="V23" s="400">
        <v>782.70398999999998</v>
      </c>
      <c r="W23" s="400">
        <v>504.88668000000001</v>
      </c>
      <c r="X23" s="400">
        <v>14.751989999999999</v>
      </c>
      <c r="Y23" s="400">
        <v>231.41800000000001</v>
      </c>
      <c r="Z23" s="400">
        <v>239.42082000000002</v>
      </c>
      <c r="AA23" s="400">
        <v>191.72398000000001</v>
      </c>
      <c r="AB23" s="400">
        <v>328.44400000000002</v>
      </c>
      <c r="AC23" s="400">
        <v>608.61398999999994</v>
      </c>
      <c r="AD23" s="400">
        <v>461.95398</v>
      </c>
      <c r="AE23" s="400">
        <v>1290.3354099999999</v>
      </c>
      <c r="AF23" s="400">
        <v>218.53334000000001</v>
      </c>
      <c r="AG23" s="400">
        <v>188.04398999999998</v>
      </c>
      <c r="AH23" s="400">
        <v>661.63763999999992</v>
      </c>
      <c r="AI23" s="400">
        <v>466.53798</v>
      </c>
      <c r="AJ23" s="400">
        <v>0</v>
      </c>
      <c r="AK23" s="400">
        <v>193.60397</v>
      </c>
      <c r="AL23" s="400">
        <v>360.55998</v>
      </c>
      <c r="AM23" s="400">
        <v>390.92498000000001</v>
      </c>
      <c r="AN23" s="400">
        <v>127.435</v>
      </c>
      <c r="AO23" s="400">
        <v>562.31601000000001</v>
      </c>
      <c r="AP23" s="400">
        <v>550.30494999999996</v>
      </c>
      <c r="AQ23" s="400">
        <v>1.518</v>
      </c>
      <c r="AR23" s="400">
        <v>341.06299999999999</v>
      </c>
      <c r="AS23" s="400">
        <v>120.37170999999999</v>
      </c>
      <c r="AT23" s="400">
        <v>401.91399999999999</v>
      </c>
      <c r="AU23" s="400">
        <v>542.04200000000003</v>
      </c>
      <c r="AV23" s="400">
        <v>1380.14975</v>
      </c>
      <c r="AW23" s="400">
        <v>1731.7743499999999</v>
      </c>
    </row>
    <row r="24" spans="1:49" ht="15.75" hidden="1" customHeight="1" outlineLevel="1">
      <c r="H24" s="396" t="s">
        <v>2171</v>
      </c>
      <c r="I24" s="396"/>
      <c r="J24" s="397"/>
      <c r="K24" s="397"/>
      <c r="L24" s="397"/>
      <c r="M24" s="397"/>
      <c r="N24" s="397"/>
      <c r="O24" s="397"/>
      <c r="P24" s="397">
        <v>410.8</v>
      </c>
      <c r="Q24" s="397">
        <v>159.07498999999999</v>
      </c>
      <c r="R24" s="397">
        <v>361.59997999999996</v>
      </c>
      <c r="S24" s="397">
        <v>395.94801000000001</v>
      </c>
      <c r="T24" s="397">
        <v>757.26999000000001</v>
      </c>
      <c r="U24" s="397">
        <v>462.82497999999998</v>
      </c>
      <c r="V24" s="397">
        <v>718.72494999999992</v>
      </c>
      <c r="W24" s="397">
        <v>489.59995999999995</v>
      </c>
      <c r="X24" s="397">
        <v>603.10941000000003</v>
      </c>
      <c r="Y24" s="397">
        <v>218.62496999999999</v>
      </c>
      <c r="Z24" s="397">
        <v>230.3</v>
      </c>
      <c r="AA24" s="397">
        <v>172.72997000000001</v>
      </c>
      <c r="AB24" s="397">
        <v>202.83500000000001</v>
      </c>
      <c r="AC24" s="397">
        <v>464.11095999999998</v>
      </c>
      <c r="AD24" s="397">
        <v>390.10058000000004</v>
      </c>
      <c r="AE24" s="397">
        <v>2089.7498900000001</v>
      </c>
      <c r="AF24" s="397">
        <v>134.50001</v>
      </c>
      <c r="AG24" s="397">
        <v>137.99999</v>
      </c>
      <c r="AH24" s="397">
        <v>679.23840999999993</v>
      </c>
      <c r="AI24" s="397">
        <v>435.63997999999998</v>
      </c>
      <c r="AJ24" s="397">
        <v>0</v>
      </c>
      <c r="AK24" s="397">
        <v>131.89999</v>
      </c>
      <c r="AL24" s="397">
        <v>413.62908999999996</v>
      </c>
      <c r="AM24" s="397">
        <v>338.35699</v>
      </c>
      <c r="AN24" s="397">
        <v>121.44499</v>
      </c>
      <c r="AO24" s="397">
        <v>518.38301999999999</v>
      </c>
      <c r="AP24" s="397">
        <v>400.94999000000001</v>
      </c>
      <c r="AQ24" s="397">
        <v>302.71429999999998</v>
      </c>
      <c r="AR24" s="397">
        <v>324.47498999999999</v>
      </c>
      <c r="AS24" s="397">
        <v>375.70405999999997</v>
      </c>
      <c r="AT24" s="397">
        <v>335.40098</v>
      </c>
      <c r="AU24" s="397">
        <v>644.70001000000002</v>
      </c>
      <c r="AV24" s="397">
        <v>1480.37491</v>
      </c>
      <c r="AW24" s="397">
        <v>1675.95002</v>
      </c>
    </row>
    <row r="25" spans="1:49" ht="15.75" hidden="1" customHeight="1" outlineLevel="1">
      <c r="H25" s="396" t="s">
        <v>2172</v>
      </c>
      <c r="I25" s="396"/>
      <c r="J25" s="397"/>
      <c r="K25" s="397"/>
      <c r="L25" s="397"/>
      <c r="M25" s="397"/>
      <c r="N25" s="397"/>
      <c r="O25" s="397"/>
      <c r="P25" s="397">
        <v>-1.10806</v>
      </c>
      <c r="Q25" s="397">
        <v>-3.59917</v>
      </c>
      <c r="R25" s="397">
        <v>-0.96684000000000003</v>
      </c>
      <c r="S25" s="397">
        <v>-18.735170000000004</v>
      </c>
      <c r="T25" s="397">
        <v>-7.5220000000000011</v>
      </c>
      <c r="U25" s="397">
        <v>-2</v>
      </c>
      <c r="V25" s="397">
        <v>-7.4128400000000001</v>
      </c>
      <c r="W25" s="397">
        <v>-1.0649900000000001</v>
      </c>
      <c r="X25" s="397">
        <v>-1.2593699999999999</v>
      </c>
      <c r="Y25" s="397">
        <v>-5.415</v>
      </c>
      <c r="Z25" s="397">
        <v>0</v>
      </c>
      <c r="AA25" s="397">
        <v>-0.7</v>
      </c>
      <c r="AB25" s="397">
        <v>-0.2</v>
      </c>
      <c r="AC25" s="397">
        <v>-6.2837399999999999</v>
      </c>
      <c r="AD25" s="397">
        <v>-2.2000000000000002</v>
      </c>
      <c r="AE25" s="397">
        <v>-12.64396</v>
      </c>
      <c r="AF25" s="397">
        <v>-2</v>
      </c>
      <c r="AG25" s="397">
        <v>-3.9111500000000001</v>
      </c>
      <c r="AH25" s="397">
        <v>-13.97824</v>
      </c>
      <c r="AI25" s="397">
        <v>-3.3420700000000001</v>
      </c>
      <c r="AJ25" s="397">
        <v>-1.6411300000000002</v>
      </c>
      <c r="AK25" s="397">
        <v>-0.15325</v>
      </c>
      <c r="AL25" s="397">
        <v>-10.788869999999999</v>
      </c>
      <c r="AM25" s="397">
        <v>-5.1561000000000003</v>
      </c>
      <c r="AN25" s="397">
        <v>-13.01965</v>
      </c>
      <c r="AO25" s="397">
        <v>-3.4556399999999998</v>
      </c>
      <c r="AP25" s="397">
        <v>-1.5293299999999999</v>
      </c>
      <c r="AQ25" s="397">
        <v>-4.9306800000000006</v>
      </c>
      <c r="AR25" s="397">
        <v>-3.1429999999999998</v>
      </c>
      <c r="AS25" s="397">
        <v>-0.6</v>
      </c>
      <c r="AT25" s="397">
        <v>-2.5</v>
      </c>
      <c r="AU25" s="397">
        <v>-25.7485</v>
      </c>
      <c r="AV25" s="397">
        <v>-31.91779</v>
      </c>
      <c r="AW25" s="397">
        <v>-29.363979999999998</v>
      </c>
    </row>
    <row r="26" spans="1:49" ht="15.75" customHeight="1" collapsed="1">
      <c r="A26" s="401" t="s">
        <v>112</v>
      </c>
      <c r="H26" s="399" t="s">
        <v>112</v>
      </c>
      <c r="I26" s="399"/>
      <c r="J26" s="400">
        <f t="shared" ref="J26:J27" si="5">SUMIFS($P26:$AW26,$P$3:$AW$3,J$4)</f>
        <v>8322.8813499999997</v>
      </c>
      <c r="K26" s="400">
        <f t="shared" ref="K26:K27" si="6">J26-AE26-AF26</f>
        <v>6113.2754100000002</v>
      </c>
      <c r="L26" s="400">
        <f t="shared" ref="L26:N26" si="7">SUMIFS($P26:$AW26,$P$3:$AW$3,L$4)</f>
        <v>4011.0936999999999</v>
      </c>
      <c r="M26" s="400">
        <f t="shared" si="7"/>
        <v>1639.83223</v>
      </c>
      <c r="N26" s="400">
        <f t="shared" si="7"/>
        <v>1646.5860399999999</v>
      </c>
      <c r="O26" s="400"/>
      <c r="P26" s="400">
        <f t="shared" ref="P26:AW26" si="8">SUBTOTAL(9,P24:P25)</f>
        <v>409.69193999999999</v>
      </c>
      <c r="Q26" s="400">
        <f t="shared" si="8"/>
        <v>155.47582</v>
      </c>
      <c r="R26" s="400">
        <f t="shared" si="8"/>
        <v>360.63313999999997</v>
      </c>
      <c r="S26" s="400">
        <f t="shared" si="8"/>
        <v>377.21284000000003</v>
      </c>
      <c r="T26" s="400">
        <f t="shared" si="8"/>
        <v>749.74798999999996</v>
      </c>
      <c r="U26" s="400">
        <f t="shared" si="8"/>
        <v>460.82497999999998</v>
      </c>
      <c r="V26" s="400">
        <f t="shared" si="8"/>
        <v>711.31210999999996</v>
      </c>
      <c r="W26" s="400">
        <f t="shared" si="8"/>
        <v>488.53496999999993</v>
      </c>
      <c r="X26" s="400">
        <f t="shared" si="8"/>
        <v>601.85004000000004</v>
      </c>
      <c r="Y26" s="400">
        <f t="shared" si="8"/>
        <v>213.20997</v>
      </c>
      <c r="Z26" s="400">
        <f t="shared" si="8"/>
        <v>230.3</v>
      </c>
      <c r="AA26" s="400">
        <f t="shared" si="8"/>
        <v>172.02997000000002</v>
      </c>
      <c r="AB26" s="400">
        <f t="shared" si="8"/>
        <v>202.63500000000002</v>
      </c>
      <c r="AC26" s="400">
        <f t="shared" si="8"/>
        <v>457.82721999999995</v>
      </c>
      <c r="AD26" s="400">
        <f t="shared" si="8"/>
        <v>387.90058000000005</v>
      </c>
      <c r="AE26" s="400">
        <f t="shared" si="8"/>
        <v>2077.1059300000002</v>
      </c>
      <c r="AF26" s="400">
        <f t="shared" si="8"/>
        <v>132.50001</v>
      </c>
      <c r="AG26" s="400">
        <f t="shared" si="8"/>
        <v>134.08884</v>
      </c>
      <c r="AH26" s="400">
        <f t="shared" si="8"/>
        <v>665.2601699999999</v>
      </c>
      <c r="AI26" s="400">
        <f t="shared" si="8"/>
        <v>432.29791</v>
      </c>
      <c r="AJ26" s="400">
        <f t="shared" si="8"/>
        <v>-1.6411300000000002</v>
      </c>
      <c r="AK26" s="400">
        <f t="shared" si="8"/>
        <v>131.74673999999999</v>
      </c>
      <c r="AL26" s="400">
        <f t="shared" si="8"/>
        <v>402.84021999999999</v>
      </c>
      <c r="AM26" s="400">
        <f t="shared" si="8"/>
        <v>333.20089000000002</v>
      </c>
      <c r="AN26" s="400">
        <f t="shared" si="8"/>
        <v>108.42534000000001</v>
      </c>
      <c r="AO26" s="400">
        <f t="shared" si="8"/>
        <v>514.92737999999997</v>
      </c>
      <c r="AP26" s="400">
        <f t="shared" si="8"/>
        <v>399.42066</v>
      </c>
      <c r="AQ26" s="400">
        <f t="shared" si="8"/>
        <v>297.78361999999998</v>
      </c>
      <c r="AR26" s="400">
        <f t="shared" si="8"/>
        <v>321.33199000000002</v>
      </c>
      <c r="AS26" s="400">
        <f t="shared" si="8"/>
        <v>375.10405999999995</v>
      </c>
      <c r="AT26" s="400">
        <f t="shared" si="8"/>
        <v>332.90098</v>
      </c>
      <c r="AU26" s="400">
        <f t="shared" si="8"/>
        <v>618.95150999999998</v>
      </c>
      <c r="AV26" s="400">
        <f t="shared" si="8"/>
        <v>1448.45712</v>
      </c>
      <c r="AW26" s="400">
        <f t="shared" si="8"/>
        <v>1646.5860399999999</v>
      </c>
    </row>
    <row r="27" spans="1:49" ht="15.75" customHeight="1">
      <c r="A27" s="401" t="s">
        <v>123</v>
      </c>
      <c r="H27" s="399" t="s">
        <v>123</v>
      </c>
      <c r="I27" s="399"/>
      <c r="J27" s="400">
        <f t="shared" si="5"/>
        <v>6093.3021400000007</v>
      </c>
      <c r="K27" s="400">
        <f t="shared" si="6"/>
        <v>4641.1149100000002</v>
      </c>
      <c r="L27" s="400">
        <f t="shared" ref="L27:N27" si="9">SUMIFS($P27:$AW27,$P$3:$AW$3,L$4)</f>
        <v>2831.7085699999998</v>
      </c>
      <c r="M27" s="400">
        <f t="shared" si="9"/>
        <v>1323.3471999999999</v>
      </c>
      <c r="N27" s="400">
        <f t="shared" si="9"/>
        <v>1209.20739</v>
      </c>
      <c r="O27" s="400"/>
      <c r="P27" s="400">
        <v>342.89283</v>
      </c>
      <c r="Q27" s="400">
        <v>135.50274999999999</v>
      </c>
      <c r="R27" s="400">
        <v>280.27501000000001</v>
      </c>
      <c r="S27" s="400">
        <v>307.39944000000003</v>
      </c>
      <c r="T27" s="400">
        <v>613.36821999999984</v>
      </c>
      <c r="U27" s="400">
        <v>354.28603000000004</v>
      </c>
      <c r="V27" s="400">
        <v>610.58587000000011</v>
      </c>
      <c r="W27" s="400">
        <v>393.09843000000001</v>
      </c>
      <c r="X27" s="400">
        <v>18.68141</v>
      </c>
      <c r="Y27" s="400">
        <v>167.96350000000004</v>
      </c>
      <c r="Z27" s="400">
        <v>168.11709999999997</v>
      </c>
      <c r="AA27" s="400">
        <v>129.04499999999999</v>
      </c>
      <c r="AB27" s="400">
        <v>200.98913000000002</v>
      </c>
      <c r="AC27" s="400">
        <v>424.23638</v>
      </c>
      <c r="AD27" s="400">
        <v>369.35558000000003</v>
      </c>
      <c r="AE27" s="400">
        <v>1322.1938299999999</v>
      </c>
      <c r="AF27" s="400">
        <v>129.99340000000001</v>
      </c>
      <c r="AG27" s="400">
        <v>125.31823000000001</v>
      </c>
      <c r="AH27" s="400">
        <v>506.27087999999992</v>
      </c>
      <c r="AI27" s="400">
        <v>367.36018999999993</v>
      </c>
      <c r="AJ27" s="400">
        <v>0</v>
      </c>
      <c r="AK27" s="400">
        <v>132.16511</v>
      </c>
      <c r="AL27" s="400">
        <v>299.57390999999996</v>
      </c>
      <c r="AM27" s="400">
        <v>286.13069000000002</v>
      </c>
      <c r="AN27" s="400">
        <v>99.206609999999984</v>
      </c>
      <c r="AO27" s="400">
        <v>412.23424</v>
      </c>
      <c r="AP27" s="400">
        <v>331.69979999999998</v>
      </c>
      <c r="AQ27" s="400">
        <v>0.23701</v>
      </c>
      <c r="AR27" s="400">
        <v>236.98616000000001</v>
      </c>
      <c r="AS27" s="400">
        <v>57.986520000000006</v>
      </c>
      <c r="AT27" s="400">
        <v>296.76039999999995</v>
      </c>
      <c r="AU27" s="400">
        <v>419.18364999999994</v>
      </c>
      <c r="AV27" s="400">
        <v>1076.8578</v>
      </c>
      <c r="AW27" s="400">
        <v>1209.20739</v>
      </c>
    </row>
    <row r="28" spans="1:49" ht="15.75" hidden="1" customHeight="1" outlineLevel="1">
      <c r="H28" s="396" t="s">
        <v>2173</v>
      </c>
      <c r="I28" s="396"/>
      <c r="J28" s="397"/>
      <c r="K28" s="397"/>
      <c r="L28" s="397"/>
      <c r="M28" s="397"/>
      <c r="N28" s="397"/>
      <c r="O28" s="397"/>
      <c r="P28" s="397">
        <v>260.375</v>
      </c>
      <c r="Q28" s="397">
        <v>84.451499999999996</v>
      </c>
      <c r="R28" s="397">
        <v>223.24549999999999</v>
      </c>
      <c r="S28" s="397">
        <v>219.96204999999998</v>
      </c>
      <c r="T28" s="397">
        <v>398.38400000000001</v>
      </c>
      <c r="U28" s="397">
        <v>269.25099999999998</v>
      </c>
      <c r="V28" s="397">
        <v>465.23250000000002</v>
      </c>
      <c r="W28" s="397">
        <v>258.87900000000002</v>
      </c>
      <c r="X28" s="397">
        <v>83.574380000000005</v>
      </c>
      <c r="Y28" s="397">
        <v>136.46700000000001</v>
      </c>
      <c r="Z28" s="397">
        <v>132.7955</v>
      </c>
      <c r="AA28" s="397">
        <v>92</v>
      </c>
      <c r="AB28" s="397">
        <v>193.386</v>
      </c>
      <c r="AC28" s="397">
        <v>328.79730000000001</v>
      </c>
      <c r="AD28" s="397">
        <v>299.29940000000005</v>
      </c>
      <c r="AE28" s="397">
        <v>747.72493999999995</v>
      </c>
      <c r="AF28" s="397">
        <v>105.669</v>
      </c>
      <c r="AG28" s="397">
        <v>94.031499999999994</v>
      </c>
      <c r="AH28" s="397">
        <v>400.10993999999994</v>
      </c>
      <c r="AI28" s="397">
        <v>260.45605</v>
      </c>
      <c r="AJ28" s="397">
        <v>0</v>
      </c>
      <c r="AK28" s="397">
        <v>117.38122</v>
      </c>
      <c r="AL28" s="397">
        <v>240.05199999999999</v>
      </c>
      <c r="AM28" s="397">
        <v>242.83867000000001</v>
      </c>
      <c r="AN28" s="397">
        <v>74.116</v>
      </c>
      <c r="AO28" s="397">
        <v>326.41750000000002</v>
      </c>
      <c r="AP28" s="397">
        <v>293.85750000000002</v>
      </c>
      <c r="AQ28" s="397">
        <v>176.15948</v>
      </c>
      <c r="AR28" s="397">
        <v>205.27499</v>
      </c>
      <c r="AS28" s="397">
        <v>105.69172</v>
      </c>
      <c r="AT28" s="397">
        <v>249.91550000000001</v>
      </c>
      <c r="AU28" s="397">
        <v>342.65499999999997</v>
      </c>
      <c r="AV28" s="397">
        <v>805.04863</v>
      </c>
      <c r="AW28" s="397">
        <v>919.68150000000003</v>
      </c>
    </row>
    <row r="29" spans="1:49" ht="15.75" hidden="1" customHeight="1" outlineLevel="1">
      <c r="H29" s="396" t="s">
        <v>2174</v>
      </c>
      <c r="I29" s="396"/>
      <c r="J29" s="397"/>
      <c r="K29" s="397"/>
      <c r="L29" s="397"/>
      <c r="M29" s="397"/>
      <c r="N29" s="397"/>
      <c r="O29" s="397"/>
      <c r="P29" s="397">
        <v>0.8</v>
      </c>
      <c r="Q29" s="397">
        <v>0.15</v>
      </c>
      <c r="R29" s="397">
        <v>0.3</v>
      </c>
      <c r="S29" s="397">
        <v>0.45</v>
      </c>
      <c r="T29" s="397">
        <v>1.45</v>
      </c>
      <c r="U29" s="397">
        <v>2.7</v>
      </c>
      <c r="V29" s="397">
        <v>1.4</v>
      </c>
      <c r="W29" s="397">
        <v>1.45</v>
      </c>
      <c r="X29" s="397">
        <v>0</v>
      </c>
      <c r="Y29" s="397">
        <v>0.2</v>
      </c>
      <c r="Z29" s="397">
        <v>7.1</v>
      </c>
      <c r="AA29" s="397">
        <v>0</v>
      </c>
      <c r="AB29" s="397">
        <v>1.75</v>
      </c>
      <c r="AC29" s="397">
        <v>0.5</v>
      </c>
      <c r="AD29" s="397">
        <v>0.8</v>
      </c>
      <c r="AE29" s="397">
        <v>7.9</v>
      </c>
      <c r="AF29" s="397">
        <v>0.85</v>
      </c>
      <c r="AG29" s="397">
        <v>0.15</v>
      </c>
      <c r="AH29" s="397">
        <v>1.45</v>
      </c>
      <c r="AI29" s="397">
        <v>3.5</v>
      </c>
      <c r="AJ29" s="397">
        <v>0</v>
      </c>
      <c r="AK29" s="397">
        <v>0</v>
      </c>
      <c r="AL29" s="397">
        <v>0.9</v>
      </c>
      <c r="AM29" s="397">
        <v>0.6</v>
      </c>
      <c r="AN29" s="397">
        <v>0</v>
      </c>
      <c r="AO29" s="397">
        <v>4.5</v>
      </c>
      <c r="AP29" s="397">
        <v>0.5</v>
      </c>
      <c r="AQ29" s="397">
        <v>0</v>
      </c>
      <c r="AR29" s="397">
        <v>1.25</v>
      </c>
      <c r="AS29" s="397">
        <v>3.45</v>
      </c>
      <c r="AT29" s="397">
        <v>0.5</v>
      </c>
      <c r="AU29" s="397">
        <v>2</v>
      </c>
      <c r="AV29" s="397">
        <v>5.6135000000000002</v>
      </c>
      <c r="AW29" s="397">
        <v>0</v>
      </c>
    </row>
    <row r="30" spans="1:49" ht="15.75" hidden="1" customHeight="1" outlineLevel="1">
      <c r="H30" s="396" t="s">
        <v>2175</v>
      </c>
      <c r="I30" s="396"/>
      <c r="J30" s="397"/>
      <c r="K30" s="397"/>
      <c r="L30" s="397"/>
      <c r="M30" s="397"/>
      <c r="N30" s="397"/>
      <c r="O30" s="397"/>
      <c r="P30" s="397">
        <v>20.055</v>
      </c>
      <c r="Q30" s="397">
        <v>9.8469999999999995</v>
      </c>
      <c r="R30" s="397">
        <v>17.565000000000001</v>
      </c>
      <c r="S30" s="397">
        <v>43.472999999999999</v>
      </c>
      <c r="T30" s="397">
        <v>43.871000000000002</v>
      </c>
      <c r="U30" s="397">
        <v>11.759</v>
      </c>
      <c r="V30" s="397">
        <v>23.945</v>
      </c>
      <c r="W30" s="397">
        <v>21.390819999999998</v>
      </c>
      <c r="X30" s="397">
        <v>7.625</v>
      </c>
      <c r="Y30" s="397">
        <v>7.35</v>
      </c>
      <c r="Z30" s="397">
        <v>21.0565</v>
      </c>
      <c r="AA30" s="397">
        <v>14.529</v>
      </c>
      <c r="AB30" s="397">
        <v>5.8760000000000003</v>
      </c>
      <c r="AC30" s="397">
        <v>29.908999999999999</v>
      </c>
      <c r="AD30" s="397">
        <v>14.2295</v>
      </c>
      <c r="AE30" s="397">
        <v>27.96</v>
      </c>
      <c r="AF30" s="397">
        <v>5.1414999999999997</v>
      </c>
      <c r="AG30" s="397">
        <v>4.149</v>
      </c>
      <c r="AH30" s="397">
        <v>12.907999999999999</v>
      </c>
      <c r="AI30" s="397">
        <v>18.143999999999998</v>
      </c>
      <c r="AJ30" s="397">
        <v>0</v>
      </c>
      <c r="AK30" s="397">
        <v>4.165</v>
      </c>
      <c r="AL30" s="397">
        <v>16.265999999999998</v>
      </c>
      <c r="AM30" s="397">
        <v>12.82</v>
      </c>
      <c r="AN30" s="397">
        <v>4.7249999999999996</v>
      </c>
      <c r="AO30" s="397">
        <v>19.416</v>
      </c>
      <c r="AP30" s="397">
        <v>28.09</v>
      </c>
      <c r="AQ30" s="397">
        <v>2.4</v>
      </c>
      <c r="AR30" s="397">
        <v>15.887</v>
      </c>
      <c r="AS30" s="397">
        <v>2.6859999999999999</v>
      </c>
      <c r="AT30" s="397">
        <v>14.25</v>
      </c>
      <c r="AU30" s="397">
        <v>17.96</v>
      </c>
      <c r="AV30" s="397">
        <v>52.12</v>
      </c>
      <c r="AW30" s="397">
        <v>60.808</v>
      </c>
    </row>
    <row r="31" spans="1:49" ht="15.75" customHeight="1" collapsed="1">
      <c r="A31" s="401" t="s">
        <v>118</v>
      </c>
      <c r="H31" s="399" t="s">
        <v>118</v>
      </c>
      <c r="I31" s="399"/>
      <c r="J31" s="400">
        <f t="shared" ref="J31:J34" si="10">SUMIFS($P31:$AW31,$P$3:$AW$3,J$4)</f>
        <v>4751.2068900000004</v>
      </c>
      <c r="K31" s="400">
        <f t="shared" ref="K31:K34" si="11">J31-AE31-AF31</f>
        <v>3855.9614500000007</v>
      </c>
      <c r="L31" s="400">
        <f t="shared" ref="L31:N31" si="12">SUMIFS($P31:$AW31,$P$3:$AW$3,L$4)</f>
        <v>2497.0833400000001</v>
      </c>
      <c r="M31" s="400">
        <f t="shared" si="12"/>
        <v>1128.3318299999999</v>
      </c>
      <c r="N31" s="400">
        <f t="shared" si="12"/>
        <v>980.48950000000002</v>
      </c>
      <c r="O31" s="400"/>
      <c r="P31" s="400">
        <f t="shared" ref="P31:AW31" si="13">SUBTOTAL(9,P28:P30)</f>
        <v>281.23</v>
      </c>
      <c r="Q31" s="400">
        <f t="shared" si="13"/>
        <v>94.448499999999996</v>
      </c>
      <c r="R31" s="400">
        <f t="shared" si="13"/>
        <v>241.1105</v>
      </c>
      <c r="S31" s="400">
        <f t="shared" si="13"/>
        <v>263.88504999999998</v>
      </c>
      <c r="T31" s="400">
        <f t="shared" si="13"/>
        <v>443.70499999999998</v>
      </c>
      <c r="U31" s="400">
        <f t="shared" si="13"/>
        <v>283.70999999999998</v>
      </c>
      <c r="V31" s="400">
        <f t="shared" si="13"/>
        <v>490.57749999999999</v>
      </c>
      <c r="W31" s="400">
        <f t="shared" si="13"/>
        <v>281.71982000000003</v>
      </c>
      <c r="X31" s="400">
        <f t="shared" si="13"/>
        <v>91.199380000000005</v>
      </c>
      <c r="Y31" s="400">
        <f t="shared" si="13"/>
        <v>144.017</v>
      </c>
      <c r="Z31" s="400">
        <f t="shared" si="13"/>
        <v>160.952</v>
      </c>
      <c r="AA31" s="400">
        <f t="shared" si="13"/>
        <v>106.529</v>
      </c>
      <c r="AB31" s="400">
        <f t="shared" si="13"/>
        <v>201.012</v>
      </c>
      <c r="AC31" s="400">
        <f t="shared" si="13"/>
        <v>359.2063</v>
      </c>
      <c r="AD31" s="400">
        <f t="shared" si="13"/>
        <v>314.32890000000003</v>
      </c>
      <c r="AE31" s="400">
        <f t="shared" si="13"/>
        <v>783.58493999999996</v>
      </c>
      <c r="AF31" s="400">
        <f t="shared" si="13"/>
        <v>111.66049999999998</v>
      </c>
      <c r="AG31" s="400">
        <f t="shared" si="13"/>
        <v>98.330500000000001</v>
      </c>
      <c r="AH31" s="400">
        <f t="shared" si="13"/>
        <v>414.46793999999994</v>
      </c>
      <c r="AI31" s="400">
        <f t="shared" si="13"/>
        <v>282.10005000000001</v>
      </c>
      <c r="AJ31" s="400">
        <f t="shared" si="13"/>
        <v>0</v>
      </c>
      <c r="AK31" s="400">
        <f t="shared" si="13"/>
        <v>121.54622000000001</v>
      </c>
      <c r="AL31" s="400">
        <f t="shared" si="13"/>
        <v>257.21800000000002</v>
      </c>
      <c r="AM31" s="400">
        <f t="shared" si="13"/>
        <v>256.25867</v>
      </c>
      <c r="AN31" s="400">
        <f t="shared" si="13"/>
        <v>78.840999999999994</v>
      </c>
      <c r="AO31" s="400">
        <f t="shared" si="13"/>
        <v>350.33350000000002</v>
      </c>
      <c r="AP31" s="400">
        <f t="shared" si="13"/>
        <v>322.44749999999999</v>
      </c>
      <c r="AQ31" s="400">
        <f t="shared" si="13"/>
        <v>178.55948000000001</v>
      </c>
      <c r="AR31" s="400">
        <f t="shared" si="13"/>
        <v>222.41199</v>
      </c>
      <c r="AS31" s="400">
        <f t="shared" si="13"/>
        <v>111.82772</v>
      </c>
      <c r="AT31" s="400">
        <f t="shared" si="13"/>
        <v>264.66550000000001</v>
      </c>
      <c r="AU31" s="400">
        <f t="shared" si="13"/>
        <v>362.61499999999995</v>
      </c>
      <c r="AV31" s="400">
        <f t="shared" si="13"/>
        <v>862.78213000000005</v>
      </c>
      <c r="AW31" s="400">
        <f t="shared" si="13"/>
        <v>980.48950000000002</v>
      </c>
    </row>
    <row r="32" spans="1:49" ht="15.75" customHeight="1">
      <c r="A32" s="401" t="s">
        <v>124</v>
      </c>
      <c r="H32" s="399" t="s">
        <v>124</v>
      </c>
      <c r="I32" s="399"/>
      <c r="J32" s="400">
        <f t="shared" si="10"/>
        <v>717.19877999999994</v>
      </c>
      <c r="K32" s="400">
        <f t="shared" si="11"/>
        <v>590.91103999999996</v>
      </c>
      <c r="L32" s="400">
        <f t="shared" ref="L32:N32" si="14">SUMIFS($P32:$AW32,$P$3:$AW$3,L$4)</f>
        <v>757.72506999999996</v>
      </c>
      <c r="M32" s="400">
        <f t="shared" si="14"/>
        <v>127.98937999999997</v>
      </c>
      <c r="N32" s="400">
        <f t="shared" si="14"/>
        <v>122.14192000000001</v>
      </c>
      <c r="O32" s="400"/>
      <c r="P32" s="400">
        <v>70.948089999999993</v>
      </c>
      <c r="Q32" s="400">
        <v>51.099419999999995</v>
      </c>
      <c r="R32" s="400">
        <v>79.852750000000015</v>
      </c>
      <c r="S32" s="400">
        <v>8.9349599999999985</v>
      </c>
      <c r="T32" s="400">
        <v>95.476570000000009</v>
      </c>
      <c r="U32" s="400">
        <v>11.247449999999999</v>
      </c>
      <c r="V32" s="400">
        <v>76.0488</v>
      </c>
      <c r="W32" s="400">
        <v>12.84737</v>
      </c>
      <c r="X32" s="400">
        <v>29.255650000000003</v>
      </c>
      <c r="Y32" s="400">
        <v>38.32067</v>
      </c>
      <c r="Z32" s="400">
        <v>10.949380000000001</v>
      </c>
      <c r="AA32" s="400">
        <v>19.645150000000001</v>
      </c>
      <c r="AB32" s="400">
        <v>10.478569999999999</v>
      </c>
      <c r="AC32" s="400">
        <v>12.8789</v>
      </c>
      <c r="AD32" s="400">
        <v>51.191209999999998</v>
      </c>
      <c r="AE32" s="400">
        <v>115.79006999999999</v>
      </c>
      <c r="AF32" s="400">
        <v>10.497669999999999</v>
      </c>
      <c r="AG32" s="400">
        <v>11.7361</v>
      </c>
      <c r="AH32" s="400">
        <v>143.41541999999998</v>
      </c>
      <c r="AI32" s="400">
        <v>12.59904</v>
      </c>
      <c r="AJ32" s="400">
        <v>-77.408650000000023</v>
      </c>
      <c r="AK32" s="400">
        <v>16.426729999999999</v>
      </c>
      <c r="AL32" s="400">
        <v>12.936380000000002</v>
      </c>
      <c r="AM32" s="400">
        <v>32.449130000000004</v>
      </c>
      <c r="AN32" s="400">
        <v>0.17036999999999999</v>
      </c>
      <c r="AO32" s="400">
        <v>111.20444999999999</v>
      </c>
      <c r="AP32" s="400">
        <v>83.30974999999998</v>
      </c>
      <c r="AQ32" s="400">
        <v>0</v>
      </c>
      <c r="AR32" s="400">
        <v>14.830089999999998</v>
      </c>
      <c r="AS32" s="400">
        <v>9.9768099999999986</v>
      </c>
      <c r="AT32" s="400">
        <v>27.335189999999997</v>
      </c>
      <c r="AU32" s="400">
        <v>140.93707000000001</v>
      </c>
      <c r="AV32" s="400">
        <v>370.13170999999994</v>
      </c>
      <c r="AW32" s="400">
        <v>122.14192000000001</v>
      </c>
    </row>
    <row r="33" spans="1:49" ht="15.75" customHeight="1">
      <c r="A33" s="401" t="s">
        <v>2176</v>
      </c>
      <c r="H33" s="399" t="s">
        <v>2176</v>
      </c>
      <c r="I33" s="399"/>
      <c r="J33" s="400">
        <f t="shared" si="10"/>
        <v>0</v>
      </c>
      <c r="K33" s="400">
        <f t="shared" si="11"/>
        <v>0</v>
      </c>
      <c r="L33" s="400">
        <f t="shared" ref="L33:N33" si="15">SUMIFS($P33:$AW33,$P$3:$AW$3,L$4)</f>
        <v>0</v>
      </c>
      <c r="M33" s="400">
        <f t="shared" si="15"/>
        <v>0</v>
      </c>
      <c r="N33" s="400">
        <f t="shared" si="15"/>
        <v>0</v>
      </c>
      <c r="O33" s="400"/>
      <c r="P33" s="400">
        <v>0</v>
      </c>
      <c r="Q33" s="400">
        <v>0</v>
      </c>
      <c r="R33" s="400">
        <v>0</v>
      </c>
      <c r="S33" s="400">
        <v>0</v>
      </c>
      <c r="T33" s="400">
        <v>0</v>
      </c>
      <c r="U33" s="400">
        <v>0</v>
      </c>
      <c r="V33" s="400">
        <v>0</v>
      </c>
      <c r="W33" s="400">
        <v>0</v>
      </c>
      <c r="X33" s="400">
        <v>0</v>
      </c>
      <c r="Y33" s="400">
        <v>0</v>
      </c>
      <c r="Z33" s="400">
        <v>0</v>
      </c>
      <c r="AA33" s="400">
        <v>0</v>
      </c>
      <c r="AB33" s="400">
        <v>0</v>
      </c>
      <c r="AC33" s="400">
        <v>0</v>
      </c>
      <c r="AD33" s="400">
        <v>0</v>
      </c>
      <c r="AE33" s="400">
        <v>0</v>
      </c>
      <c r="AF33" s="400">
        <v>0</v>
      </c>
      <c r="AG33" s="400">
        <v>0</v>
      </c>
      <c r="AH33" s="400">
        <v>0</v>
      </c>
      <c r="AI33" s="400">
        <v>0</v>
      </c>
      <c r="AJ33" s="400">
        <v>0</v>
      </c>
      <c r="AK33" s="400">
        <v>0</v>
      </c>
      <c r="AL33" s="400">
        <v>0</v>
      </c>
      <c r="AM33" s="400">
        <v>0</v>
      </c>
      <c r="AN33" s="400">
        <v>0</v>
      </c>
      <c r="AO33" s="400">
        <v>0</v>
      </c>
      <c r="AP33" s="400">
        <v>0</v>
      </c>
      <c r="AQ33" s="400">
        <v>0</v>
      </c>
      <c r="AR33" s="400">
        <v>0</v>
      </c>
      <c r="AS33" s="400">
        <v>0</v>
      </c>
      <c r="AT33" s="400">
        <v>0</v>
      </c>
      <c r="AU33" s="400">
        <v>0</v>
      </c>
      <c r="AV33" s="400">
        <v>0</v>
      </c>
      <c r="AW33" s="400">
        <v>0</v>
      </c>
    </row>
    <row r="34" spans="1:49" ht="15.75" customHeight="1">
      <c r="A34" s="401" t="s">
        <v>126</v>
      </c>
      <c r="H34" s="399" t="s">
        <v>126</v>
      </c>
      <c r="I34" s="399"/>
      <c r="J34" s="400">
        <f t="shared" si="10"/>
        <v>-1498.1671900000003</v>
      </c>
      <c r="K34" s="400">
        <f t="shared" si="11"/>
        <v>-1264.8828400000002</v>
      </c>
      <c r="L34" s="400">
        <f t="shared" ref="L34:N34" si="16">SUMIFS($P34:$AW34,$P$3:$AW$3,L$4)</f>
        <v>-1015.9890699999999</v>
      </c>
      <c r="M34" s="400">
        <f t="shared" si="16"/>
        <v>-538.08597999999995</v>
      </c>
      <c r="N34" s="400">
        <f t="shared" si="16"/>
        <v>-154.51201999999998</v>
      </c>
      <c r="O34" s="400"/>
      <c r="P34" s="400">
        <v>-100.74341</v>
      </c>
      <c r="Q34" s="400">
        <v>-32.982680000000002</v>
      </c>
      <c r="R34" s="400">
        <v>-83.898549999999986</v>
      </c>
      <c r="S34" s="400">
        <v>-90.159739999999985</v>
      </c>
      <c r="T34" s="400">
        <v>-151.40605000000002</v>
      </c>
      <c r="U34" s="400">
        <v>-74.326059999999998</v>
      </c>
      <c r="V34" s="400">
        <v>-122.40750999999997</v>
      </c>
      <c r="W34" s="400">
        <v>-137.96481999999997</v>
      </c>
      <c r="X34" s="400">
        <v>-8.543709999999999</v>
      </c>
      <c r="Y34" s="400">
        <v>-52.577889999999996</v>
      </c>
      <c r="Z34" s="400">
        <v>-46.329370000000004</v>
      </c>
      <c r="AA34" s="400">
        <v>-51.780729999999991</v>
      </c>
      <c r="AB34" s="400">
        <v>-50.763909999999996</v>
      </c>
      <c r="AC34" s="400">
        <v>-106.67895</v>
      </c>
      <c r="AD34" s="400">
        <v>-115.66494</v>
      </c>
      <c r="AE34" s="400">
        <v>-197.69368000000003</v>
      </c>
      <c r="AF34" s="400">
        <v>-35.590669999999996</v>
      </c>
      <c r="AG34" s="400">
        <v>-38.654519999999998</v>
      </c>
      <c r="AH34" s="400">
        <v>-224.71293999999997</v>
      </c>
      <c r="AI34" s="400">
        <v>-117.12351</v>
      </c>
      <c r="AJ34" s="400">
        <v>0</v>
      </c>
      <c r="AK34" s="400">
        <v>-60.759260000000005</v>
      </c>
      <c r="AL34" s="400">
        <v>-94.895539999999997</v>
      </c>
      <c r="AM34" s="400">
        <v>-121.11846</v>
      </c>
      <c r="AN34" s="400">
        <v>-36.599779999999996</v>
      </c>
      <c r="AO34" s="400">
        <v>-149.79230000000001</v>
      </c>
      <c r="AP34" s="400">
        <v>-136.28488999999999</v>
      </c>
      <c r="AQ34" s="400">
        <v>-1.6893199999999999</v>
      </c>
      <c r="AR34" s="400">
        <v>-121.58470999999999</v>
      </c>
      <c r="AS34" s="400">
        <v>-13.582950000000002</v>
      </c>
      <c r="AT34" s="400">
        <v>-110.57004999999999</v>
      </c>
      <c r="AU34" s="400">
        <v>-127.35488000000001</v>
      </c>
      <c r="AV34" s="400">
        <v>-356.81928999999997</v>
      </c>
      <c r="AW34" s="400">
        <v>-154.51201999999998</v>
      </c>
    </row>
    <row r="35" spans="1:49" ht="15.75" hidden="1" customHeight="1" outlineLevel="1">
      <c r="H35" s="396" t="s">
        <v>2177</v>
      </c>
      <c r="I35" s="396"/>
      <c r="J35" s="397"/>
      <c r="K35" s="397"/>
      <c r="L35" s="397"/>
      <c r="M35" s="397"/>
      <c r="N35" s="397"/>
      <c r="O35" s="397"/>
      <c r="P35" s="397">
        <v>0</v>
      </c>
      <c r="Q35" s="397">
        <v>0</v>
      </c>
      <c r="R35" s="397">
        <v>0</v>
      </c>
      <c r="S35" s="397">
        <v>0</v>
      </c>
      <c r="T35" s="397">
        <v>0</v>
      </c>
      <c r="U35" s="397">
        <v>0</v>
      </c>
      <c r="V35" s="397">
        <v>0</v>
      </c>
      <c r="W35" s="397">
        <v>0</v>
      </c>
      <c r="X35" s="397">
        <v>0</v>
      </c>
      <c r="Y35" s="397">
        <v>0</v>
      </c>
      <c r="Z35" s="397">
        <v>0</v>
      </c>
      <c r="AA35" s="397">
        <v>0</v>
      </c>
      <c r="AB35" s="397">
        <v>0</v>
      </c>
      <c r="AC35" s="397">
        <v>0</v>
      </c>
      <c r="AD35" s="397">
        <v>0</v>
      </c>
      <c r="AE35" s="397">
        <v>0</v>
      </c>
      <c r="AF35" s="397">
        <v>0</v>
      </c>
      <c r="AG35" s="397">
        <v>0</v>
      </c>
      <c r="AH35" s="397">
        <v>0</v>
      </c>
      <c r="AI35" s="397">
        <v>0</v>
      </c>
      <c r="AJ35" s="397">
        <v>0</v>
      </c>
      <c r="AK35" s="397">
        <v>0</v>
      </c>
      <c r="AL35" s="397">
        <v>0</v>
      </c>
      <c r="AM35" s="397">
        <v>0</v>
      </c>
      <c r="AN35" s="397">
        <v>0</v>
      </c>
      <c r="AO35" s="397">
        <v>0</v>
      </c>
      <c r="AP35" s="397">
        <v>0</v>
      </c>
      <c r="AQ35" s="397">
        <v>0</v>
      </c>
      <c r="AR35" s="397">
        <v>0</v>
      </c>
      <c r="AS35" s="397">
        <v>0</v>
      </c>
      <c r="AT35" s="397">
        <v>0</v>
      </c>
      <c r="AU35" s="397">
        <v>0</v>
      </c>
      <c r="AV35" s="397">
        <v>0</v>
      </c>
      <c r="AW35" s="397">
        <v>0</v>
      </c>
    </row>
    <row r="36" spans="1:49" ht="15.75" hidden="1" customHeight="1" outlineLevel="1">
      <c r="H36" s="396" t="s">
        <v>2178</v>
      </c>
      <c r="I36" s="396"/>
      <c r="J36" s="397"/>
      <c r="K36" s="397"/>
      <c r="L36" s="397"/>
      <c r="M36" s="397"/>
      <c r="N36" s="397"/>
      <c r="O36" s="397"/>
      <c r="P36" s="397">
        <v>0</v>
      </c>
      <c r="Q36" s="397">
        <v>0</v>
      </c>
      <c r="R36" s="397">
        <v>0</v>
      </c>
      <c r="S36" s="397">
        <v>0</v>
      </c>
      <c r="T36" s="397">
        <v>0</v>
      </c>
      <c r="U36" s="397">
        <v>0</v>
      </c>
      <c r="V36" s="397">
        <v>0</v>
      </c>
      <c r="W36" s="397">
        <v>0</v>
      </c>
      <c r="X36" s="397">
        <v>0</v>
      </c>
      <c r="Y36" s="397">
        <v>0</v>
      </c>
      <c r="Z36" s="397">
        <v>0</v>
      </c>
      <c r="AA36" s="397">
        <v>0</v>
      </c>
      <c r="AB36" s="397">
        <v>0</v>
      </c>
      <c r="AC36" s="397">
        <v>0</v>
      </c>
      <c r="AD36" s="397">
        <v>0</v>
      </c>
      <c r="AE36" s="397">
        <v>0</v>
      </c>
      <c r="AF36" s="397">
        <v>0</v>
      </c>
      <c r="AG36" s="397">
        <v>146.209</v>
      </c>
      <c r="AH36" s="397">
        <v>198.55250000000001</v>
      </c>
      <c r="AI36" s="397">
        <v>0</v>
      </c>
      <c r="AJ36" s="397">
        <v>0</v>
      </c>
      <c r="AK36" s="397">
        <v>0</v>
      </c>
      <c r="AL36" s="397">
        <v>0</v>
      </c>
      <c r="AM36" s="397">
        <v>0</v>
      </c>
      <c r="AN36" s="397">
        <v>0</v>
      </c>
      <c r="AO36" s="397">
        <v>0</v>
      </c>
      <c r="AP36" s="397">
        <v>0</v>
      </c>
      <c r="AQ36" s="397">
        <v>0</v>
      </c>
      <c r="AR36" s="397">
        <v>0</v>
      </c>
      <c r="AS36" s="397">
        <v>2.8</v>
      </c>
      <c r="AT36" s="397">
        <v>0</v>
      </c>
      <c r="AU36" s="397">
        <v>107.925</v>
      </c>
      <c r="AV36" s="397">
        <v>17.350000000000001</v>
      </c>
      <c r="AW36" s="397">
        <v>0</v>
      </c>
    </row>
    <row r="37" spans="1:49" ht="15.75" hidden="1" customHeight="1" outlineLevel="1">
      <c r="H37" s="396" t="s">
        <v>2179</v>
      </c>
      <c r="I37" s="396"/>
      <c r="J37" s="397"/>
      <c r="K37" s="397"/>
      <c r="L37" s="397"/>
      <c r="M37" s="397"/>
      <c r="N37" s="397"/>
      <c r="O37" s="397"/>
      <c r="P37" s="397">
        <v>0</v>
      </c>
      <c r="Q37" s="397">
        <v>0</v>
      </c>
      <c r="R37" s="397">
        <v>0</v>
      </c>
      <c r="S37" s="397">
        <v>0</v>
      </c>
      <c r="T37" s="397">
        <v>0</v>
      </c>
      <c r="U37" s="397">
        <v>0</v>
      </c>
      <c r="V37" s="397">
        <v>0</v>
      </c>
      <c r="W37" s="397">
        <v>0</v>
      </c>
      <c r="X37" s="397">
        <v>0</v>
      </c>
      <c r="Y37" s="397">
        <v>0</v>
      </c>
      <c r="Z37" s="397">
        <v>0</v>
      </c>
      <c r="AA37" s="397">
        <v>0</v>
      </c>
      <c r="AB37" s="397">
        <v>0</v>
      </c>
      <c r="AC37" s="397">
        <v>0</v>
      </c>
      <c r="AD37" s="397">
        <v>0</v>
      </c>
      <c r="AE37" s="397">
        <v>0</v>
      </c>
      <c r="AF37" s="397">
        <v>0</v>
      </c>
      <c r="AG37" s="397">
        <v>0</v>
      </c>
      <c r="AH37" s="397">
        <v>0</v>
      </c>
      <c r="AI37" s="397">
        <v>0</v>
      </c>
      <c r="AJ37" s="397">
        <v>0</v>
      </c>
      <c r="AK37" s="397">
        <v>0</v>
      </c>
      <c r="AL37" s="397">
        <v>0</v>
      </c>
      <c r="AM37" s="397">
        <v>0</v>
      </c>
      <c r="AN37" s="397">
        <v>0</v>
      </c>
      <c r="AO37" s="397">
        <v>0</v>
      </c>
      <c r="AP37" s="397">
        <v>0</v>
      </c>
      <c r="AQ37" s="397">
        <v>0</v>
      </c>
      <c r="AR37" s="397">
        <v>0</v>
      </c>
      <c r="AS37" s="397">
        <v>0</v>
      </c>
      <c r="AT37" s="397">
        <v>0</v>
      </c>
      <c r="AU37" s="397">
        <v>0</v>
      </c>
      <c r="AV37" s="397">
        <v>0</v>
      </c>
      <c r="AW37" s="397">
        <v>0</v>
      </c>
    </row>
    <row r="38" spans="1:49" ht="15.75" hidden="1" customHeight="1" outlineLevel="1">
      <c r="H38" s="396" t="s">
        <v>2180</v>
      </c>
      <c r="I38" s="396"/>
      <c r="J38" s="397"/>
      <c r="K38" s="397"/>
      <c r="L38" s="397"/>
      <c r="M38" s="397"/>
      <c r="N38" s="397"/>
      <c r="O38" s="397"/>
      <c r="P38" s="397">
        <v>0</v>
      </c>
      <c r="Q38" s="397">
        <v>0</v>
      </c>
      <c r="R38" s="397">
        <v>0</v>
      </c>
      <c r="S38" s="397">
        <v>0</v>
      </c>
      <c r="T38" s="397">
        <v>0</v>
      </c>
      <c r="U38" s="397">
        <v>0</v>
      </c>
      <c r="V38" s="397">
        <v>0</v>
      </c>
      <c r="W38" s="397">
        <v>0</v>
      </c>
      <c r="X38" s="397">
        <v>0</v>
      </c>
      <c r="Y38" s="397">
        <v>0</v>
      </c>
      <c r="Z38" s="397">
        <v>0</v>
      </c>
      <c r="AA38" s="397">
        <v>0</v>
      </c>
      <c r="AB38" s="397">
        <v>0</v>
      </c>
      <c r="AC38" s="397">
        <v>0</v>
      </c>
      <c r="AD38" s="397">
        <v>0</v>
      </c>
      <c r="AE38" s="397">
        <v>0</v>
      </c>
      <c r="AF38" s="397">
        <v>0</v>
      </c>
      <c r="AG38" s="397">
        <v>0</v>
      </c>
      <c r="AH38" s="397">
        <v>0</v>
      </c>
      <c r="AI38" s="397">
        <v>0</v>
      </c>
      <c r="AJ38" s="397">
        <v>0</v>
      </c>
      <c r="AK38" s="397">
        <v>0</v>
      </c>
      <c r="AL38" s="397">
        <v>0</v>
      </c>
      <c r="AM38" s="397">
        <v>0</v>
      </c>
      <c r="AN38" s="397">
        <v>0</v>
      </c>
      <c r="AO38" s="397">
        <v>0</v>
      </c>
      <c r="AP38" s="397">
        <v>0</v>
      </c>
      <c r="AQ38" s="397">
        <v>0</v>
      </c>
      <c r="AR38" s="397">
        <v>0</v>
      </c>
      <c r="AS38" s="397">
        <v>0</v>
      </c>
      <c r="AT38" s="397">
        <v>0</v>
      </c>
      <c r="AU38" s="397">
        <v>0</v>
      </c>
      <c r="AV38" s="397">
        <v>0</v>
      </c>
      <c r="AW38" s="397">
        <v>0</v>
      </c>
    </row>
    <row r="39" spans="1:49" ht="15.75" hidden="1" customHeight="1" outlineLevel="1">
      <c r="H39" s="396" t="s">
        <v>2181</v>
      </c>
      <c r="I39" s="396"/>
      <c r="J39" s="397"/>
      <c r="K39" s="397"/>
      <c r="L39" s="397"/>
      <c r="M39" s="397"/>
      <c r="N39" s="397"/>
      <c r="O39" s="397"/>
      <c r="P39" s="397">
        <v>0</v>
      </c>
      <c r="Q39" s="397">
        <v>0</v>
      </c>
      <c r="R39" s="397">
        <v>0</v>
      </c>
      <c r="S39" s="397">
        <v>0</v>
      </c>
      <c r="T39" s="397">
        <v>0</v>
      </c>
      <c r="U39" s="397">
        <v>0</v>
      </c>
      <c r="V39" s="397">
        <v>0</v>
      </c>
      <c r="W39" s="397">
        <v>0</v>
      </c>
      <c r="X39" s="397">
        <v>0</v>
      </c>
      <c r="Y39" s="397">
        <v>0</v>
      </c>
      <c r="Z39" s="397">
        <v>0</v>
      </c>
      <c r="AA39" s="397">
        <v>0</v>
      </c>
      <c r="AB39" s="397">
        <v>0</v>
      </c>
      <c r="AC39" s="397">
        <v>0</v>
      </c>
      <c r="AD39" s="397">
        <v>0</v>
      </c>
      <c r="AE39" s="397">
        <v>0</v>
      </c>
      <c r="AF39" s="397">
        <v>0</v>
      </c>
      <c r="AG39" s="397">
        <v>0</v>
      </c>
      <c r="AH39" s="397">
        <v>0</v>
      </c>
      <c r="AI39" s="397">
        <v>0</v>
      </c>
      <c r="AJ39" s="397">
        <v>0</v>
      </c>
      <c r="AK39" s="397">
        <v>0</v>
      </c>
      <c r="AL39" s="397">
        <v>0</v>
      </c>
      <c r="AM39" s="397">
        <v>0</v>
      </c>
      <c r="AN39" s="397">
        <v>0</v>
      </c>
      <c r="AO39" s="397">
        <v>0</v>
      </c>
      <c r="AP39" s="397">
        <v>0</v>
      </c>
      <c r="AQ39" s="397">
        <v>0</v>
      </c>
      <c r="AR39" s="397">
        <v>0</v>
      </c>
      <c r="AS39" s="397">
        <v>0</v>
      </c>
      <c r="AT39" s="397">
        <v>0</v>
      </c>
      <c r="AU39" s="397">
        <v>0</v>
      </c>
      <c r="AV39" s="397">
        <v>0</v>
      </c>
      <c r="AW39" s="397">
        <v>0</v>
      </c>
    </row>
    <row r="40" spans="1:49" ht="15.75" hidden="1" customHeight="1" outlineLevel="1">
      <c r="H40" s="396" t="s">
        <v>2182</v>
      </c>
      <c r="I40" s="396"/>
      <c r="J40" s="397"/>
      <c r="K40" s="397"/>
      <c r="L40" s="397"/>
      <c r="M40" s="397"/>
      <c r="N40" s="397"/>
      <c r="O40" s="397"/>
      <c r="P40" s="397">
        <v>0</v>
      </c>
      <c r="Q40" s="397">
        <v>0</v>
      </c>
      <c r="R40" s="397">
        <v>0</v>
      </c>
      <c r="S40" s="397">
        <v>0</v>
      </c>
      <c r="T40" s="397">
        <v>0</v>
      </c>
      <c r="U40" s="397">
        <v>0</v>
      </c>
      <c r="V40" s="397">
        <v>0</v>
      </c>
      <c r="W40" s="397">
        <v>0</v>
      </c>
      <c r="X40" s="397">
        <v>0</v>
      </c>
      <c r="Y40" s="397">
        <v>0</v>
      </c>
      <c r="Z40" s="397">
        <v>0</v>
      </c>
      <c r="AA40" s="397">
        <v>0</v>
      </c>
      <c r="AB40" s="397">
        <v>0</v>
      </c>
      <c r="AC40" s="397">
        <v>0</v>
      </c>
      <c r="AD40" s="397">
        <v>0</v>
      </c>
      <c r="AE40" s="397">
        <v>0</v>
      </c>
      <c r="AF40" s="397">
        <v>0</v>
      </c>
      <c r="AG40" s="397">
        <v>0</v>
      </c>
      <c r="AH40" s="397">
        <v>0</v>
      </c>
      <c r="AI40" s="397">
        <v>0</v>
      </c>
      <c r="AJ40" s="397">
        <v>0</v>
      </c>
      <c r="AK40" s="397">
        <v>0</v>
      </c>
      <c r="AL40" s="397">
        <v>0</v>
      </c>
      <c r="AM40" s="397">
        <v>0</v>
      </c>
      <c r="AN40" s="397">
        <v>0</v>
      </c>
      <c r="AO40" s="397">
        <v>0</v>
      </c>
      <c r="AP40" s="397">
        <v>0</v>
      </c>
      <c r="AQ40" s="397">
        <v>0</v>
      </c>
      <c r="AR40" s="397">
        <v>0</v>
      </c>
      <c r="AS40" s="397">
        <v>0</v>
      </c>
      <c r="AT40" s="397">
        <v>0</v>
      </c>
      <c r="AU40" s="397">
        <v>0</v>
      </c>
      <c r="AV40" s="397">
        <v>0</v>
      </c>
      <c r="AW40" s="397">
        <v>0</v>
      </c>
    </row>
    <row r="41" spans="1:49" ht="15.75" hidden="1" customHeight="1" outlineLevel="1">
      <c r="H41" s="396" t="s">
        <v>2183</v>
      </c>
      <c r="I41" s="396"/>
      <c r="J41" s="397"/>
      <c r="K41" s="397"/>
      <c r="L41" s="397"/>
      <c r="M41" s="397"/>
      <c r="N41" s="397"/>
      <c r="O41" s="397"/>
      <c r="P41" s="397">
        <v>0</v>
      </c>
      <c r="Q41" s="397">
        <v>0</v>
      </c>
      <c r="R41" s="397">
        <v>0</v>
      </c>
      <c r="S41" s="397">
        <v>0</v>
      </c>
      <c r="T41" s="397">
        <v>0</v>
      </c>
      <c r="U41" s="397">
        <v>0</v>
      </c>
      <c r="V41" s="397">
        <v>0</v>
      </c>
      <c r="W41" s="397">
        <v>0</v>
      </c>
      <c r="X41" s="397">
        <v>0</v>
      </c>
      <c r="Y41" s="397">
        <v>0</v>
      </c>
      <c r="Z41" s="397">
        <v>0</v>
      </c>
      <c r="AA41" s="397">
        <v>0</v>
      </c>
      <c r="AB41" s="397">
        <v>0</v>
      </c>
      <c r="AC41" s="397">
        <v>0</v>
      </c>
      <c r="AD41" s="397">
        <v>0</v>
      </c>
      <c r="AE41" s="397">
        <v>0</v>
      </c>
      <c r="AF41" s="397">
        <v>0</v>
      </c>
      <c r="AG41" s="397">
        <v>0</v>
      </c>
      <c r="AH41" s="397">
        <v>0</v>
      </c>
      <c r="AI41" s="397">
        <v>0</v>
      </c>
      <c r="AJ41" s="397">
        <v>0</v>
      </c>
      <c r="AK41" s="397">
        <v>0</v>
      </c>
      <c r="AL41" s="397">
        <v>0</v>
      </c>
      <c r="AM41" s="397">
        <v>0</v>
      </c>
      <c r="AN41" s="397">
        <v>0</v>
      </c>
      <c r="AO41" s="397">
        <v>0</v>
      </c>
      <c r="AP41" s="397">
        <v>0</v>
      </c>
      <c r="AQ41" s="397">
        <v>0</v>
      </c>
      <c r="AR41" s="397">
        <v>0</v>
      </c>
      <c r="AS41" s="397">
        <v>0</v>
      </c>
      <c r="AT41" s="397">
        <v>0</v>
      </c>
      <c r="AU41" s="397">
        <v>0</v>
      </c>
      <c r="AV41" s="397">
        <v>0</v>
      </c>
      <c r="AW41" s="397">
        <v>0</v>
      </c>
    </row>
    <row r="42" spans="1:49" ht="15.75" customHeight="1" collapsed="1">
      <c r="A42" s="401" t="s">
        <v>120</v>
      </c>
      <c r="H42" s="399" t="s">
        <v>120</v>
      </c>
      <c r="I42" s="399"/>
      <c r="J42" s="400">
        <f>SUMIFS($P42:$AW42,$P$3:$AW$3,J$4)</f>
        <v>146.209</v>
      </c>
      <c r="K42" s="400">
        <f>J42-AE42-AF42</f>
        <v>146.209</v>
      </c>
      <c r="L42" s="400">
        <f t="shared" ref="L42:N42" si="17">SUMIFS($P42:$AW42,$P$3:$AW$3,L$4)</f>
        <v>128.07499999999999</v>
      </c>
      <c r="M42" s="400">
        <f t="shared" si="17"/>
        <v>198.55250000000001</v>
      </c>
      <c r="N42" s="400">
        <f t="shared" si="17"/>
        <v>0</v>
      </c>
      <c r="O42" s="400"/>
      <c r="P42" s="400">
        <f t="shared" ref="P42:AW42" si="18">SUBTOTAL(9,P35:P41)</f>
        <v>0</v>
      </c>
      <c r="Q42" s="400">
        <f t="shared" si="18"/>
        <v>0</v>
      </c>
      <c r="R42" s="400">
        <f t="shared" si="18"/>
        <v>0</v>
      </c>
      <c r="S42" s="400">
        <f t="shared" si="18"/>
        <v>0</v>
      </c>
      <c r="T42" s="400">
        <f t="shared" si="18"/>
        <v>0</v>
      </c>
      <c r="U42" s="400">
        <f t="shared" si="18"/>
        <v>0</v>
      </c>
      <c r="V42" s="400">
        <f t="shared" si="18"/>
        <v>0</v>
      </c>
      <c r="W42" s="400">
        <f t="shared" si="18"/>
        <v>0</v>
      </c>
      <c r="X42" s="400">
        <f t="shared" si="18"/>
        <v>0</v>
      </c>
      <c r="Y42" s="400">
        <f t="shared" si="18"/>
        <v>0</v>
      </c>
      <c r="Z42" s="400">
        <f t="shared" si="18"/>
        <v>0</v>
      </c>
      <c r="AA42" s="400">
        <f t="shared" si="18"/>
        <v>0</v>
      </c>
      <c r="AB42" s="400">
        <f t="shared" si="18"/>
        <v>0</v>
      </c>
      <c r="AC42" s="400">
        <f t="shared" si="18"/>
        <v>0</v>
      </c>
      <c r="AD42" s="400">
        <f t="shared" si="18"/>
        <v>0</v>
      </c>
      <c r="AE42" s="400">
        <f t="shared" si="18"/>
        <v>0</v>
      </c>
      <c r="AF42" s="400">
        <f t="shared" si="18"/>
        <v>0</v>
      </c>
      <c r="AG42" s="400">
        <f t="shared" si="18"/>
        <v>146.209</v>
      </c>
      <c r="AH42" s="400">
        <f t="shared" si="18"/>
        <v>198.55250000000001</v>
      </c>
      <c r="AI42" s="400">
        <f t="shared" si="18"/>
        <v>0</v>
      </c>
      <c r="AJ42" s="400">
        <f t="shared" si="18"/>
        <v>0</v>
      </c>
      <c r="AK42" s="400">
        <f t="shared" si="18"/>
        <v>0</v>
      </c>
      <c r="AL42" s="400">
        <f t="shared" si="18"/>
        <v>0</v>
      </c>
      <c r="AM42" s="400">
        <f t="shared" si="18"/>
        <v>0</v>
      </c>
      <c r="AN42" s="400">
        <f t="shared" si="18"/>
        <v>0</v>
      </c>
      <c r="AO42" s="400">
        <f t="shared" si="18"/>
        <v>0</v>
      </c>
      <c r="AP42" s="400">
        <f t="shared" si="18"/>
        <v>0</v>
      </c>
      <c r="AQ42" s="400">
        <f t="shared" si="18"/>
        <v>0</v>
      </c>
      <c r="AR42" s="400">
        <f t="shared" si="18"/>
        <v>0</v>
      </c>
      <c r="AS42" s="400">
        <f t="shared" si="18"/>
        <v>2.8</v>
      </c>
      <c r="AT42" s="400">
        <f t="shared" si="18"/>
        <v>0</v>
      </c>
      <c r="AU42" s="400">
        <f t="shared" si="18"/>
        <v>107.925</v>
      </c>
      <c r="AV42" s="400">
        <f t="shared" si="18"/>
        <v>17.350000000000001</v>
      </c>
      <c r="AW42" s="400">
        <f t="shared" si="18"/>
        <v>0</v>
      </c>
    </row>
    <row r="43" spans="1:49" ht="15.75" hidden="1" customHeight="1" outlineLevel="1">
      <c r="H43" s="396" t="s">
        <v>2184</v>
      </c>
      <c r="I43" s="396"/>
      <c r="J43" s="397"/>
      <c r="K43" s="397"/>
      <c r="L43" s="397"/>
      <c r="M43" s="397"/>
      <c r="N43" s="397"/>
      <c r="O43" s="397"/>
      <c r="P43" s="397">
        <v>0</v>
      </c>
      <c r="Q43" s="397">
        <v>0</v>
      </c>
      <c r="R43" s="397">
        <v>0</v>
      </c>
      <c r="S43" s="397">
        <v>0</v>
      </c>
      <c r="T43" s="397">
        <v>0</v>
      </c>
      <c r="U43" s="397">
        <v>0</v>
      </c>
      <c r="V43" s="397">
        <v>0</v>
      </c>
      <c r="W43" s="397">
        <v>0</v>
      </c>
      <c r="X43" s="397">
        <v>0</v>
      </c>
      <c r="Y43" s="397">
        <v>0</v>
      </c>
      <c r="Z43" s="397">
        <v>0</v>
      </c>
      <c r="AA43" s="397">
        <v>0</v>
      </c>
      <c r="AB43" s="397">
        <v>0</v>
      </c>
      <c r="AC43" s="397">
        <v>0</v>
      </c>
      <c r="AD43" s="397">
        <v>0</v>
      </c>
      <c r="AE43" s="397">
        <v>0</v>
      </c>
      <c r="AF43" s="397">
        <v>0</v>
      </c>
      <c r="AG43" s="397">
        <v>0</v>
      </c>
      <c r="AH43" s="397">
        <v>0</v>
      </c>
      <c r="AI43" s="397">
        <v>0</v>
      </c>
      <c r="AJ43" s="397">
        <v>0</v>
      </c>
      <c r="AK43" s="397">
        <v>0</v>
      </c>
      <c r="AL43" s="397">
        <v>0</v>
      </c>
      <c r="AM43" s="397">
        <v>0</v>
      </c>
      <c r="AN43" s="397">
        <v>0</v>
      </c>
      <c r="AO43" s="397">
        <v>0</v>
      </c>
      <c r="AP43" s="397">
        <v>0</v>
      </c>
      <c r="AQ43" s="397">
        <v>0</v>
      </c>
      <c r="AR43" s="397">
        <v>0</v>
      </c>
      <c r="AS43" s="397">
        <v>0</v>
      </c>
      <c r="AT43" s="397">
        <v>0</v>
      </c>
      <c r="AU43" s="397">
        <v>0</v>
      </c>
      <c r="AV43" s="397">
        <v>0</v>
      </c>
      <c r="AW43" s="397">
        <v>0</v>
      </c>
    </row>
    <row r="44" spans="1:49" ht="15.75" hidden="1" customHeight="1" outlineLevel="1">
      <c r="H44" s="396" t="s">
        <v>2185</v>
      </c>
      <c r="I44" s="396"/>
      <c r="J44" s="397"/>
      <c r="K44" s="397"/>
      <c r="L44" s="397"/>
      <c r="M44" s="397"/>
      <c r="N44" s="397"/>
      <c r="O44" s="397"/>
      <c r="P44" s="397">
        <v>0</v>
      </c>
      <c r="Q44" s="397">
        <v>0</v>
      </c>
      <c r="R44" s="397">
        <v>0</v>
      </c>
      <c r="S44" s="397">
        <v>0</v>
      </c>
      <c r="T44" s="397">
        <v>0</v>
      </c>
      <c r="U44" s="397">
        <v>0</v>
      </c>
      <c r="V44" s="397">
        <v>0</v>
      </c>
      <c r="W44" s="397">
        <v>0</v>
      </c>
      <c r="X44" s="397">
        <v>0</v>
      </c>
      <c r="Y44" s="397">
        <v>0</v>
      </c>
      <c r="Z44" s="397">
        <v>0</v>
      </c>
      <c r="AA44" s="397">
        <v>0</v>
      </c>
      <c r="AB44" s="397">
        <v>0</v>
      </c>
      <c r="AC44" s="397">
        <v>0</v>
      </c>
      <c r="AD44" s="397">
        <v>0</v>
      </c>
      <c r="AE44" s="397">
        <v>0</v>
      </c>
      <c r="AF44" s="397">
        <v>0</v>
      </c>
      <c r="AG44" s="397">
        <v>0</v>
      </c>
      <c r="AH44" s="397">
        <v>0</v>
      </c>
      <c r="AI44" s="397">
        <v>0</v>
      </c>
      <c r="AJ44" s="397">
        <v>0</v>
      </c>
      <c r="AK44" s="397">
        <v>0</v>
      </c>
      <c r="AL44" s="397">
        <v>0</v>
      </c>
      <c r="AM44" s="397">
        <v>0</v>
      </c>
      <c r="AN44" s="397">
        <v>0</v>
      </c>
      <c r="AO44" s="397">
        <v>0</v>
      </c>
      <c r="AP44" s="397">
        <v>0</v>
      </c>
      <c r="AQ44" s="397">
        <v>0</v>
      </c>
      <c r="AR44" s="397">
        <v>0</v>
      </c>
      <c r="AS44" s="397">
        <v>0</v>
      </c>
      <c r="AT44" s="397">
        <v>0</v>
      </c>
      <c r="AU44" s="397">
        <v>0</v>
      </c>
      <c r="AV44" s="397">
        <v>0</v>
      </c>
      <c r="AW44" s="397">
        <v>0</v>
      </c>
    </row>
    <row r="45" spans="1:49" ht="15.75" hidden="1" customHeight="1" outlineLevel="1">
      <c r="H45" s="396" t="s">
        <v>2186</v>
      </c>
      <c r="I45" s="396"/>
      <c r="J45" s="397"/>
      <c r="K45" s="397"/>
      <c r="L45" s="397"/>
      <c r="M45" s="397"/>
      <c r="N45" s="397"/>
      <c r="O45" s="397"/>
      <c r="P45" s="397">
        <v>0</v>
      </c>
      <c r="Q45" s="397">
        <v>0</v>
      </c>
      <c r="R45" s="397">
        <v>0</v>
      </c>
      <c r="S45" s="397">
        <v>0</v>
      </c>
      <c r="T45" s="397">
        <v>0</v>
      </c>
      <c r="U45" s="397">
        <v>0</v>
      </c>
      <c r="V45" s="397">
        <v>0</v>
      </c>
      <c r="W45" s="397">
        <v>0</v>
      </c>
      <c r="X45" s="397">
        <v>0</v>
      </c>
      <c r="Y45" s="397">
        <v>0</v>
      </c>
      <c r="Z45" s="397">
        <v>0</v>
      </c>
      <c r="AA45" s="397">
        <v>0</v>
      </c>
      <c r="AB45" s="397">
        <v>0</v>
      </c>
      <c r="AC45" s="397">
        <v>0</v>
      </c>
      <c r="AD45" s="397">
        <v>0</v>
      </c>
      <c r="AE45" s="397">
        <v>0</v>
      </c>
      <c r="AF45" s="397">
        <v>0</v>
      </c>
      <c r="AG45" s="397">
        <v>0</v>
      </c>
      <c r="AH45" s="397">
        <v>0</v>
      </c>
      <c r="AI45" s="397">
        <v>0</v>
      </c>
      <c r="AJ45" s="397">
        <v>0</v>
      </c>
      <c r="AK45" s="397">
        <v>0</v>
      </c>
      <c r="AL45" s="397">
        <v>0</v>
      </c>
      <c r="AM45" s="397">
        <v>0</v>
      </c>
      <c r="AN45" s="397">
        <v>0</v>
      </c>
      <c r="AO45" s="397">
        <v>0</v>
      </c>
      <c r="AP45" s="397">
        <v>0</v>
      </c>
      <c r="AQ45" s="397">
        <v>0</v>
      </c>
      <c r="AR45" s="397">
        <v>0</v>
      </c>
      <c r="AS45" s="397">
        <v>0</v>
      </c>
      <c r="AT45" s="397">
        <v>0</v>
      </c>
      <c r="AU45" s="397">
        <v>0</v>
      </c>
      <c r="AV45" s="397">
        <v>0</v>
      </c>
      <c r="AW45" s="397">
        <v>0</v>
      </c>
    </row>
    <row r="46" spans="1:49" ht="15.75" hidden="1" customHeight="1" outlineLevel="1">
      <c r="H46" s="396" t="s">
        <v>2187</v>
      </c>
      <c r="I46" s="396"/>
      <c r="J46" s="397"/>
      <c r="K46" s="397"/>
      <c r="L46" s="397"/>
      <c r="M46" s="397"/>
      <c r="N46" s="397"/>
      <c r="O46" s="397"/>
      <c r="P46" s="397">
        <v>0</v>
      </c>
      <c r="Q46" s="397">
        <v>0</v>
      </c>
      <c r="R46" s="397">
        <v>0</v>
      </c>
      <c r="S46" s="397">
        <v>0</v>
      </c>
      <c r="T46" s="397">
        <v>0</v>
      </c>
      <c r="U46" s="397">
        <v>0.22</v>
      </c>
      <c r="V46" s="397">
        <v>0.22</v>
      </c>
      <c r="W46" s="397">
        <v>0</v>
      </c>
      <c r="X46" s="397">
        <v>4.1570000000000003E-2</v>
      </c>
      <c r="Y46" s="397">
        <v>0</v>
      </c>
      <c r="Z46" s="397">
        <v>0</v>
      </c>
      <c r="AA46" s="397">
        <v>0</v>
      </c>
      <c r="AB46" s="397">
        <v>0</v>
      </c>
      <c r="AC46" s="397">
        <v>0</v>
      </c>
      <c r="AD46" s="397">
        <v>0.27500000000000002</v>
      </c>
      <c r="AE46" s="397">
        <v>0.55000000000000004</v>
      </c>
      <c r="AF46" s="397">
        <v>0</v>
      </c>
      <c r="AG46" s="397">
        <v>0</v>
      </c>
      <c r="AH46" s="397">
        <v>0</v>
      </c>
      <c r="AI46" s="397">
        <v>0</v>
      </c>
      <c r="AJ46" s="397">
        <v>0</v>
      </c>
      <c r="AK46" s="397">
        <v>0</v>
      </c>
      <c r="AL46" s="397">
        <v>0</v>
      </c>
      <c r="AM46" s="397">
        <v>0</v>
      </c>
      <c r="AN46" s="397">
        <v>0</v>
      </c>
      <c r="AO46" s="397">
        <v>0</v>
      </c>
      <c r="AP46" s="397">
        <v>0</v>
      </c>
      <c r="AQ46" s="397">
        <v>0</v>
      </c>
      <c r="AR46" s="397">
        <v>0</v>
      </c>
      <c r="AS46" s="397">
        <v>0</v>
      </c>
      <c r="AT46" s="397">
        <v>0</v>
      </c>
      <c r="AU46" s="397">
        <v>0</v>
      </c>
      <c r="AV46" s="397">
        <v>0</v>
      </c>
      <c r="AW46" s="397">
        <v>0</v>
      </c>
    </row>
    <row r="47" spans="1:49" ht="15.75" hidden="1" customHeight="1" outlineLevel="1">
      <c r="H47" s="396" t="s">
        <v>2188</v>
      </c>
      <c r="I47" s="396"/>
      <c r="J47" s="397"/>
      <c r="K47" s="397"/>
      <c r="L47" s="397"/>
      <c r="M47" s="397"/>
      <c r="N47" s="397"/>
      <c r="O47" s="397"/>
      <c r="P47" s="397">
        <v>0</v>
      </c>
      <c r="Q47" s="397">
        <v>0</v>
      </c>
      <c r="R47" s="397">
        <v>0</v>
      </c>
      <c r="S47" s="397">
        <v>0</v>
      </c>
      <c r="T47" s="397">
        <v>0</v>
      </c>
      <c r="U47" s="397">
        <v>0</v>
      </c>
      <c r="V47" s="397">
        <v>0</v>
      </c>
      <c r="W47" s="397">
        <v>0</v>
      </c>
      <c r="X47" s="397">
        <v>0</v>
      </c>
      <c r="Y47" s="397">
        <v>0</v>
      </c>
      <c r="Z47" s="397">
        <v>0</v>
      </c>
      <c r="AA47" s="397">
        <v>0</v>
      </c>
      <c r="AB47" s="397">
        <v>0</v>
      </c>
      <c r="AC47" s="397">
        <v>0</v>
      </c>
      <c r="AD47" s="397">
        <v>0</v>
      </c>
      <c r="AE47" s="397">
        <v>0</v>
      </c>
      <c r="AF47" s="397">
        <v>0</v>
      </c>
      <c r="AG47" s="397">
        <v>0</v>
      </c>
      <c r="AH47" s="397">
        <v>0</v>
      </c>
      <c r="AI47" s="397">
        <v>0</v>
      </c>
      <c r="AJ47" s="397">
        <v>0</v>
      </c>
      <c r="AK47" s="397">
        <v>0</v>
      </c>
      <c r="AL47" s="397">
        <v>0</v>
      </c>
      <c r="AM47" s="397">
        <v>0</v>
      </c>
      <c r="AN47" s="397">
        <v>0</v>
      </c>
      <c r="AO47" s="397">
        <v>0</v>
      </c>
      <c r="AP47" s="397">
        <v>0</v>
      </c>
      <c r="AQ47" s="397">
        <v>0</v>
      </c>
      <c r="AR47" s="397">
        <v>0</v>
      </c>
      <c r="AS47" s="397">
        <v>0</v>
      </c>
      <c r="AT47" s="397">
        <v>0</v>
      </c>
      <c r="AU47" s="397">
        <v>0</v>
      </c>
      <c r="AV47" s="397">
        <v>0</v>
      </c>
      <c r="AW47" s="397">
        <v>0</v>
      </c>
    </row>
    <row r="48" spans="1:49" ht="15.75" hidden="1" customHeight="1" outlineLevel="1">
      <c r="H48" s="396" t="s">
        <v>2189</v>
      </c>
      <c r="I48" s="396"/>
      <c r="J48" s="397"/>
      <c r="K48" s="397"/>
      <c r="L48" s="397"/>
      <c r="M48" s="397"/>
      <c r="N48" s="397"/>
      <c r="O48" s="397"/>
      <c r="P48" s="397">
        <v>0</v>
      </c>
      <c r="Q48" s="397">
        <v>0</v>
      </c>
      <c r="R48" s="397">
        <v>0</v>
      </c>
      <c r="S48" s="397">
        <v>0</v>
      </c>
      <c r="T48" s="397">
        <v>0</v>
      </c>
      <c r="U48" s="397">
        <v>0</v>
      </c>
      <c r="V48" s="397">
        <v>0</v>
      </c>
      <c r="W48" s="397">
        <v>0</v>
      </c>
      <c r="X48" s="397">
        <v>0</v>
      </c>
      <c r="Y48" s="397">
        <v>0</v>
      </c>
      <c r="Z48" s="397">
        <v>0</v>
      </c>
      <c r="AA48" s="397">
        <v>0</v>
      </c>
      <c r="AB48" s="397">
        <v>0</v>
      </c>
      <c r="AC48" s="397">
        <v>0</v>
      </c>
      <c r="AD48" s="397">
        <v>0</v>
      </c>
      <c r="AE48" s="397">
        <v>0</v>
      </c>
      <c r="AF48" s="397">
        <v>0</v>
      </c>
      <c r="AG48" s="397">
        <v>0</v>
      </c>
      <c r="AH48" s="397">
        <v>0</v>
      </c>
      <c r="AI48" s="397">
        <v>0</v>
      </c>
      <c r="AJ48" s="397">
        <v>0</v>
      </c>
      <c r="AK48" s="397">
        <v>0</v>
      </c>
      <c r="AL48" s="397">
        <v>0</v>
      </c>
      <c r="AM48" s="397">
        <v>0</v>
      </c>
      <c r="AN48" s="397">
        <v>0</v>
      </c>
      <c r="AO48" s="397">
        <v>0</v>
      </c>
      <c r="AP48" s="397">
        <v>0</v>
      </c>
      <c r="AQ48" s="397">
        <v>0</v>
      </c>
      <c r="AR48" s="397">
        <v>0</v>
      </c>
      <c r="AS48" s="397">
        <v>0</v>
      </c>
      <c r="AT48" s="397">
        <v>0</v>
      </c>
      <c r="AU48" s="397">
        <v>0</v>
      </c>
      <c r="AV48" s="397">
        <v>0</v>
      </c>
      <c r="AW48" s="397">
        <v>0</v>
      </c>
    </row>
    <row r="49" spans="1:49" ht="15.75" hidden="1" customHeight="1" outlineLevel="1">
      <c r="H49" s="396" t="s">
        <v>2190</v>
      </c>
      <c r="I49" s="396"/>
      <c r="J49" s="397"/>
      <c r="K49" s="397"/>
      <c r="L49" s="397"/>
      <c r="M49" s="397"/>
      <c r="N49" s="397"/>
      <c r="O49" s="397"/>
      <c r="P49" s="397">
        <v>0</v>
      </c>
      <c r="Q49" s="397">
        <v>0</v>
      </c>
      <c r="R49" s="397">
        <v>0</v>
      </c>
      <c r="S49" s="397">
        <v>0</v>
      </c>
      <c r="T49" s="397">
        <v>0</v>
      </c>
      <c r="U49" s="397">
        <v>0</v>
      </c>
      <c r="V49" s="397">
        <v>0</v>
      </c>
      <c r="W49" s="397">
        <v>0</v>
      </c>
      <c r="X49" s="397">
        <v>0</v>
      </c>
      <c r="Y49" s="397">
        <v>0</v>
      </c>
      <c r="Z49" s="397">
        <v>0</v>
      </c>
      <c r="AA49" s="397">
        <v>0</v>
      </c>
      <c r="AB49" s="397">
        <v>0</v>
      </c>
      <c r="AC49" s="397">
        <v>0</v>
      </c>
      <c r="AD49" s="397">
        <v>0</v>
      </c>
      <c r="AE49" s="397">
        <v>0</v>
      </c>
      <c r="AF49" s="397">
        <v>0</v>
      </c>
      <c r="AG49" s="397">
        <v>0</v>
      </c>
      <c r="AH49" s="397">
        <v>0</v>
      </c>
      <c r="AI49" s="397">
        <v>0</v>
      </c>
      <c r="AJ49" s="397">
        <v>0</v>
      </c>
      <c r="AK49" s="397">
        <v>0</v>
      </c>
      <c r="AL49" s="397">
        <v>0</v>
      </c>
      <c r="AM49" s="397">
        <v>0</v>
      </c>
      <c r="AN49" s="397">
        <v>0</v>
      </c>
      <c r="AO49" s="397">
        <v>0</v>
      </c>
      <c r="AP49" s="397">
        <v>0</v>
      </c>
      <c r="AQ49" s="397">
        <v>0</v>
      </c>
      <c r="AR49" s="397">
        <v>1.575</v>
      </c>
      <c r="AS49" s="397">
        <v>0</v>
      </c>
      <c r="AT49" s="397">
        <v>0</v>
      </c>
      <c r="AU49" s="397">
        <v>0</v>
      </c>
      <c r="AV49" s="397">
        <v>0</v>
      </c>
      <c r="AW49" s="397">
        <v>0</v>
      </c>
    </row>
    <row r="50" spans="1:49" ht="15.75" hidden="1" customHeight="1" outlineLevel="1">
      <c r="H50" s="396" t="s">
        <v>2191</v>
      </c>
      <c r="I50" s="396"/>
      <c r="J50" s="397"/>
      <c r="K50" s="397"/>
      <c r="L50" s="397"/>
      <c r="M50" s="397"/>
      <c r="N50" s="397"/>
      <c r="O50" s="397"/>
      <c r="P50" s="397">
        <v>0</v>
      </c>
      <c r="Q50" s="397">
        <v>0</v>
      </c>
      <c r="R50" s="397">
        <v>0</v>
      </c>
      <c r="S50" s="397">
        <v>0</v>
      </c>
      <c r="T50" s="397">
        <v>0</v>
      </c>
      <c r="U50" s="397">
        <v>0</v>
      </c>
      <c r="V50" s="397">
        <v>0</v>
      </c>
      <c r="W50" s="397">
        <v>0</v>
      </c>
      <c r="X50" s="397">
        <v>0</v>
      </c>
      <c r="Y50" s="397">
        <v>0</v>
      </c>
      <c r="Z50" s="397">
        <v>0</v>
      </c>
      <c r="AA50" s="397">
        <v>0</v>
      </c>
      <c r="AB50" s="397">
        <v>0</v>
      </c>
      <c r="AC50" s="397">
        <v>0</v>
      </c>
      <c r="AD50" s="397">
        <v>0</v>
      </c>
      <c r="AE50" s="397">
        <v>0</v>
      </c>
      <c r="AF50" s="397">
        <v>0</v>
      </c>
      <c r="AG50" s="397">
        <v>0</v>
      </c>
      <c r="AH50" s="397">
        <v>0</v>
      </c>
      <c r="AI50" s="397">
        <v>0</v>
      </c>
      <c r="AJ50" s="397">
        <v>0</v>
      </c>
      <c r="AK50" s="397">
        <v>0</v>
      </c>
      <c r="AL50" s="397">
        <v>0</v>
      </c>
      <c r="AM50" s="397">
        <v>0</v>
      </c>
      <c r="AN50" s="397">
        <v>0</v>
      </c>
      <c r="AO50" s="397">
        <v>0</v>
      </c>
      <c r="AP50" s="397">
        <v>0</v>
      </c>
      <c r="AQ50" s="397">
        <v>0</v>
      </c>
      <c r="AR50" s="397">
        <v>0</v>
      </c>
      <c r="AS50" s="397">
        <v>0</v>
      </c>
      <c r="AT50" s="397">
        <v>0</v>
      </c>
      <c r="AU50" s="397">
        <v>0</v>
      </c>
      <c r="AV50" s="397">
        <v>0</v>
      </c>
      <c r="AW50" s="397">
        <v>0</v>
      </c>
    </row>
    <row r="51" spans="1:49" ht="15.75" hidden="1" customHeight="1" outlineLevel="1">
      <c r="H51" s="396" t="s">
        <v>2192</v>
      </c>
      <c r="I51" s="396"/>
      <c r="J51" s="397"/>
      <c r="K51" s="397"/>
      <c r="L51" s="397"/>
      <c r="M51" s="397"/>
      <c r="N51" s="397"/>
      <c r="O51" s="397"/>
      <c r="P51" s="397">
        <v>0</v>
      </c>
      <c r="Q51" s="397">
        <v>0</v>
      </c>
      <c r="R51" s="397">
        <v>-0.35</v>
      </c>
      <c r="S51" s="397">
        <v>0</v>
      </c>
      <c r="T51" s="397">
        <v>0</v>
      </c>
      <c r="U51" s="397">
        <v>0</v>
      </c>
      <c r="V51" s="397">
        <v>0</v>
      </c>
      <c r="W51" s="397">
        <v>0</v>
      </c>
      <c r="X51" s="397">
        <v>0</v>
      </c>
      <c r="Y51" s="397">
        <v>0</v>
      </c>
      <c r="Z51" s="397">
        <v>0</v>
      </c>
      <c r="AA51" s="397">
        <v>0</v>
      </c>
      <c r="AB51" s="397">
        <v>0</v>
      </c>
      <c r="AC51" s="397">
        <v>0</v>
      </c>
      <c r="AD51" s="397">
        <v>0</v>
      </c>
      <c r="AE51" s="397">
        <v>0</v>
      </c>
      <c r="AF51" s="397">
        <v>0</v>
      </c>
      <c r="AG51" s="397">
        <v>0</v>
      </c>
      <c r="AH51" s="397">
        <v>0</v>
      </c>
      <c r="AI51" s="397">
        <v>0</v>
      </c>
      <c r="AJ51" s="397">
        <v>0</v>
      </c>
      <c r="AK51" s="397">
        <v>0</v>
      </c>
      <c r="AL51" s="397">
        <v>0</v>
      </c>
      <c r="AM51" s="397">
        <v>0</v>
      </c>
      <c r="AN51" s="397">
        <v>0</v>
      </c>
      <c r="AO51" s="397">
        <v>0</v>
      </c>
      <c r="AP51" s="397">
        <v>0</v>
      </c>
      <c r="AQ51" s="397">
        <v>0</v>
      </c>
      <c r="AR51" s="397">
        <v>0</v>
      </c>
      <c r="AS51" s="397">
        <v>0</v>
      </c>
      <c r="AT51" s="397">
        <v>0</v>
      </c>
      <c r="AU51" s="397">
        <v>0</v>
      </c>
      <c r="AV51" s="397">
        <v>0</v>
      </c>
      <c r="AW51" s="397">
        <v>0</v>
      </c>
    </row>
    <row r="52" spans="1:49" ht="15.75" hidden="1" customHeight="1" outlineLevel="1">
      <c r="H52" s="396" t="s">
        <v>2193</v>
      </c>
      <c r="I52" s="396"/>
      <c r="J52" s="397"/>
      <c r="K52" s="397"/>
      <c r="L52" s="397"/>
      <c r="M52" s="397"/>
      <c r="N52" s="397"/>
      <c r="O52" s="397"/>
      <c r="P52" s="397">
        <v>0</v>
      </c>
      <c r="Q52" s="397">
        <v>0</v>
      </c>
      <c r="R52" s="397">
        <v>0</v>
      </c>
      <c r="S52" s="397">
        <v>0</v>
      </c>
      <c r="T52" s="397">
        <v>0</v>
      </c>
      <c r="U52" s="397">
        <v>0</v>
      </c>
      <c r="V52" s="397">
        <v>0</v>
      </c>
      <c r="W52" s="397">
        <v>0</v>
      </c>
      <c r="X52" s="397">
        <v>0</v>
      </c>
      <c r="Y52" s="397">
        <v>0</v>
      </c>
      <c r="Z52" s="397">
        <v>0</v>
      </c>
      <c r="AA52" s="397">
        <v>0</v>
      </c>
      <c r="AB52" s="397">
        <v>0</v>
      </c>
      <c r="AC52" s="397">
        <v>0</v>
      </c>
      <c r="AD52" s="397">
        <v>0</v>
      </c>
      <c r="AE52" s="397">
        <v>0</v>
      </c>
      <c r="AF52" s="397">
        <v>0</v>
      </c>
      <c r="AG52" s="397">
        <v>0</v>
      </c>
      <c r="AH52" s="397">
        <v>0</v>
      </c>
      <c r="AI52" s="397">
        <v>0</v>
      </c>
      <c r="AJ52" s="397">
        <v>0</v>
      </c>
      <c r="AK52" s="397">
        <v>0</v>
      </c>
      <c r="AL52" s="397">
        <v>0</v>
      </c>
      <c r="AM52" s="397">
        <v>0</v>
      </c>
      <c r="AN52" s="397">
        <v>0</v>
      </c>
      <c r="AO52" s="397">
        <v>0</v>
      </c>
      <c r="AP52" s="397">
        <v>0</v>
      </c>
      <c r="AQ52" s="397">
        <v>0</v>
      </c>
      <c r="AR52" s="397">
        <v>0</v>
      </c>
      <c r="AS52" s="397">
        <v>0</v>
      </c>
      <c r="AT52" s="397">
        <v>0</v>
      </c>
      <c r="AU52" s="397">
        <v>0</v>
      </c>
      <c r="AV52" s="397">
        <v>0</v>
      </c>
      <c r="AW52" s="397">
        <v>0</v>
      </c>
    </row>
    <row r="53" spans="1:49" ht="15.75" hidden="1" customHeight="1" outlineLevel="1">
      <c r="H53" s="396" t="s">
        <v>2194</v>
      </c>
      <c r="I53" s="396"/>
      <c r="J53" s="397"/>
      <c r="K53" s="397"/>
      <c r="L53" s="397"/>
      <c r="M53" s="397"/>
      <c r="N53" s="397"/>
      <c r="O53" s="397"/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7">
        <v>0</v>
      </c>
      <c r="V53" s="397">
        <v>0</v>
      </c>
      <c r="W53" s="397">
        <v>0</v>
      </c>
      <c r="X53" s="397">
        <v>0</v>
      </c>
      <c r="Y53" s="397">
        <v>0</v>
      </c>
      <c r="Z53" s="397">
        <v>0</v>
      </c>
      <c r="AA53" s="397">
        <v>0</v>
      </c>
      <c r="AB53" s="397">
        <v>0</v>
      </c>
      <c r="AC53" s="397">
        <v>0</v>
      </c>
      <c r="AD53" s="397">
        <v>0</v>
      </c>
      <c r="AE53" s="397">
        <v>0</v>
      </c>
      <c r="AF53" s="397">
        <v>0</v>
      </c>
      <c r="AG53" s="397">
        <v>0</v>
      </c>
      <c r="AH53" s="397">
        <v>0</v>
      </c>
      <c r="AI53" s="397">
        <v>0</v>
      </c>
      <c r="AJ53" s="397">
        <v>0</v>
      </c>
      <c r="AK53" s="397">
        <v>0</v>
      </c>
      <c r="AL53" s="397">
        <v>0</v>
      </c>
      <c r="AM53" s="397">
        <v>0</v>
      </c>
      <c r="AN53" s="397">
        <v>0</v>
      </c>
      <c r="AO53" s="397">
        <v>0</v>
      </c>
      <c r="AP53" s="397">
        <v>0</v>
      </c>
      <c r="AQ53" s="397">
        <v>0</v>
      </c>
      <c r="AR53" s="397">
        <v>0</v>
      </c>
      <c r="AS53" s="397">
        <v>0</v>
      </c>
      <c r="AT53" s="397">
        <v>0</v>
      </c>
      <c r="AU53" s="397">
        <v>0</v>
      </c>
      <c r="AV53" s="397">
        <v>0</v>
      </c>
      <c r="AW53" s="397">
        <v>0</v>
      </c>
    </row>
    <row r="54" spans="1:49" ht="15.75" hidden="1" customHeight="1" outlineLevel="1">
      <c r="H54" s="396" t="s">
        <v>2195</v>
      </c>
      <c r="I54" s="396"/>
      <c r="J54" s="397"/>
      <c r="K54" s="397"/>
      <c r="L54" s="397"/>
      <c r="M54" s="397"/>
      <c r="N54" s="397"/>
      <c r="O54" s="397"/>
      <c r="P54" s="397">
        <v>0</v>
      </c>
      <c r="Q54" s="397">
        <v>0</v>
      </c>
      <c r="R54" s="397">
        <v>0</v>
      </c>
      <c r="S54" s="397">
        <v>0</v>
      </c>
      <c r="T54" s="397">
        <v>0</v>
      </c>
      <c r="U54" s="397">
        <v>0</v>
      </c>
      <c r="V54" s="397">
        <v>0</v>
      </c>
      <c r="W54" s="397">
        <v>0</v>
      </c>
      <c r="X54" s="397">
        <v>0</v>
      </c>
      <c r="Y54" s="397">
        <v>0</v>
      </c>
      <c r="Z54" s="397">
        <v>0</v>
      </c>
      <c r="AA54" s="397">
        <v>0</v>
      </c>
      <c r="AB54" s="397">
        <v>0</v>
      </c>
      <c r="AC54" s="397">
        <v>0</v>
      </c>
      <c r="AD54" s="397">
        <v>0</v>
      </c>
      <c r="AE54" s="397">
        <v>0.5</v>
      </c>
      <c r="AF54" s="397">
        <v>0</v>
      </c>
      <c r="AG54" s="397">
        <v>0</v>
      </c>
      <c r="AH54" s="397">
        <v>0.15</v>
      </c>
      <c r="AI54" s="397">
        <v>0</v>
      </c>
      <c r="AJ54" s="397">
        <v>0</v>
      </c>
      <c r="AK54" s="397">
        <v>0</v>
      </c>
      <c r="AL54" s="397">
        <v>0</v>
      </c>
      <c r="AM54" s="397">
        <v>0.75</v>
      </c>
      <c r="AN54" s="397">
        <v>0</v>
      </c>
      <c r="AO54" s="397">
        <v>0</v>
      </c>
      <c r="AP54" s="397">
        <v>0</v>
      </c>
      <c r="AQ54" s="397">
        <v>0</v>
      </c>
      <c r="AR54" s="397">
        <v>0</v>
      </c>
      <c r="AS54" s="397">
        <v>0</v>
      </c>
      <c r="AT54" s="397">
        <v>0</v>
      </c>
      <c r="AU54" s="397">
        <v>4.2</v>
      </c>
      <c r="AV54" s="397">
        <v>2.0499999999999998</v>
      </c>
      <c r="AW54" s="397">
        <v>0</v>
      </c>
    </row>
    <row r="55" spans="1:49" ht="15.75" customHeight="1" collapsed="1">
      <c r="A55" s="401" t="s">
        <v>127</v>
      </c>
      <c r="H55" s="399" t="s">
        <v>127</v>
      </c>
      <c r="I55" s="399"/>
      <c r="J55" s="400">
        <f>SUMIFS($P55:$AW55,$P$3:$AW$3,J$4)</f>
        <v>1.4565700000000001</v>
      </c>
      <c r="K55" s="400">
        <f>J55-AE55-AF55</f>
        <v>0.4065700000000001</v>
      </c>
      <c r="L55" s="400">
        <f t="shared" ref="L55:N55" si="19">SUMIFS($P55:$AW55,$P$3:$AW$3,L$4)</f>
        <v>7.8250000000000002</v>
      </c>
      <c r="M55" s="400">
        <f t="shared" si="19"/>
        <v>0.9</v>
      </c>
      <c r="N55" s="400">
        <f t="shared" si="19"/>
        <v>0</v>
      </c>
      <c r="O55" s="400"/>
      <c r="P55" s="400">
        <f t="shared" ref="P55:AW55" si="20">SUBTOTAL(9,P43:P54)</f>
        <v>0</v>
      </c>
      <c r="Q55" s="400">
        <f t="shared" si="20"/>
        <v>0</v>
      </c>
      <c r="R55" s="400">
        <f t="shared" si="20"/>
        <v>-0.35</v>
      </c>
      <c r="S55" s="400">
        <f t="shared" si="20"/>
        <v>0</v>
      </c>
      <c r="T55" s="400">
        <f t="shared" si="20"/>
        <v>0</v>
      </c>
      <c r="U55" s="400">
        <f t="shared" si="20"/>
        <v>0.22</v>
      </c>
      <c r="V55" s="400">
        <f t="shared" si="20"/>
        <v>0.22</v>
      </c>
      <c r="W55" s="400">
        <f t="shared" si="20"/>
        <v>0</v>
      </c>
      <c r="X55" s="400">
        <f t="shared" si="20"/>
        <v>4.1570000000000003E-2</v>
      </c>
      <c r="Y55" s="400">
        <f t="shared" si="20"/>
        <v>0</v>
      </c>
      <c r="Z55" s="400">
        <f t="shared" si="20"/>
        <v>0</v>
      </c>
      <c r="AA55" s="400">
        <f t="shared" si="20"/>
        <v>0</v>
      </c>
      <c r="AB55" s="400">
        <f t="shared" si="20"/>
        <v>0</v>
      </c>
      <c r="AC55" s="400">
        <f t="shared" si="20"/>
        <v>0</v>
      </c>
      <c r="AD55" s="400">
        <f t="shared" si="20"/>
        <v>0.27500000000000002</v>
      </c>
      <c r="AE55" s="400">
        <f t="shared" si="20"/>
        <v>1.05</v>
      </c>
      <c r="AF55" s="400">
        <f t="shared" si="20"/>
        <v>0</v>
      </c>
      <c r="AG55" s="400">
        <f t="shared" si="20"/>
        <v>0</v>
      </c>
      <c r="AH55" s="400">
        <f t="shared" si="20"/>
        <v>0.15</v>
      </c>
      <c r="AI55" s="400">
        <f t="shared" si="20"/>
        <v>0</v>
      </c>
      <c r="AJ55" s="400">
        <f t="shared" si="20"/>
        <v>0</v>
      </c>
      <c r="AK55" s="400">
        <f t="shared" si="20"/>
        <v>0</v>
      </c>
      <c r="AL55" s="400">
        <f t="shared" si="20"/>
        <v>0</v>
      </c>
      <c r="AM55" s="400">
        <f t="shared" si="20"/>
        <v>0.75</v>
      </c>
      <c r="AN55" s="400">
        <f t="shared" si="20"/>
        <v>0</v>
      </c>
      <c r="AO55" s="400">
        <f t="shared" si="20"/>
        <v>0</v>
      </c>
      <c r="AP55" s="400">
        <f t="shared" si="20"/>
        <v>0</v>
      </c>
      <c r="AQ55" s="400">
        <f t="shared" si="20"/>
        <v>0</v>
      </c>
      <c r="AR55" s="400">
        <f t="shared" si="20"/>
        <v>1.575</v>
      </c>
      <c r="AS55" s="400">
        <f t="shared" si="20"/>
        <v>0</v>
      </c>
      <c r="AT55" s="400">
        <f t="shared" si="20"/>
        <v>0</v>
      </c>
      <c r="AU55" s="400">
        <f t="shared" si="20"/>
        <v>4.2</v>
      </c>
      <c r="AV55" s="400">
        <f t="shared" si="20"/>
        <v>2.0499999999999998</v>
      </c>
      <c r="AW55" s="400">
        <f t="shared" si="20"/>
        <v>0</v>
      </c>
    </row>
    <row r="56" spans="1:49" ht="15.75" customHeight="1">
      <c r="H56" s="332"/>
      <c r="I56" s="332"/>
      <c r="J56" s="400"/>
      <c r="K56" s="400"/>
      <c r="L56" s="400"/>
      <c r="M56" s="400"/>
      <c r="N56" s="400"/>
      <c r="O56" s="400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  <c r="AA56" s="400"/>
      <c r="AB56" s="400"/>
      <c r="AC56" s="400"/>
      <c r="AD56" s="400"/>
      <c r="AE56" s="400"/>
      <c r="AF56" s="400"/>
      <c r="AG56" s="400"/>
      <c r="AH56" s="400"/>
      <c r="AI56" s="400"/>
      <c r="AJ56" s="400"/>
      <c r="AK56" s="400"/>
      <c r="AL56" s="400"/>
      <c r="AM56" s="400"/>
      <c r="AN56" s="400"/>
      <c r="AO56" s="400"/>
      <c r="AP56" s="400"/>
      <c r="AQ56" s="400"/>
      <c r="AR56" s="400"/>
      <c r="AS56" s="400"/>
      <c r="AT56" s="400"/>
      <c r="AU56" s="400"/>
      <c r="AV56" s="400"/>
      <c r="AW56" s="400"/>
    </row>
    <row r="57" spans="1:49" ht="15.75" customHeight="1">
      <c r="A57" s="3" t="s">
        <v>33</v>
      </c>
      <c r="H57" s="402" t="s">
        <v>2196</v>
      </c>
      <c r="I57" s="402"/>
      <c r="J57" s="403">
        <f t="shared" ref="J57:N57" si="21">SUBTOTAL(9,J11:J55)</f>
        <v>36251.296000000002</v>
      </c>
      <c r="K57" s="403">
        <f t="shared" si="21"/>
        <v>27766.098199999997</v>
      </c>
      <c r="L57" s="403">
        <f t="shared" si="21"/>
        <v>17447.028510000004</v>
      </c>
      <c r="M57" s="403">
        <f t="shared" si="21"/>
        <v>7836.5516200000002</v>
      </c>
      <c r="N57" s="403">
        <f t="shared" si="21"/>
        <v>7053.4349899999997</v>
      </c>
      <c r="O57" s="400"/>
      <c r="P57" s="403">
        <f t="shared" ref="P57:AW57" si="22">SUBTOTAL(9,P11:P55)</f>
        <v>2030.8222399999995</v>
      </c>
      <c r="Q57" s="403">
        <f t="shared" si="22"/>
        <v>816.51202000000001</v>
      </c>
      <c r="R57" s="403">
        <f t="shared" si="22"/>
        <v>1675.0017200000002</v>
      </c>
      <c r="S57" s="403">
        <f t="shared" si="22"/>
        <v>1732.3360300000002</v>
      </c>
      <c r="T57" s="403">
        <f t="shared" si="22"/>
        <v>3588.2177099999999</v>
      </c>
      <c r="U57" s="403">
        <f t="shared" si="22"/>
        <v>2029.0434299999997</v>
      </c>
      <c r="V57" s="403">
        <f t="shared" si="22"/>
        <v>3574.0243399999999</v>
      </c>
      <c r="W57" s="403">
        <f t="shared" si="22"/>
        <v>2256.5640799999996</v>
      </c>
      <c r="X57" s="403">
        <f t="shared" si="22"/>
        <v>753.86965000000009</v>
      </c>
      <c r="Y57" s="403">
        <f t="shared" si="22"/>
        <v>988.42250000000013</v>
      </c>
      <c r="Z57" s="403">
        <f t="shared" si="22"/>
        <v>966.72068000000002</v>
      </c>
      <c r="AA57" s="403">
        <f t="shared" si="22"/>
        <v>748.77737999999999</v>
      </c>
      <c r="AB57" s="403">
        <f t="shared" si="22"/>
        <v>1155.2315400000002</v>
      </c>
      <c r="AC57" s="403">
        <f t="shared" si="22"/>
        <v>2420.3632500000003</v>
      </c>
      <c r="AD57" s="403">
        <f t="shared" si="22"/>
        <v>2162.5136600000001</v>
      </c>
      <c r="AE57" s="403">
        <f t="shared" si="22"/>
        <v>7706.3891299999996</v>
      </c>
      <c r="AF57" s="403">
        <f t="shared" si="22"/>
        <v>778.80866999999989</v>
      </c>
      <c r="AG57" s="403">
        <f t="shared" si="22"/>
        <v>867.67796999999973</v>
      </c>
      <c r="AH57" s="403">
        <f t="shared" si="22"/>
        <v>3202.8603799999996</v>
      </c>
      <c r="AI57" s="403">
        <f t="shared" si="22"/>
        <v>2118.6259599999998</v>
      </c>
      <c r="AJ57" s="403">
        <f t="shared" si="22"/>
        <v>-79.049780000000027</v>
      </c>
      <c r="AK57" s="403">
        <f t="shared" si="22"/>
        <v>779.56460000000004</v>
      </c>
      <c r="AL57" s="403">
        <f t="shared" si="22"/>
        <v>1715.0549699999999</v>
      </c>
      <c r="AM57" s="403">
        <f t="shared" si="22"/>
        <v>1664.9356599999999</v>
      </c>
      <c r="AN57" s="403">
        <f t="shared" si="22"/>
        <v>553.18579</v>
      </c>
      <c r="AO57" s="403">
        <f t="shared" si="22"/>
        <v>2469.4265300000002</v>
      </c>
      <c r="AP57" s="403">
        <f t="shared" si="22"/>
        <v>1983.17443</v>
      </c>
      <c r="AQ57" s="403">
        <f t="shared" si="22"/>
        <v>488.3806899999999</v>
      </c>
      <c r="AR57" s="403">
        <f t="shared" si="22"/>
        <v>1372.1976399999999</v>
      </c>
      <c r="AS57" s="403">
        <f t="shared" si="22"/>
        <v>720.73037000000011</v>
      </c>
      <c r="AT57" s="403">
        <f t="shared" si="22"/>
        <v>1726.8775000000001</v>
      </c>
      <c r="AU57" s="403">
        <f t="shared" si="22"/>
        <v>2647.9818500000001</v>
      </c>
      <c r="AV57" s="403">
        <f t="shared" si="22"/>
        <v>6526.6401900000001</v>
      </c>
      <c r="AW57" s="403">
        <f t="shared" si="22"/>
        <v>7053.4349899999997</v>
      </c>
    </row>
    <row r="58" spans="1:49" ht="15.75" customHeight="1">
      <c r="H58" s="404"/>
      <c r="I58" s="404"/>
      <c r="J58" s="3"/>
      <c r="K58" s="3"/>
      <c r="L58" s="3"/>
      <c r="P58" s="3"/>
      <c r="Q58" s="3"/>
    </row>
    <row r="59" spans="1:49" ht="15.75" customHeight="1">
      <c r="H59" s="404"/>
      <c r="I59" s="404"/>
      <c r="J59" s="3"/>
      <c r="K59" s="3"/>
      <c r="L59" s="3"/>
      <c r="P59" s="3"/>
      <c r="Q59" s="3"/>
    </row>
    <row r="60" spans="1:49" ht="15.75" customHeight="1">
      <c r="H60" s="395" t="s">
        <v>2197</v>
      </c>
      <c r="I60" s="395"/>
      <c r="J60" s="3"/>
      <c r="K60" s="3"/>
      <c r="L60" s="3"/>
      <c r="P60" s="3"/>
      <c r="Q60" s="3"/>
    </row>
    <row r="61" spans="1:49" ht="15.75" customHeight="1">
      <c r="H61" s="399"/>
      <c r="I61" s="399"/>
      <c r="J61" s="3"/>
      <c r="K61" s="3"/>
      <c r="L61" s="3"/>
      <c r="P61" s="3"/>
      <c r="Q61" s="3"/>
    </row>
    <row r="62" spans="1:49" ht="15.75" hidden="1" customHeight="1" outlineLevel="1">
      <c r="H62" s="396" t="s">
        <v>2198</v>
      </c>
      <c r="I62" s="396"/>
      <c r="J62" s="397"/>
      <c r="K62" s="397"/>
      <c r="L62" s="397"/>
      <c r="M62" s="397"/>
      <c r="N62" s="397"/>
      <c r="O62" s="397"/>
      <c r="P62" s="397">
        <v>62.864850000000004</v>
      </c>
      <c r="Q62" s="397">
        <v>20.909509999999997</v>
      </c>
      <c r="R62" s="397">
        <v>52.680519999999987</v>
      </c>
      <c r="S62" s="397">
        <v>69.633330000000001</v>
      </c>
      <c r="T62" s="397">
        <v>127.2676</v>
      </c>
      <c r="U62" s="397">
        <v>65.835390000000004</v>
      </c>
      <c r="V62" s="397">
        <v>100.80314999999999</v>
      </c>
      <c r="W62" s="397">
        <v>69.499380000000002</v>
      </c>
      <c r="X62" s="397">
        <v>0</v>
      </c>
      <c r="Y62" s="397">
        <v>30.752159999999996</v>
      </c>
      <c r="Z62" s="397">
        <v>37.719129999999993</v>
      </c>
      <c r="AA62" s="397">
        <v>22.005230000000001</v>
      </c>
      <c r="AB62" s="397">
        <v>82.117049999999992</v>
      </c>
      <c r="AC62" s="397">
        <v>73.43316999999999</v>
      </c>
      <c r="AD62" s="397">
        <v>47.660770000000007</v>
      </c>
      <c r="AE62" s="397">
        <v>186.55455999999998</v>
      </c>
      <c r="AF62" s="397">
        <v>10.42353</v>
      </c>
      <c r="AG62" s="397">
        <v>36.963990000000003</v>
      </c>
      <c r="AH62" s="397">
        <v>95.165489999999991</v>
      </c>
      <c r="AI62" s="397">
        <v>67.174790000000002</v>
      </c>
      <c r="AJ62" s="397">
        <v>0</v>
      </c>
      <c r="AK62" s="397">
        <v>36.031880000000008</v>
      </c>
      <c r="AL62" s="397">
        <v>50.289160000000003</v>
      </c>
      <c r="AM62" s="397">
        <v>59.172499999999992</v>
      </c>
      <c r="AN62" s="397">
        <v>29.723869999999998</v>
      </c>
      <c r="AO62" s="397">
        <v>123.33710000000001</v>
      </c>
      <c r="AP62" s="397">
        <v>102.88008999999998</v>
      </c>
      <c r="AQ62" s="397">
        <v>0.35754999999999998</v>
      </c>
      <c r="AR62" s="397">
        <v>59.221350000000008</v>
      </c>
      <c r="AS62" s="397">
        <v>63.161960000000015</v>
      </c>
      <c r="AT62" s="397">
        <v>70.523209999999992</v>
      </c>
      <c r="AU62" s="397">
        <v>102.81483</v>
      </c>
      <c r="AV62" s="397">
        <v>245.37988000000001</v>
      </c>
      <c r="AW62" s="397">
        <v>278.1191</v>
      </c>
    </row>
    <row r="63" spans="1:49" ht="15.75" hidden="1" customHeight="1" outlineLevel="1">
      <c r="H63" s="396" t="s">
        <v>2199</v>
      </c>
      <c r="I63" s="396"/>
      <c r="J63" s="397"/>
      <c r="K63" s="397"/>
      <c r="L63" s="397"/>
      <c r="M63" s="397"/>
      <c r="N63" s="397"/>
      <c r="O63" s="397"/>
      <c r="P63" s="397">
        <v>2.3737999999999997</v>
      </c>
      <c r="Q63" s="397">
        <v>0.58221000000000001</v>
      </c>
      <c r="R63" s="397">
        <v>3.5536300000000001</v>
      </c>
      <c r="S63" s="397">
        <v>1.5507599999999997</v>
      </c>
      <c r="T63" s="397">
        <v>7.1063900000000002</v>
      </c>
      <c r="U63" s="397">
        <v>1.44377</v>
      </c>
      <c r="V63" s="397">
        <v>3.5696500000000002</v>
      </c>
      <c r="W63" s="397">
        <v>1.9966100000000002</v>
      </c>
      <c r="X63" s="397">
        <v>0.19707999999999998</v>
      </c>
      <c r="Y63" s="397">
        <v>0.92273000000000016</v>
      </c>
      <c r="Z63" s="397">
        <v>1.1450600000000002</v>
      </c>
      <c r="AA63" s="397">
        <v>1.0358000000000003</v>
      </c>
      <c r="AB63" s="397">
        <v>2.8056000000000005</v>
      </c>
      <c r="AC63" s="397">
        <v>3.9894099999999995</v>
      </c>
      <c r="AD63" s="397">
        <v>2.2400199999999999</v>
      </c>
      <c r="AE63" s="397">
        <v>13.711949999999998</v>
      </c>
      <c r="AF63" s="397">
        <v>2.3280599999999998</v>
      </c>
      <c r="AG63" s="397">
        <v>1.6375199999999999</v>
      </c>
      <c r="AH63" s="397">
        <v>4.6723499999999989</v>
      </c>
      <c r="AI63" s="397">
        <v>3.3961599999999992</v>
      </c>
      <c r="AJ63" s="397">
        <v>0</v>
      </c>
      <c r="AK63" s="397">
        <v>2.11056</v>
      </c>
      <c r="AL63" s="397">
        <v>4.4385900000000005</v>
      </c>
      <c r="AM63" s="397">
        <v>3.9159600000000001</v>
      </c>
      <c r="AN63" s="397">
        <v>3.2131499999999997</v>
      </c>
      <c r="AO63" s="397">
        <v>6.4219599999999994</v>
      </c>
      <c r="AP63" s="397">
        <v>8.9592899999999993</v>
      </c>
      <c r="AQ63" s="397">
        <v>1.8799999999999999E-3</v>
      </c>
      <c r="AR63" s="397">
        <v>2.6752800000000008</v>
      </c>
      <c r="AS63" s="397">
        <v>0.79834000000000016</v>
      </c>
      <c r="AT63" s="397">
        <v>5.253029999999999</v>
      </c>
      <c r="AU63" s="397">
        <v>5.5116199999999997</v>
      </c>
      <c r="AV63" s="397">
        <v>17.376069999999999</v>
      </c>
      <c r="AW63" s="397">
        <v>8.5963600000000007</v>
      </c>
    </row>
    <row r="64" spans="1:49" ht="15.75" customHeight="1" collapsed="1">
      <c r="A64" s="401" t="s">
        <v>129</v>
      </c>
      <c r="H64" s="399" t="s">
        <v>129</v>
      </c>
      <c r="I64" s="399"/>
      <c r="J64" s="400">
        <f>SUMIFS($P64:$AW64,$P$3:$AW$3,J$4)</f>
        <v>1149.3133700000001</v>
      </c>
      <c r="K64" s="400">
        <f>J64-AE64-AF64</f>
        <v>936.29527000000019</v>
      </c>
      <c r="L64" s="400">
        <f t="shared" ref="L64:N64" si="23">SUMIFS($P64:$AW64,$P$3:$AW$3,L$4)</f>
        <v>814.31400999999994</v>
      </c>
      <c r="M64" s="400">
        <f t="shared" si="23"/>
        <v>288.73351000000002</v>
      </c>
      <c r="N64" s="400">
        <f t="shared" si="23"/>
        <v>286.71546000000001</v>
      </c>
      <c r="O64" s="400"/>
      <c r="P64" s="400">
        <f t="shared" ref="P64:AW64" si="24">SUBTOTAL(9,P62:P63)</f>
        <v>65.238650000000007</v>
      </c>
      <c r="Q64" s="400">
        <f t="shared" si="24"/>
        <v>21.491719999999997</v>
      </c>
      <c r="R64" s="400">
        <f t="shared" si="24"/>
        <v>56.234149999999985</v>
      </c>
      <c r="S64" s="400">
        <f t="shared" si="24"/>
        <v>71.184089999999998</v>
      </c>
      <c r="T64" s="400">
        <f t="shared" si="24"/>
        <v>134.37398999999999</v>
      </c>
      <c r="U64" s="400">
        <f t="shared" si="24"/>
        <v>67.279160000000005</v>
      </c>
      <c r="V64" s="400">
        <f t="shared" si="24"/>
        <v>104.37279999999998</v>
      </c>
      <c r="W64" s="400">
        <f t="shared" si="24"/>
        <v>71.495990000000006</v>
      </c>
      <c r="X64" s="400">
        <f t="shared" si="24"/>
        <v>0.19707999999999998</v>
      </c>
      <c r="Y64" s="400">
        <f t="shared" si="24"/>
        <v>31.674889999999998</v>
      </c>
      <c r="Z64" s="400">
        <f t="shared" si="24"/>
        <v>38.864189999999994</v>
      </c>
      <c r="AA64" s="400">
        <f t="shared" si="24"/>
        <v>23.041030000000003</v>
      </c>
      <c r="AB64" s="400">
        <f t="shared" si="24"/>
        <v>84.92264999999999</v>
      </c>
      <c r="AC64" s="400">
        <f t="shared" si="24"/>
        <v>77.422579999999982</v>
      </c>
      <c r="AD64" s="400">
        <f t="shared" si="24"/>
        <v>49.900790000000008</v>
      </c>
      <c r="AE64" s="400">
        <f t="shared" si="24"/>
        <v>200.26650999999998</v>
      </c>
      <c r="AF64" s="400">
        <f t="shared" si="24"/>
        <v>12.75159</v>
      </c>
      <c r="AG64" s="400">
        <f t="shared" si="24"/>
        <v>38.601510000000005</v>
      </c>
      <c r="AH64" s="400">
        <f t="shared" si="24"/>
        <v>99.837839999999986</v>
      </c>
      <c r="AI64" s="400">
        <f t="shared" si="24"/>
        <v>70.570949999999996</v>
      </c>
      <c r="AJ64" s="400">
        <f t="shared" si="24"/>
        <v>0</v>
      </c>
      <c r="AK64" s="400">
        <f t="shared" si="24"/>
        <v>38.142440000000008</v>
      </c>
      <c r="AL64" s="400">
        <f t="shared" si="24"/>
        <v>54.72775</v>
      </c>
      <c r="AM64" s="400">
        <f t="shared" si="24"/>
        <v>63.088459999999991</v>
      </c>
      <c r="AN64" s="400">
        <f t="shared" si="24"/>
        <v>32.937019999999997</v>
      </c>
      <c r="AO64" s="400">
        <f t="shared" si="24"/>
        <v>129.75906000000001</v>
      </c>
      <c r="AP64" s="400">
        <f t="shared" si="24"/>
        <v>111.83937999999998</v>
      </c>
      <c r="AQ64" s="400">
        <f t="shared" si="24"/>
        <v>0.35942999999999997</v>
      </c>
      <c r="AR64" s="400">
        <f t="shared" si="24"/>
        <v>61.896630000000009</v>
      </c>
      <c r="AS64" s="400">
        <f t="shared" si="24"/>
        <v>63.960300000000018</v>
      </c>
      <c r="AT64" s="400">
        <f t="shared" si="24"/>
        <v>75.776239999999987</v>
      </c>
      <c r="AU64" s="400">
        <f t="shared" si="24"/>
        <v>108.32644999999999</v>
      </c>
      <c r="AV64" s="400">
        <f t="shared" si="24"/>
        <v>262.75594999999998</v>
      </c>
      <c r="AW64" s="400">
        <f t="shared" si="24"/>
        <v>286.71546000000001</v>
      </c>
    </row>
    <row r="65" spans="1:49" ht="15.75" hidden="1" customHeight="1" outlineLevel="1">
      <c r="H65" s="396" t="s">
        <v>2200</v>
      </c>
      <c r="I65" s="396"/>
      <c r="J65" s="397"/>
      <c r="K65" s="397"/>
      <c r="L65" s="397"/>
      <c r="M65" s="397"/>
      <c r="N65" s="397"/>
      <c r="O65" s="397"/>
      <c r="P65" s="397">
        <v>21.156010000000002</v>
      </c>
      <c r="Q65" s="397">
        <v>10.717630000000002</v>
      </c>
      <c r="R65" s="397">
        <v>12.518920000000001</v>
      </c>
      <c r="S65" s="397">
        <v>13.619119999999997</v>
      </c>
      <c r="T65" s="397">
        <v>39.291170000000001</v>
      </c>
      <c r="U65" s="397">
        <v>20.51493</v>
      </c>
      <c r="V65" s="397">
        <v>32.258710000000001</v>
      </c>
      <c r="W65" s="397">
        <v>26.107219999999998</v>
      </c>
      <c r="X65" s="397">
        <v>0</v>
      </c>
      <c r="Y65" s="397">
        <v>10.48939</v>
      </c>
      <c r="Z65" s="397">
        <v>6.1590000000000007</v>
      </c>
      <c r="AA65" s="397">
        <v>6.3475100000000007</v>
      </c>
      <c r="AB65" s="397">
        <v>9.3254399999999986</v>
      </c>
      <c r="AC65" s="397">
        <v>23.722729999999999</v>
      </c>
      <c r="AD65" s="397">
        <v>26.391369999999998</v>
      </c>
      <c r="AE65" s="397">
        <v>143.75416000000001</v>
      </c>
      <c r="AF65" s="397">
        <v>6.9306000000000001</v>
      </c>
      <c r="AG65" s="397">
        <v>8.7071100000000001</v>
      </c>
      <c r="AH65" s="397">
        <v>46.900260000000003</v>
      </c>
      <c r="AI65" s="397">
        <v>33.60568</v>
      </c>
      <c r="AJ65" s="397">
        <v>0</v>
      </c>
      <c r="AK65" s="397">
        <v>13.85402</v>
      </c>
      <c r="AL65" s="397">
        <v>24.139019999999995</v>
      </c>
      <c r="AM65" s="397">
        <v>35.64546</v>
      </c>
      <c r="AN65" s="397">
        <v>8.7711199999999998</v>
      </c>
      <c r="AO65" s="397">
        <v>69.870639999999995</v>
      </c>
      <c r="AP65" s="397">
        <v>38.184429999999999</v>
      </c>
      <c r="AQ65" s="397">
        <v>0</v>
      </c>
      <c r="AR65" s="397">
        <v>38.319159999999997</v>
      </c>
      <c r="AS65" s="397">
        <v>6.3688499999999992</v>
      </c>
      <c r="AT65" s="397">
        <v>56.657380000000003</v>
      </c>
      <c r="AU65" s="397">
        <v>66.289720000000003</v>
      </c>
      <c r="AV65" s="397">
        <v>213.64107999999999</v>
      </c>
      <c r="AW65" s="397">
        <v>97.25348000000001</v>
      </c>
    </row>
    <row r="66" spans="1:49" ht="15.75" hidden="1" customHeight="1" outlineLevel="1">
      <c r="H66" s="396" t="s">
        <v>2201</v>
      </c>
      <c r="I66" s="396"/>
      <c r="J66" s="397"/>
      <c r="K66" s="397"/>
      <c r="L66" s="397"/>
      <c r="M66" s="397"/>
      <c r="N66" s="397"/>
      <c r="O66" s="397"/>
      <c r="P66" s="397">
        <v>11.77984</v>
      </c>
      <c r="Q66" s="397">
        <v>2.2140599999999999</v>
      </c>
      <c r="R66" s="397">
        <v>4.8709600000000002</v>
      </c>
      <c r="S66" s="397">
        <v>3.9402399999999997</v>
      </c>
      <c r="T66" s="397">
        <v>10.582780000000001</v>
      </c>
      <c r="U66" s="397">
        <v>7.8890099999999999</v>
      </c>
      <c r="V66" s="397">
        <v>11.338050000000001</v>
      </c>
      <c r="W66" s="397">
        <v>10.20631</v>
      </c>
      <c r="X66" s="397">
        <v>0</v>
      </c>
      <c r="Y66" s="397">
        <v>2.0443800000000003</v>
      </c>
      <c r="Z66" s="397">
        <v>1.6297900000000003</v>
      </c>
      <c r="AA66" s="397">
        <v>1.8601599999999998</v>
      </c>
      <c r="AB66" s="397">
        <v>3.8587999999999996</v>
      </c>
      <c r="AC66" s="397">
        <v>7.4508499999999991</v>
      </c>
      <c r="AD66" s="397">
        <v>7.7729799999999996</v>
      </c>
      <c r="AE66" s="397">
        <v>62.645109999999995</v>
      </c>
      <c r="AF66" s="397">
        <v>3.4059400000000002</v>
      </c>
      <c r="AG66" s="397">
        <v>1.4805899999999996</v>
      </c>
      <c r="AH66" s="397">
        <v>11.896559999999999</v>
      </c>
      <c r="AI66" s="397">
        <v>12.27732</v>
      </c>
      <c r="AJ66" s="397">
        <v>0</v>
      </c>
      <c r="AK66" s="397">
        <v>5.1772</v>
      </c>
      <c r="AL66" s="397">
        <v>5.7605900000000005</v>
      </c>
      <c r="AM66" s="397">
        <v>6.0214799999999995</v>
      </c>
      <c r="AN66" s="397">
        <v>2.1860300000000001</v>
      </c>
      <c r="AO66" s="397">
        <v>7.0250500000000002</v>
      </c>
      <c r="AP66" s="397">
        <v>7.2195499999999999</v>
      </c>
      <c r="AQ66" s="397">
        <v>0</v>
      </c>
      <c r="AR66" s="397">
        <v>3.70628</v>
      </c>
      <c r="AS66" s="397">
        <v>0.32467000000000001</v>
      </c>
      <c r="AT66" s="397">
        <v>5.8580099999999993</v>
      </c>
      <c r="AU66" s="397">
        <v>4.3039400000000008</v>
      </c>
      <c r="AV66" s="397">
        <v>21.670360000000002</v>
      </c>
      <c r="AW66" s="397">
        <v>34.701790000000003</v>
      </c>
    </row>
    <row r="67" spans="1:49" ht="15.75" hidden="1" customHeight="1" outlineLevel="1">
      <c r="H67" s="396" t="s">
        <v>2202</v>
      </c>
      <c r="I67" s="396"/>
      <c r="J67" s="397"/>
      <c r="K67" s="397"/>
      <c r="L67" s="397"/>
      <c r="M67" s="397"/>
      <c r="N67" s="397"/>
      <c r="O67" s="397"/>
      <c r="P67" s="397">
        <v>5.8349499999999992</v>
      </c>
      <c r="Q67" s="397">
        <v>2.6660900000000001</v>
      </c>
      <c r="R67" s="397">
        <v>2.7280500000000001</v>
      </c>
      <c r="S67" s="397">
        <v>4.5805699999999998</v>
      </c>
      <c r="T67" s="397">
        <v>7.6188899999999995</v>
      </c>
      <c r="U67" s="397">
        <v>2.8809499999999995</v>
      </c>
      <c r="V67" s="397">
        <v>7.547670000000001</v>
      </c>
      <c r="W67" s="397">
        <v>5.7657499999999997</v>
      </c>
      <c r="X67" s="397">
        <v>0</v>
      </c>
      <c r="Y67" s="397">
        <v>3.41005</v>
      </c>
      <c r="Z67" s="397">
        <v>1.3833299999999999</v>
      </c>
      <c r="AA67" s="397">
        <v>2.8041200000000002</v>
      </c>
      <c r="AB67" s="397">
        <v>2.2275500000000008</v>
      </c>
      <c r="AC67" s="397">
        <v>4.3577500000000002</v>
      </c>
      <c r="AD67" s="397">
        <v>8.306280000000001</v>
      </c>
      <c r="AE67" s="397">
        <v>30.576150000000002</v>
      </c>
      <c r="AF67" s="397">
        <v>2.7248100000000006</v>
      </c>
      <c r="AG67" s="397">
        <v>1.7497100000000001</v>
      </c>
      <c r="AH67" s="397">
        <v>3.4573700000000001</v>
      </c>
      <c r="AI67" s="397">
        <v>3.59192</v>
      </c>
      <c r="AJ67" s="397">
        <v>0.21276</v>
      </c>
      <c r="AK67" s="397">
        <v>1.1096300000000001</v>
      </c>
      <c r="AL67" s="397">
        <v>2.1852399999999998</v>
      </c>
      <c r="AM67" s="397">
        <v>2.9988600000000001</v>
      </c>
      <c r="AN67" s="397">
        <v>1.0082500000000001</v>
      </c>
      <c r="AO67" s="397">
        <v>3.6040100000000002</v>
      </c>
      <c r="AP67" s="397">
        <v>3.2158700000000002</v>
      </c>
      <c r="AQ67" s="397">
        <v>0</v>
      </c>
      <c r="AR67" s="397">
        <v>1.8814199999999999</v>
      </c>
      <c r="AS67" s="397">
        <v>2.6277900000000005</v>
      </c>
      <c r="AT67" s="397">
        <v>6.1986100000000004</v>
      </c>
      <c r="AU67" s="397">
        <v>4.7080399999999996</v>
      </c>
      <c r="AV67" s="397">
        <v>8.6707099999999997</v>
      </c>
      <c r="AW67" s="397">
        <v>11.52684</v>
      </c>
    </row>
    <row r="68" spans="1:49" ht="15.75" hidden="1" customHeight="1" outlineLevel="1">
      <c r="H68" s="396" t="s">
        <v>2203</v>
      </c>
      <c r="I68" s="396"/>
      <c r="J68" s="397"/>
      <c r="K68" s="397"/>
      <c r="L68" s="397"/>
      <c r="M68" s="397"/>
      <c r="N68" s="397"/>
      <c r="O68" s="397"/>
      <c r="P68" s="397">
        <v>14.112540000000003</v>
      </c>
      <c r="Q68" s="397">
        <v>7.4719500000000005</v>
      </c>
      <c r="R68" s="397">
        <v>9.2364899999999999</v>
      </c>
      <c r="S68" s="397">
        <v>7.7171799999999999</v>
      </c>
      <c r="T68" s="397">
        <v>22.558629999999997</v>
      </c>
      <c r="U68" s="397">
        <v>11.836180000000001</v>
      </c>
      <c r="V68" s="397">
        <v>24.114769999999996</v>
      </c>
      <c r="W68" s="397">
        <v>21.752310000000001</v>
      </c>
      <c r="X68" s="397">
        <v>0</v>
      </c>
      <c r="Y68" s="397">
        <v>8.5352700000000006</v>
      </c>
      <c r="Z68" s="397">
        <v>4.5048999999999992</v>
      </c>
      <c r="AA68" s="397">
        <v>5.2836400000000001</v>
      </c>
      <c r="AB68" s="397">
        <v>6.9197100000000011</v>
      </c>
      <c r="AC68" s="397">
        <v>15.32443</v>
      </c>
      <c r="AD68" s="397">
        <v>17.532550000000001</v>
      </c>
      <c r="AE68" s="397">
        <v>34.956650000000003</v>
      </c>
      <c r="AF68" s="397">
        <v>5.2429399999999999</v>
      </c>
      <c r="AG68" s="397">
        <v>8.2794299999999996</v>
      </c>
      <c r="AH68" s="397">
        <v>18.066899999999997</v>
      </c>
      <c r="AI68" s="397">
        <v>14.589880000000001</v>
      </c>
      <c r="AJ68" s="397">
        <v>0</v>
      </c>
      <c r="AK68" s="397">
        <v>5.2483900000000006</v>
      </c>
      <c r="AL68" s="397">
        <v>11.80584</v>
      </c>
      <c r="AM68" s="397">
        <v>10.163680000000001</v>
      </c>
      <c r="AN68" s="397">
        <v>4.2431899999999994</v>
      </c>
      <c r="AO68" s="397">
        <v>16.836509999999997</v>
      </c>
      <c r="AP68" s="397">
        <v>10.89859</v>
      </c>
      <c r="AQ68" s="397">
        <v>0</v>
      </c>
      <c r="AR68" s="397">
        <v>8.2479599999999991</v>
      </c>
      <c r="AS68" s="397">
        <v>0.95426999999999995</v>
      </c>
      <c r="AT68" s="397">
        <v>10.08886</v>
      </c>
      <c r="AU68" s="397">
        <v>12.206990000000001</v>
      </c>
      <c r="AV68" s="397">
        <v>29.5181</v>
      </c>
      <c r="AW68" s="397">
        <v>45.354050000000001</v>
      </c>
    </row>
    <row r="69" spans="1:49" ht="15.75" hidden="1" customHeight="1" outlineLevel="1">
      <c r="H69" s="396" t="s">
        <v>2204</v>
      </c>
      <c r="I69" s="396"/>
      <c r="J69" s="397"/>
      <c r="K69" s="397"/>
      <c r="L69" s="397"/>
      <c r="M69" s="397"/>
      <c r="N69" s="397"/>
      <c r="O69" s="397"/>
      <c r="P69" s="397">
        <v>5.4613800000000001</v>
      </c>
      <c r="Q69" s="397">
        <v>2.44258</v>
      </c>
      <c r="R69" s="397">
        <v>3.2436000000000003</v>
      </c>
      <c r="S69" s="397">
        <v>2.4223399999999997</v>
      </c>
      <c r="T69" s="397">
        <v>9.3127700000000004</v>
      </c>
      <c r="U69" s="397">
        <v>5.0616300000000001</v>
      </c>
      <c r="V69" s="397">
        <v>8.2879799999999992</v>
      </c>
      <c r="W69" s="397">
        <v>5.3712999999999997</v>
      </c>
      <c r="X69" s="397">
        <v>0</v>
      </c>
      <c r="Y69" s="397">
        <v>1.7964099999999996</v>
      </c>
      <c r="Z69" s="397">
        <v>1.5019</v>
      </c>
      <c r="AA69" s="397">
        <v>1.6726399999999999</v>
      </c>
      <c r="AB69" s="397">
        <v>2.1620100000000004</v>
      </c>
      <c r="AC69" s="397">
        <v>4.8975400000000002</v>
      </c>
      <c r="AD69" s="397">
        <v>5.2282700000000002</v>
      </c>
      <c r="AE69" s="397">
        <v>14.34084</v>
      </c>
      <c r="AF69" s="397">
        <v>1.8353700000000002</v>
      </c>
      <c r="AG69" s="397">
        <v>1.9058100000000002</v>
      </c>
      <c r="AH69" s="397">
        <v>6.1216099999999996</v>
      </c>
      <c r="AI69" s="397">
        <v>5.39839</v>
      </c>
      <c r="AJ69" s="397">
        <v>0</v>
      </c>
      <c r="AK69" s="397">
        <v>1.6189200000000001</v>
      </c>
      <c r="AL69" s="397">
        <v>2.8452200000000003</v>
      </c>
      <c r="AM69" s="397">
        <v>4.3170999999999999</v>
      </c>
      <c r="AN69" s="397">
        <v>4.1686100000000001</v>
      </c>
      <c r="AO69" s="397">
        <v>5.2035399999999994</v>
      </c>
      <c r="AP69" s="397">
        <v>2.0005299999999999</v>
      </c>
      <c r="AQ69" s="397">
        <v>0</v>
      </c>
      <c r="AR69" s="397">
        <v>1.5258400000000001</v>
      </c>
      <c r="AS69" s="397">
        <v>0.34501999999999999</v>
      </c>
      <c r="AT69" s="397">
        <v>2.8193299999999999</v>
      </c>
      <c r="AU69" s="397">
        <v>2.7943000000000002</v>
      </c>
      <c r="AV69" s="397">
        <v>5.7305299999999999</v>
      </c>
      <c r="AW69" s="397">
        <v>9.9855099999999997</v>
      </c>
    </row>
    <row r="70" spans="1:49" ht="15.75" hidden="1" customHeight="1" outlineLevel="1">
      <c r="H70" s="396" t="s">
        <v>2205</v>
      </c>
      <c r="I70" s="396"/>
      <c r="J70" s="397"/>
      <c r="K70" s="397"/>
      <c r="L70" s="397"/>
      <c r="M70" s="397"/>
      <c r="N70" s="397"/>
      <c r="O70" s="397"/>
      <c r="P70" s="397">
        <v>2.5991900000000001</v>
      </c>
      <c r="Q70" s="397">
        <v>0.13072999999999999</v>
      </c>
      <c r="R70" s="397">
        <v>1.2244099999999998</v>
      </c>
      <c r="S70" s="397">
        <v>0.28228999999999999</v>
      </c>
      <c r="T70" s="397">
        <v>2.0367000000000002</v>
      </c>
      <c r="U70" s="397">
        <v>1.4131500000000001</v>
      </c>
      <c r="V70" s="397">
        <v>61.314269999999993</v>
      </c>
      <c r="W70" s="397">
        <v>1.5895900000000001</v>
      </c>
      <c r="X70" s="397">
        <v>0</v>
      </c>
      <c r="Y70" s="397">
        <v>1.1304700000000001</v>
      </c>
      <c r="Z70" s="397">
        <v>0.15390000000000001</v>
      </c>
      <c r="AA70" s="397">
        <v>0.26744999999999997</v>
      </c>
      <c r="AB70" s="397">
        <v>0.74330999999999992</v>
      </c>
      <c r="AC70" s="397">
        <v>3.1482800000000006</v>
      </c>
      <c r="AD70" s="397">
        <v>0.62498999999999993</v>
      </c>
      <c r="AE70" s="397">
        <v>60.102270000000004</v>
      </c>
      <c r="AF70" s="397">
        <v>0.42874000000000001</v>
      </c>
      <c r="AG70" s="397">
        <v>1.23359</v>
      </c>
      <c r="AH70" s="397">
        <v>3.8187599999999997</v>
      </c>
      <c r="AI70" s="397">
        <v>5.3108500000000003</v>
      </c>
      <c r="AJ70" s="397">
        <v>0</v>
      </c>
      <c r="AK70" s="397">
        <v>0.74527999999999994</v>
      </c>
      <c r="AL70" s="397">
        <v>3.1948199999999995</v>
      </c>
      <c r="AM70" s="397">
        <v>2.32918</v>
      </c>
      <c r="AN70" s="397">
        <v>0</v>
      </c>
      <c r="AO70" s="397">
        <v>3.2604500000000001</v>
      </c>
      <c r="AP70" s="397">
        <v>1.7629300000000001</v>
      </c>
      <c r="AQ70" s="397">
        <v>0</v>
      </c>
      <c r="AR70" s="397">
        <v>1.1499999999999999</v>
      </c>
      <c r="AS70" s="397">
        <v>0.3</v>
      </c>
      <c r="AT70" s="397">
        <v>2.3717300000000003</v>
      </c>
      <c r="AU70" s="397">
        <v>2.7193100000000001</v>
      </c>
      <c r="AV70" s="397">
        <v>27.40222</v>
      </c>
      <c r="AW70" s="397">
        <v>1.7364099999999998</v>
      </c>
    </row>
    <row r="71" spans="1:49" ht="15.75" hidden="1" customHeight="1" outlineLevel="1">
      <c r="H71" s="396" t="s">
        <v>2206</v>
      </c>
      <c r="I71" s="396"/>
      <c r="J71" s="397"/>
      <c r="K71" s="397"/>
      <c r="L71" s="397"/>
      <c r="M71" s="397"/>
      <c r="N71" s="397"/>
      <c r="O71" s="397"/>
      <c r="P71" s="397">
        <v>43.73874</v>
      </c>
      <c r="Q71" s="397">
        <v>18.393809999999998</v>
      </c>
      <c r="R71" s="397">
        <v>36.084499999999998</v>
      </c>
      <c r="S71" s="397">
        <v>47.857520000000001</v>
      </c>
      <c r="T71" s="397">
        <v>72.443839999999994</v>
      </c>
      <c r="U71" s="397">
        <v>31.536530000000003</v>
      </c>
      <c r="V71" s="397">
        <v>55.873599999999989</v>
      </c>
      <c r="W71" s="397">
        <v>45.769579999999998</v>
      </c>
      <c r="X71" s="397">
        <v>41.674129999999998</v>
      </c>
      <c r="Y71" s="397">
        <v>23.534839999999999</v>
      </c>
      <c r="Z71" s="397">
        <v>26.007989999999996</v>
      </c>
      <c r="AA71" s="397">
        <v>20.705179999999995</v>
      </c>
      <c r="AB71" s="397">
        <v>26.152959999999997</v>
      </c>
      <c r="AC71" s="397">
        <v>50.335160000000002</v>
      </c>
      <c r="AD71" s="397">
        <v>44.35284</v>
      </c>
      <c r="AE71" s="397">
        <v>108.22963</v>
      </c>
      <c r="AF71" s="397">
        <v>30.585900000000009</v>
      </c>
      <c r="AG71" s="397">
        <v>18.592220000000001</v>
      </c>
      <c r="AH71" s="397">
        <v>59.732639999999996</v>
      </c>
      <c r="AI71" s="397">
        <v>48.654159999999997</v>
      </c>
      <c r="AJ71" s="397">
        <v>0</v>
      </c>
      <c r="AK71" s="397">
        <v>20.049519999999998</v>
      </c>
      <c r="AL71" s="397">
        <v>39.994970000000002</v>
      </c>
      <c r="AM71" s="397">
        <v>40.178069999999998</v>
      </c>
      <c r="AN71" s="397">
        <v>15.448370000000001</v>
      </c>
      <c r="AO71" s="397">
        <v>69.075690000000009</v>
      </c>
      <c r="AP71" s="397">
        <v>78.427489999999992</v>
      </c>
      <c r="AQ71" s="397">
        <v>0</v>
      </c>
      <c r="AR71" s="397">
        <v>41.6432</v>
      </c>
      <c r="AS71" s="397">
        <v>16.933330000000002</v>
      </c>
      <c r="AT71" s="397">
        <v>42.794589999999999</v>
      </c>
      <c r="AU71" s="397">
        <v>57.076709999999999</v>
      </c>
      <c r="AV71" s="397">
        <v>142.40707999999998</v>
      </c>
      <c r="AW71" s="397">
        <v>111.71241999999999</v>
      </c>
    </row>
    <row r="72" spans="1:49" ht="15.75" hidden="1" customHeight="1" outlineLevel="1">
      <c r="H72" s="396" t="s">
        <v>2207</v>
      </c>
      <c r="I72" s="396"/>
      <c r="J72" s="397"/>
      <c r="K72" s="397"/>
      <c r="L72" s="397"/>
      <c r="M72" s="397"/>
      <c r="N72" s="397"/>
      <c r="O72" s="397"/>
      <c r="P72" s="397">
        <v>0</v>
      </c>
      <c r="Q72" s="397">
        <v>0</v>
      </c>
      <c r="R72" s="397">
        <v>0</v>
      </c>
      <c r="S72" s="397">
        <v>0</v>
      </c>
      <c r="T72" s="397">
        <v>0</v>
      </c>
      <c r="U72" s="397">
        <v>0</v>
      </c>
      <c r="V72" s="397">
        <v>0</v>
      </c>
      <c r="W72" s="397">
        <v>0</v>
      </c>
      <c r="X72" s="397">
        <v>0</v>
      </c>
      <c r="Y72" s="397">
        <v>0</v>
      </c>
      <c r="Z72" s="397">
        <v>0</v>
      </c>
      <c r="AA72" s="397">
        <v>0</v>
      </c>
      <c r="AB72" s="397">
        <v>0</v>
      </c>
      <c r="AC72" s="397">
        <v>0</v>
      </c>
      <c r="AD72" s="397">
        <v>0</v>
      </c>
      <c r="AE72" s="397">
        <v>0</v>
      </c>
      <c r="AF72" s="397">
        <v>0</v>
      </c>
      <c r="AG72" s="397">
        <v>0</v>
      </c>
      <c r="AH72" s="397">
        <v>0</v>
      </c>
      <c r="AI72" s="397">
        <v>0</v>
      </c>
      <c r="AJ72" s="397">
        <v>0</v>
      </c>
      <c r="AK72" s="397">
        <v>0</v>
      </c>
      <c r="AL72" s="397">
        <v>0</v>
      </c>
      <c r="AM72" s="397">
        <v>0</v>
      </c>
      <c r="AN72" s="397">
        <v>0</v>
      </c>
      <c r="AO72" s="397">
        <v>0</v>
      </c>
      <c r="AP72" s="397">
        <v>0</v>
      </c>
      <c r="AQ72" s="397">
        <v>0</v>
      </c>
      <c r="AR72" s="397">
        <v>0</v>
      </c>
      <c r="AS72" s="397">
        <v>0</v>
      </c>
      <c r="AT72" s="397">
        <v>0</v>
      </c>
      <c r="AU72" s="397">
        <v>0</v>
      </c>
      <c r="AV72" s="397">
        <v>0</v>
      </c>
      <c r="AW72" s="397">
        <v>0</v>
      </c>
    </row>
    <row r="73" spans="1:49" ht="15.75" hidden="1" customHeight="1" outlineLevel="1">
      <c r="H73" s="396" t="s">
        <v>2208</v>
      </c>
      <c r="I73" s="396"/>
      <c r="J73" s="397"/>
      <c r="K73" s="397"/>
      <c r="L73" s="397"/>
      <c r="M73" s="397"/>
      <c r="N73" s="397"/>
      <c r="O73" s="397"/>
      <c r="P73" s="397">
        <v>0</v>
      </c>
      <c r="Q73" s="397">
        <v>0</v>
      </c>
      <c r="R73" s="397">
        <v>0</v>
      </c>
      <c r="S73" s="397">
        <v>0</v>
      </c>
      <c r="T73" s="397">
        <v>0</v>
      </c>
      <c r="U73" s="397">
        <v>0</v>
      </c>
      <c r="V73" s="397">
        <v>0</v>
      </c>
      <c r="W73" s="397">
        <v>0</v>
      </c>
      <c r="X73" s="397">
        <v>0</v>
      </c>
      <c r="Y73" s="397">
        <v>0</v>
      </c>
      <c r="Z73" s="397">
        <v>0</v>
      </c>
      <c r="AA73" s="397">
        <v>0</v>
      </c>
      <c r="AB73" s="397">
        <v>0</v>
      </c>
      <c r="AC73" s="397">
        <v>0</v>
      </c>
      <c r="AD73" s="397">
        <v>0</v>
      </c>
      <c r="AE73" s="397">
        <v>0</v>
      </c>
      <c r="AF73" s="397">
        <v>0</v>
      </c>
      <c r="AG73" s="397">
        <v>0</v>
      </c>
      <c r="AH73" s="397">
        <v>0</v>
      </c>
      <c r="AI73" s="397">
        <v>0</v>
      </c>
      <c r="AJ73" s="397">
        <v>0</v>
      </c>
      <c r="AK73" s="397">
        <v>0</v>
      </c>
      <c r="AL73" s="397">
        <v>0</v>
      </c>
      <c r="AM73" s="397">
        <v>0</v>
      </c>
      <c r="AN73" s="397">
        <v>0</v>
      </c>
      <c r="AO73" s="397">
        <v>0</v>
      </c>
      <c r="AP73" s="397">
        <v>0</v>
      </c>
      <c r="AQ73" s="397">
        <v>0</v>
      </c>
      <c r="AR73" s="397">
        <v>0</v>
      </c>
      <c r="AS73" s="397">
        <v>0</v>
      </c>
      <c r="AT73" s="397">
        <v>0</v>
      </c>
      <c r="AU73" s="397">
        <v>0</v>
      </c>
      <c r="AV73" s="397">
        <v>0</v>
      </c>
      <c r="AW73" s="397">
        <v>0</v>
      </c>
    </row>
    <row r="74" spans="1:49" ht="15.75" hidden="1" customHeight="1" outlineLevel="1">
      <c r="H74" s="396" t="s">
        <v>2209</v>
      </c>
      <c r="I74" s="396"/>
      <c r="J74" s="397"/>
      <c r="K74" s="397"/>
      <c r="L74" s="397"/>
      <c r="M74" s="397"/>
      <c r="N74" s="397"/>
      <c r="O74" s="397"/>
      <c r="P74" s="397">
        <v>0</v>
      </c>
      <c r="Q74" s="397">
        <v>0</v>
      </c>
      <c r="R74" s="397">
        <v>0</v>
      </c>
      <c r="S74" s="397">
        <v>0</v>
      </c>
      <c r="T74" s="397">
        <v>0</v>
      </c>
      <c r="U74" s="397">
        <v>0</v>
      </c>
      <c r="V74" s="397">
        <v>0</v>
      </c>
      <c r="W74" s="397">
        <v>0</v>
      </c>
      <c r="X74" s="397">
        <v>0</v>
      </c>
      <c r="Y74" s="397">
        <v>0</v>
      </c>
      <c r="Z74" s="397">
        <v>0</v>
      </c>
      <c r="AA74" s="397">
        <v>0</v>
      </c>
      <c r="AB74" s="397">
        <v>0</v>
      </c>
      <c r="AC74" s="397">
        <v>0</v>
      </c>
      <c r="AD74" s="397">
        <v>0</v>
      </c>
      <c r="AE74" s="397">
        <v>0</v>
      </c>
      <c r="AF74" s="397">
        <v>0</v>
      </c>
      <c r="AG74" s="397">
        <v>0</v>
      </c>
      <c r="AH74" s="397">
        <v>0</v>
      </c>
      <c r="AI74" s="397">
        <v>0</v>
      </c>
      <c r="AJ74" s="397">
        <v>0</v>
      </c>
      <c r="AK74" s="397">
        <v>0</v>
      </c>
      <c r="AL74" s="397">
        <v>0</v>
      </c>
      <c r="AM74" s="397">
        <v>0</v>
      </c>
      <c r="AN74" s="397">
        <v>0</v>
      </c>
      <c r="AO74" s="397">
        <v>0</v>
      </c>
      <c r="AP74" s="397">
        <v>0</v>
      </c>
      <c r="AQ74" s="397">
        <v>0</v>
      </c>
      <c r="AR74" s="397">
        <v>0</v>
      </c>
      <c r="AS74" s="397">
        <v>0</v>
      </c>
      <c r="AT74" s="397">
        <v>0</v>
      </c>
      <c r="AU74" s="397">
        <v>0</v>
      </c>
      <c r="AV74" s="397">
        <v>0</v>
      </c>
      <c r="AW74" s="397">
        <v>0</v>
      </c>
    </row>
    <row r="75" spans="1:49" ht="15.75" customHeight="1" collapsed="1">
      <c r="A75" s="3" t="s">
        <v>132</v>
      </c>
      <c r="H75" s="399" t="s">
        <v>132</v>
      </c>
      <c r="I75" s="399"/>
      <c r="J75" s="400">
        <f t="shared" ref="J75:J79" si="25">SUMIFS($P75:$AW75,$P$3:$AW$3,J$4)</f>
        <v>1852.7597800000001</v>
      </c>
      <c r="K75" s="400">
        <f t="shared" ref="K75:K79" si="26">J75-AE75-AF75</f>
        <v>1347.0006700000001</v>
      </c>
      <c r="L75" s="400">
        <f t="shared" ref="L75:N75" si="27">SUMIFS($P75:$AW75,$P$3:$AW$3,L$4)</f>
        <v>1166.84067</v>
      </c>
      <c r="M75" s="400">
        <f t="shared" si="27"/>
        <v>425.41491999999994</v>
      </c>
      <c r="N75" s="400">
        <f t="shared" si="27"/>
        <v>312.27050000000003</v>
      </c>
      <c r="O75" s="400"/>
      <c r="P75" s="400">
        <f t="shared" ref="P75:AW75" si="28">SUBTOTAL(9,P65:P74)</f>
        <v>104.68265</v>
      </c>
      <c r="Q75" s="400">
        <f t="shared" si="28"/>
        <v>44.036850000000001</v>
      </c>
      <c r="R75" s="400">
        <f t="shared" si="28"/>
        <v>69.906929999999988</v>
      </c>
      <c r="S75" s="400">
        <f t="shared" si="28"/>
        <v>80.419260000000008</v>
      </c>
      <c r="T75" s="400">
        <f t="shared" si="28"/>
        <v>163.84477999999999</v>
      </c>
      <c r="U75" s="400">
        <f t="shared" si="28"/>
        <v>81.132379999999998</v>
      </c>
      <c r="V75" s="400">
        <f t="shared" si="28"/>
        <v>200.73504999999997</v>
      </c>
      <c r="W75" s="400">
        <f t="shared" si="28"/>
        <v>116.56206</v>
      </c>
      <c r="X75" s="400">
        <f t="shared" si="28"/>
        <v>41.674129999999998</v>
      </c>
      <c r="Y75" s="400">
        <f t="shared" si="28"/>
        <v>50.940809999999999</v>
      </c>
      <c r="Z75" s="400">
        <f t="shared" si="28"/>
        <v>41.340809999999991</v>
      </c>
      <c r="AA75" s="400">
        <f t="shared" si="28"/>
        <v>38.9407</v>
      </c>
      <c r="AB75" s="400">
        <f t="shared" si="28"/>
        <v>51.389780000000002</v>
      </c>
      <c r="AC75" s="400">
        <f t="shared" si="28"/>
        <v>109.23674</v>
      </c>
      <c r="AD75" s="400">
        <f t="shared" si="28"/>
        <v>110.20927999999999</v>
      </c>
      <c r="AE75" s="400">
        <f t="shared" si="28"/>
        <v>454.60480999999999</v>
      </c>
      <c r="AF75" s="400">
        <f t="shared" si="28"/>
        <v>51.154300000000013</v>
      </c>
      <c r="AG75" s="400">
        <f t="shared" si="28"/>
        <v>41.948459999999997</v>
      </c>
      <c r="AH75" s="400">
        <f t="shared" si="28"/>
        <v>149.9941</v>
      </c>
      <c r="AI75" s="400">
        <f t="shared" si="28"/>
        <v>123.4282</v>
      </c>
      <c r="AJ75" s="400">
        <f t="shared" si="28"/>
        <v>0.21276</v>
      </c>
      <c r="AK75" s="400">
        <f t="shared" si="28"/>
        <v>47.802959999999999</v>
      </c>
      <c r="AL75" s="400">
        <f t="shared" si="28"/>
        <v>89.925699999999992</v>
      </c>
      <c r="AM75" s="400">
        <f t="shared" si="28"/>
        <v>101.65383</v>
      </c>
      <c r="AN75" s="400">
        <f t="shared" si="28"/>
        <v>35.825569999999999</v>
      </c>
      <c r="AO75" s="400">
        <f t="shared" si="28"/>
        <v>174.87589000000003</v>
      </c>
      <c r="AP75" s="400">
        <f t="shared" si="28"/>
        <v>141.70938999999998</v>
      </c>
      <c r="AQ75" s="400">
        <f t="shared" si="28"/>
        <v>0</v>
      </c>
      <c r="AR75" s="400">
        <f t="shared" si="28"/>
        <v>96.473860000000002</v>
      </c>
      <c r="AS75" s="400">
        <f t="shared" si="28"/>
        <v>27.853930000000002</v>
      </c>
      <c r="AT75" s="400">
        <f t="shared" si="28"/>
        <v>126.78850999999999</v>
      </c>
      <c r="AU75" s="400">
        <f t="shared" si="28"/>
        <v>150.09900999999999</v>
      </c>
      <c r="AV75" s="400">
        <f t="shared" si="28"/>
        <v>449.04007999999999</v>
      </c>
      <c r="AW75" s="400">
        <f t="shared" si="28"/>
        <v>312.27050000000003</v>
      </c>
    </row>
    <row r="76" spans="1:49" ht="15.75" customHeight="1">
      <c r="A76" s="3" t="s">
        <v>132</v>
      </c>
      <c r="H76" s="399" t="s">
        <v>2210</v>
      </c>
      <c r="I76" s="399"/>
      <c r="J76" s="400">
        <f t="shared" si="25"/>
        <v>0</v>
      </c>
      <c r="K76" s="400">
        <f t="shared" si="26"/>
        <v>0</v>
      </c>
      <c r="L76" s="400">
        <f t="shared" ref="L76:N76" si="29">SUMIFS($P76:$AW76,$P$3:$AW$3,L$4)</f>
        <v>0</v>
      </c>
      <c r="M76" s="400">
        <f t="shared" si="29"/>
        <v>0</v>
      </c>
      <c r="N76" s="400">
        <f t="shared" si="29"/>
        <v>3.21149</v>
      </c>
      <c r="O76" s="400"/>
      <c r="P76" s="400">
        <v>0</v>
      </c>
      <c r="Q76" s="400">
        <v>0</v>
      </c>
      <c r="R76" s="400">
        <v>0</v>
      </c>
      <c r="S76" s="400">
        <v>0</v>
      </c>
      <c r="T76" s="400">
        <v>0</v>
      </c>
      <c r="U76" s="400">
        <v>0</v>
      </c>
      <c r="V76" s="400">
        <v>0</v>
      </c>
      <c r="W76" s="400">
        <v>0</v>
      </c>
      <c r="X76" s="400">
        <v>0</v>
      </c>
      <c r="Y76" s="400">
        <v>0</v>
      </c>
      <c r="Z76" s="400">
        <v>0</v>
      </c>
      <c r="AA76" s="400">
        <v>0</v>
      </c>
      <c r="AB76" s="400">
        <v>0</v>
      </c>
      <c r="AC76" s="400">
        <v>0</v>
      </c>
      <c r="AD76" s="400">
        <v>0</v>
      </c>
      <c r="AE76" s="400">
        <v>0</v>
      </c>
      <c r="AF76" s="400">
        <v>0</v>
      </c>
      <c r="AG76" s="400">
        <v>0</v>
      </c>
      <c r="AH76" s="400">
        <v>0</v>
      </c>
      <c r="AI76" s="400">
        <v>0</v>
      </c>
      <c r="AJ76" s="400">
        <v>0</v>
      </c>
      <c r="AK76" s="400">
        <v>0</v>
      </c>
      <c r="AL76" s="400">
        <v>0</v>
      </c>
      <c r="AM76" s="400">
        <v>0</v>
      </c>
      <c r="AN76" s="400">
        <v>0</v>
      </c>
      <c r="AO76" s="400">
        <v>0</v>
      </c>
      <c r="AP76" s="400">
        <v>0</v>
      </c>
      <c r="AQ76" s="400">
        <v>0</v>
      </c>
      <c r="AR76" s="400">
        <v>0</v>
      </c>
      <c r="AS76" s="400">
        <v>0</v>
      </c>
      <c r="AT76" s="400">
        <v>0</v>
      </c>
      <c r="AU76" s="400">
        <v>0</v>
      </c>
      <c r="AV76" s="400">
        <v>0</v>
      </c>
      <c r="AW76" s="400">
        <v>3.21149</v>
      </c>
    </row>
    <row r="77" spans="1:49" ht="15.75" customHeight="1">
      <c r="A77" s="3" t="s">
        <v>134</v>
      </c>
      <c r="H77" s="399" t="s">
        <v>134</v>
      </c>
      <c r="I77" s="399"/>
      <c r="J77" s="400">
        <f t="shared" si="25"/>
        <v>518.61731000000009</v>
      </c>
      <c r="K77" s="400">
        <f t="shared" si="26"/>
        <v>408.10619000000008</v>
      </c>
      <c r="L77" s="400">
        <f t="shared" ref="L77:N77" si="30">SUMIFS($P77:$AW77,$P$3:$AW$3,L$4)</f>
        <v>264.50542999999999</v>
      </c>
      <c r="M77" s="400">
        <f t="shared" si="30"/>
        <v>109.08906000000002</v>
      </c>
      <c r="N77" s="400">
        <f t="shared" si="30"/>
        <v>68.258089999999996</v>
      </c>
      <c r="O77" s="400"/>
      <c r="P77" s="400">
        <v>33.535510000000002</v>
      </c>
      <c r="Q77" s="400">
        <v>8.4762999999999984</v>
      </c>
      <c r="R77" s="400">
        <v>51.2834</v>
      </c>
      <c r="S77" s="400">
        <v>23.050350000000002</v>
      </c>
      <c r="T77" s="400">
        <v>35.55377</v>
      </c>
      <c r="U77" s="400">
        <v>26.986830000000001</v>
      </c>
      <c r="V77" s="400">
        <v>55.964440000000003</v>
      </c>
      <c r="W77" s="400">
        <v>24.106969999999997</v>
      </c>
      <c r="X77" s="400">
        <v>29.690480000000001</v>
      </c>
      <c r="Y77" s="400">
        <v>0.22225999999999999</v>
      </c>
      <c r="Z77" s="400">
        <v>12.817360000000001</v>
      </c>
      <c r="AA77" s="400">
        <v>11.470769999999998</v>
      </c>
      <c r="AB77" s="400">
        <v>20.260870000000004</v>
      </c>
      <c r="AC77" s="400">
        <v>34.131260000000005</v>
      </c>
      <c r="AD77" s="400">
        <v>30.003079999999994</v>
      </c>
      <c r="AE77" s="400">
        <v>110.51111999999999</v>
      </c>
      <c r="AF77" s="400">
        <v>0</v>
      </c>
      <c r="AG77" s="400">
        <v>10.552539999999999</v>
      </c>
      <c r="AH77" s="400">
        <v>39.775269999999999</v>
      </c>
      <c r="AI77" s="400">
        <v>27.240050000000004</v>
      </c>
      <c r="AJ77" s="400">
        <v>0.51540999999999992</v>
      </c>
      <c r="AK77" s="400">
        <v>11.58492</v>
      </c>
      <c r="AL77" s="400">
        <v>24.771900000000002</v>
      </c>
      <c r="AM77" s="400">
        <v>23.95514</v>
      </c>
      <c r="AN77" s="400">
        <v>8.4864200000000025</v>
      </c>
      <c r="AO77" s="400">
        <v>28.361039999999999</v>
      </c>
      <c r="AP77" s="400">
        <v>22.264119999999998</v>
      </c>
      <c r="AQ77" s="400">
        <v>17.090169999999997</v>
      </c>
      <c r="AR77" s="400">
        <v>22.677890000000001</v>
      </c>
      <c r="AS77" s="400">
        <v>20.490429999999996</v>
      </c>
      <c r="AT77" s="400">
        <v>25.926830000000002</v>
      </c>
      <c r="AU77" s="400">
        <v>42.241229999999995</v>
      </c>
      <c r="AV77" s="400">
        <v>102.54389</v>
      </c>
      <c r="AW77" s="400">
        <v>68.258089999999996</v>
      </c>
    </row>
    <row r="78" spans="1:49" ht="15.75" customHeight="1">
      <c r="A78" s="401" t="s">
        <v>140</v>
      </c>
      <c r="H78" s="399" t="s">
        <v>2211</v>
      </c>
      <c r="I78" s="399"/>
      <c r="J78" s="400">
        <f t="shared" si="25"/>
        <v>267.79050999999998</v>
      </c>
      <c r="K78" s="400">
        <f t="shared" si="26"/>
        <v>223.99041</v>
      </c>
      <c r="L78" s="400">
        <f t="shared" ref="L78:N78" si="31">SUMIFS($P78:$AW78,$P$3:$AW$3,L$4)</f>
        <v>298.63601</v>
      </c>
      <c r="M78" s="400">
        <f t="shared" si="31"/>
        <v>59.71087</v>
      </c>
      <c r="N78" s="400">
        <f t="shared" si="31"/>
        <v>44.076500000000003</v>
      </c>
      <c r="O78" s="400"/>
      <c r="P78" s="400">
        <v>14.031469999999999</v>
      </c>
      <c r="Q78" s="400">
        <v>8.4221800000000009</v>
      </c>
      <c r="R78" s="400">
        <v>11.537769999999998</v>
      </c>
      <c r="S78" s="400">
        <v>11.594589999999998</v>
      </c>
      <c r="T78" s="400">
        <v>23.270409999999998</v>
      </c>
      <c r="U78" s="400">
        <v>13.345330000000001</v>
      </c>
      <c r="V78" s="400">
        <v>22.161129999999996</v>
      </c>
      <c r="W78" s="400">
        <v>21.07076</v>
      </c>
      <c r="X78" s="400">
        <v>17.285250000000001</v>
      </c>
      <c r="Y78" s="400">
        <v>10.67714</v>
      </c>
      <c r="Z78" s="400">
        <v>6.1952400000000001</v>
      </c>
      <c r="AA78" s="400">
        <v>8.5695700000000006</v>
      </c>
      <c r="AB78" s="400">
        <v>10.354809999999999</v>
      </c>
      <c r="AC78" s="400">
        <v>17.242229999999999</v>
      </c>
      <c r="AD78" s="400">
        <v>16.94115</v>
      </c>
      <c r="AE78" s="400">
        <v>30.72</v>
      </c>
      <c r="AF78" s="400">
        <v>13.0801</v>
      </c>
      <c r="AG78" s="400">
        <v>11.29138</v>
      </c>
      <c r="AH78" s="400">
        <v>21.770119999999999</v>
      </c>
      <c r="AI78" s="400">
        <v>14.180000000000001</v>
      </c>
      <c r="AJ78" s="400">
        <v>0</v>
      </c>
      <c r="AK78" s="400">
        <v>6.7067500000000004</v>
      </c>
      <c r="AL78" s="400">
        <v>12.25067</v>
      </c>
      <c r="AM78" s="400">
        <v>12.69041</v>
      </c>
      <c r="AN78" s="400">
        <v>6.2929200000000005</v>
      </c>
      <c r="AO78" s="400">
        <v>49.910239999999988</v>
      </c>
      <c r="AP78" s="400">
        <v>39.918589999999995</v>
      </c>
      <c r="AQ78" s="400">
        <v>0</v>
      </c>
      <c r="AR78" s="400">
        <v>30.360090000000003</v>
      </c>
      <c r="AS78" s="400">
        <v>14.335459999999999</v>
      </c>
      <c r="AT78" s="400">
        <v>34.365759999999995</v>
      </c>
      <c r="AU78" s="400">
        <v>37.015169999999998</v>
      </c>
      <c r="AV78" s="400">
        <v>92.730699999999999</v>
      </c>
      <c r="AW78" s="400">
        <v>44.076500000000003</v>
      </c>
    </row>
    <row r="79" spans="1:49" ht="15.75" customHeight="1">
      <c r="A79" s="401" t="s">
        <v>140</v>
      </c>
      <c r="H79" s="399" t="s">
        <v>2212</v>
      </c>
      <c r="I79" s="399"/>
      <c r="J79" s="400">
        <f t="shared" si="25"/>
        <v>152.32005999999998</v>
      </c>
      <c r="K79" s="400">
        <f t="shared" si="26"/>
        <v>118.62799</v>
      </c>
      <c r="L79" s="400">
        <f t="shared" ref="L79:N79" si="32">SUMIFS($P79:$AW79,$P$3:$AW$3,L$4)</f>
        <v>82.74521</v>
      </c>
      <c r="M79" s="400">
        <f t="shared" si="32"/>
        <v>37.993669999999995</v>
      </c>
      <c r="N79" s="400">
        <f t="shared" si="32"/>
        <v>37.375299999999996</v>
      </c>
      <c r="O79" s="400"/>
      <c r="P79" s="400">
        <v>11.860919999999998</v>
      </c>
      <c r="Q79" s="400">
        <v>1.8369700000000002</v>
      </c>
      <c r="R79" s="400">
        <v>9.0989399999999989</v>
      </c>
      <c r="S79" s="400">
        <v>6.0842399999999994</v>
      </c>
      <c r="T79" s="400">
        <v>14.711889999999999</v>
      </c>
      <c r="U79" s="400">
        <v>5.20512</v>
      </c>
      <c r="V79" s="400">
        <v>14.11046</v>
      </c>
      <c r="W79" s="400">
        <v>8.2112499999999979</v>
      </c>
      <c r="X79" s="400">
        <v>0</v>
      </c>
      <c r="Y79" s="400">
        <v>5.5022500000000001</v>
      </c>
      <c r="Z79" s="400">
        <v>3.7053099999999994</v>
      </c>
      <c r="AA79" s="400">
        <v>5.9963800000000003</v>
      </c>
      <c r="AB79" s="400">
        <v>5.72011</v>
      </c>
      <c r="AC79" s="400">
        <v>10.719280000000001</v>
      </c>
      <c r="AD79" s="400">
        <v>11.401579999999999</v>
      </c>
      <c r="AE79" s="400">
        <v>23.693819999999999</v>
      </c>
      <c r="AF79" s="400">
        <v>9.9982499999999987</v>
      </c>
      <c r="AG79" s="400">
        <v>4.4632899999999989</v>
      </c>
      <c r="AH79" s="400">
        <v>12.49948</v>
      </c>
      <c r="AI79" s="400">
        <v>10.49164</v>
      </c>
      <c r="AJ79" s="400">
        <v>0</v>
      </c>
      <c r="AK79" s="400">
        <v>3.9276200000000001</v>
      </c>
      <c r="AL79" s="400">
        <v>9.914749999999998</v>
      </c>
      <c r="AM79" s="400">
        <v>7.7213599999999998</v>
      </c>
      <c r="AN79" s="400">
        <v>3.9304600000000001</v>
      </c>
      <c r="AO79" s="400">
        <v>11.80702</v>
      </c>
      <c r="AP79" s="400">
        <v>9.1962200000000003</v>
      </c>
      <c r="AQ79" s="400">
        <v>7.4505499999999989</v>
      </c>
      <c r="AR79" s="400">
        <v>7.79922</v>
      </c>
      <c r="AS79" s="400">
        <v>5.4163000000000006</v>
      </c>
      <c r="AT79" s="400">
        <v>7.6964099999999993</v>
      </c>
      <c r="AU79" s="400">
        <v>14.282769999999998</v>
      </c>
      <c r="AV79" s="400">
        <v>26.547270000000005</v>
      </c>
      <c r="AW79" s="400">
        <v>37.375299999999996</v>
      </c>
    </row>
    <row r="80" spans="1:49" ht="15.75" hidden="1" customHeight="1" outlineLevel="1">
      <c r="H80" s="396" t="s">
        <v>2213</v>
      </c>
      <c r="I80" s="396"/>
      <c r="J80" s="397"/>
      <c r="K80" s="397"/>
      <c r="L80" s="397"/>
      <c r="M80" s="397"/>
      <c r="N80" s="397"/>
      <c r="O80" s="397"/>
      <c r="P80" s="397">
        <v>0</v>
      </c>
      <c r="Q80" s="397">
        <v>0</v>
      </c>
      <c r="R80" s="397">
        <v>0</v>
      </c>
      <c r="S80" s="397">
        <v>0</v>
      </c>
      <c r="T80" s="397">
        <v>0</v>
      </c>
      <c r="U80" s="397">
        <v>0</v>
      </c>
      <c r="V80" s="397">
        <v>0</v>
      </c>
      <c r="W80" s="397">
        <v>0</v>
      </c>
      <c r="X80" s="397">
        <v>0</v>
      </c>
      <c r="Y80" s="397">
        <v>0</v>
      </c>
      <c r="Z80" s="397">
        <v>0</v>
      </c>
      <c r="AA80" s="397">
        <v>0</v>
      </c>
      <c r="AB80" s="397">
        <v>0</v>
      </c>
      <c r="AC80" s="397">
        <v>0</v>
      </c>
      <c r="AD80" s="397">
        <v>0</v>
      </c>
      <c r="AE80" s="397">
        <v>0</v>
      </c>
      <c r="AF80" s="397">
        <v>0</v>
      </c>
      <c r="AG80" s="397">
        <v>0.28596000000000005</v>
      </c>
      <c r="AH80" s="397">
        <v>2.2850400000000004</v>
      </c>
      <c r="AI80" s="397">
        <v>0</v>
      </c>
      <c r="AJ80" s="397">
        <v>0</v>
      </c>
      <c r="AK80" s="397">
        <v>0</v>
      </c>
      <c r="AL80" s="397">
        <v>0</v>
      </c>
      <c r="AM80" s="397">
        <v>0</v>
      </c>
      <c r="AN80" s="397">
        <v>0</v>
      </c>
      <c r="AO80" s="397">
        <v>0</v>
      </c>
      <c r="AP80" s="397">
        <v>0</v>
      </c>
      <c r="AQ80" s="397">
        <v>0</v>
      </c>
      <c r="AR80" s="397">
        <v>0</v>
      </c>
      <c r="AS80" s="397">
        <v>0</v>
      </c>
      <c r="AT80" s="397">
        <v>0</v>
      </c>
      <c r="AU80" s="397">
        <v>2.6894999999999998</v>
      </c>
      <c r="AV80" s="397">
        <v>0</v>
      </c>
      <c r="AW80" s="397">
        <v>0</v>
      </c>
    </row>
    <row r="81" spans="1:49" ht="15.75" hidden="1" customHeight="1" outlineLevel="1">
      <c r="H81" s="396" t="s">
        <v>2214</v>
      </c>
      <c r="I81" s="396"/>
      <c r="J81" s="397"/>
      <c r="K81" s="397"/>
      <c r="L81" s="397"/>
      <c r="M81" s="397"/>
      <c r="N81" s="397"/>
      <c r="O81" s="397"/>
      <c r="P81" s="397">
        <v>0</v>
      </c>
      <c r="Q81" s="397">
        <v>0</v>
      </c>
      <c r="R81" s="397">
        <v>0</v>
      </c>
      <c r="S81" s="397">
        <v>0</v>
      </c>
      <c r="T81" s="397">
        <v>0</v>
      </c>
      <c r="U81" s="397">
        <v>0</v>
      </c>
      <c r="V81" s="397">
        <v>0</v>
      </c>
      <c r="W81" s="397">
        <v>0</v>
      </c>
      <c r="X81" s="397">
        <v>0</v>
      </c>
      <c r="Y81" s="397">
        <v>0</v>
      </c>
      <c r="Z81" s="397">
        <v>0</v>
      </c>
      <c r="AA81" s="397">
        <v>0</v>
      </c>
      <c r="AB81" s="397">
        <v>0</v>
      </c>
      <c r="AC81" s="397">
        <v>0</v>
      </c>
      <c r="AD81" s="397">
        <v>0</v>
      </c>
      <c r="AE81" s="397">
        <v>0</v>
      </c>
      <c r="AF81" s="397">
        <v>0</v>
      </c>
      <c r="AG81" s="397">
        <v>0</v>
      </c>
      <c r="AH81" s="397">
        <v>0</v>
      </c>
      <c r="AI81" s="397">
        <v>0</v>
      </c>
      <c r="AJ81" s="397">
        <v>0</v>
      </c>
      <c r="AK81" s="397">
        <v>0</v>
      </c>
      <c r="AL81" s="397">
        <v>0</v>
      </c>
      <c r="AM81" s="397">
        <v>0</v>
      </c>
      <c r="AN81" s="397">
        <v>0</v>
      </c>
      <c r="AO81" s="397">
        <v>0</v>
      </c>
      <c r="AP81" s="397">
        <v>0</v>
      </c>
      <c r="AQ81" s="397">
        <v>0</v>
      </c>
      <c r="AR81" s="397">
        <v>0</v>
      </c>
      <c r="AS81" s="397">
        <v>0</v>
      </c>
      <c r="AT81" s="397">
        <v>0</v>
      </c>
      <c r="AU81" s="397">
        <v>0</v>
      </c>
      <c r="AV81" s="397">
        <v>0</v>
      </c>
      <c r="AW81" s="397">
        <v>0</v>
      </c>
    </row>
    <row r="82" spans="1:49" ht="15.75" hidden="1" customHeight="1" outlineLevel="1">
      <c r="H82" s="396" t="s">
        <v>2215</v>
      </c>
      <c r="I82" s="396"/>
      <c r="J82" s="397"/>
      <c r="K82" s="397"/>
      <c r="L82" s="397"/>
      <c r="M82" s="397"/>
      <c r="N82" s="397"/>
      <c r="O82" s="397"/>
      <c r="P82" s="397">
        <v>0</v>
      </c>
      <c r="Q82" s="397">
        <v>0</v>
      </c>
      <c r="R82" s="397">
        <v>0</v>
      </c>
      <c r="S82" s="397">
        <v>0</v>
      </c>
      <c r="T82" s="397">
        <v>0</v>
      </c>
      <c r="U82" s="397">
        <v>0</v>
      </c>
      <c r="V82" s="397">
        <v>0</v>
      </c>
      <c r="W82" s="397">
        <v>0</v>
      </c>
      <c r="X82" s="397">
        <v>0</v>
      </c>
      <c r="Y82" s="397">
        <v>0</v>
      </c>
      <c r="Z82" s="397">
        <v>0</v>
      </c>
      <c r="AA82" s="397">
        <v>0</v>
      </c>
      <c r="AB82" s="397">
        <v>0</v>
      </c>
      <c r="AC82" s="397">
        <v>0</v>
      </c>
      <c r="AD82" s="397">
        <v>0</v>
      </c>
      <c r="AE82" s="397">
        <v>0</v>
      </c>
      <c r="AF82" s="397">
        <v>0</v>
      </c>
      <c r="AG82" s="397">
        <v>0</v>
      </c>
      <c r="AH82" s="397">
        <v>0</v>
      </c>
      <c r="AI82" s="397">
        <v>0</v>
      </c>
      <c r="AJ82" s="397">
        <v>0</v>
      </c>
      <c r="AK82" s="397">
        <v>0</v>
      </c>
      <c r="AL82" s="397">
        <v>0</v>
      </c>
      <c r="AM82" s="397">
        <v>0</v>
      </c>
      <c r="AN82" s="397">
        <v>0</v>
      </c>
      <c r="AO82" s="397">
        <v>0</v>
      </c>
      <c r="AP82" s="397">
        <v>0</v>
      </c>
      <c r="AQ82" s="397">
        <v>0</v>
      </c>
      <c r="AR82" s="397">
        <v>0</v>
      </c>
      <c r="AS82" s="397">
        <v>0</v>
      </c>
      <c r="AT82" s="397">
        <v>0</v>
      </c>
      <c r="AU82" s="397">
        <v>0</v>
      </c>
      <c r="AV82" s="397">
        <v>0</v>
      </c>
      <c r="AW82" s="397">
        <v>0</v>
      </c>
    </row>
    <row r="83" spans="1:49" ht="15.75" hidden="1" customHeight="1" outlineLevel="1">
      <c r="H83" s="396" t="s">
        <v>2216</v>
      </c>
      <c r="I83" s="396"/>
      <c r="J83" s="397"/>
      <c r="K83" s="397"/>
      <c r="L83" s="397"/>
      <c r="M83" s="397"/>
      <c r="N83" s="397"/>
      <c r="O83" s="397"/>
      <c r="P83" s="397">
        <v>0</v>
      </c>
      <c r="Q83" s="397">
        <v>0</v>
      </c>
      <c r="R83" s="397">
        <v>0</v>
      </c>
      <c r="S83" s="397">
        <v>0</v>
      </c>
      <c r="T83" s="397">
        <v>0</v>
      </c>
      <c r="U83" s="397">
        <v>0</v>
      </c>
      <c r="V83" s="397">
        <v>0</v>
      </c>
      <c r="W83" s="397">
        <v>0</v>
      </c>
      <c r="X83" s="397">
        <v>0</v>
      </c>
      <c r="Y83" s="397">
        <v>0</v>
      </c>
      <c r="Z83" s="397">
        <v>0</v>
      </c>
      <c r="AA83" s="397">
        <v>0</v>
      </c>
      <c r="AB83" s="397">
        <v>0</v>
      </c>
      <c r="AC83" s="397">
        <v>0</v>
      </c>
      <c r="AD83" s="397">
        <v>0</v>
      </c>
      <c r="AE83" s="397">
        <v>0</v>
      </c>
      <c r="AF83" s="397">
        <v>0</v>
      </c>
      <c r="AG83" s="397">
        <v>0</v>
      </c>
      <c r="AH83" s="397">
        <v>0</v>
      </c>
      <c r="AI83" s="397">
        <v>0</v>
      </c>
      <c r="AJ83" s="397">
        <v>0</v>
      </c>
      <c r="AK83" s="397">
        <v>0</v>
      </c>
      <c r="AL83" s="397">
        <v>0</v>
      </c>
      <c r="AM83" s="397">
        <v>0</v>
      </c>
      <c r="AN83" s="397">
        <v>0</v>
      </c>
      <c r="AO83" s="397">
        <v>0</v>
      </c>
      <c r="AP83" s="397">
        <v>0</v>
      </c>
      <c r="AQ83" s="397">
        <v>0</v>
      </c>
      <c r="AR83" s="397">
        <v>0</v>
      </c>
      <c r="AS83" s="397">
        <v>0</v>
      </c>
      <c r="AT83" s="397">
        <v>0</v>
      </c>
      <c r="AU83" s="397">
        <v>0</v>
      </c>
      <c r="AV83" s="397">
        <v>0</v>
      </c>
      <c r="AW83" s="397">
        <v>0</v>
      </c>
    </row>
    <row r="84" spans="1:49" ht="15.75" hidden="1" customHeight="1" outlineLevel="1">
      <c r="H84" s="396" t="s">
        <v>2217</v>
      </c>
      <c r="I84" s="396"/>
      <c r="J84" s="397"/>
      <c r="K84" s="397"/>
      <c r="L84" s="397"/>
      <c r="M84" s="397"/>
      <c r="N84" s="397"/>
      <c r="O84" s="397"/>
      <c r="P84" s="397">
        <v>0</v>
      </c>
      <c r="Q84" s="397">
        <v>0</v>
      </c>
      <c r="R84" s="397">
        <v>0</v>
      </c>
      <c r="S84" s="397">
        <v>0</v>
      </c>
      <c r="T84" s="397">
        <v>0</v>
      </c>
      <c r="U84" s="397">
        <v>0</v>
      </c>
      <c r="V84" s="397">
        <v>0</v>
      </c>
      <c r="W84" s="397">
        <v>0</v>
      </c>
      <c r="X84" s="397">
        <v>0</v>
      </c>
      <c r="Y84" s="397">
        <v>0</v>
      </c>
      <c r="Z84" s="397">
        <v>0</v>
      </c>
      <c r="AA84" s="397">
        <v>0</v>
      </c>
      <c r="AB84" s="397">
        <v>0</v>
      </c>
      <c r="AC84" s="397">
        <v>0</v>
      </c>
      <c r="AD84" s="397">
        <v>0</v>
      </c>
      <c r="AE84" s="397">
        <v>0</v>
      </c>
      <c r="AF84" s="397">
        <v>0</v>
      </c>
      <c r="AG84" s="397">
        <v>0</v>
      </c>
      <c r="AH84" s="397">
        <v>0</v>
      </c>
      <c r="AI84" s="397">
        <v>0</v>
      </c>
      <c r="AJ84" s="397">
        <v>0</v>
      </c>
      <c r="AK84" s="397">
        <v>0</v>
      </c>
      <c r="AL84" s="397">
        <v>0</v>
      </c>
      <c r="AM84" s="397">
        <v>0</v>
      </c>
      <c r="AN84" s="397">
        <v>0</v>
      </c>
      <c r="AO84" s="397">
        <v>0</v>
      </c>
      <c r="AP84" s="397">
        <v>0</v>
      </c>
      <c r="AQ84" s="397">
        <v>0</v>
      </c>
      <c r="AR84" s="397">
        <v>0</v>
      </c>
      <c r="AS84" s="397">
        <v>0</v>
      </c>
      <c r="AT84" s="397">
        <v>0</v>
      </c>
      <c r="AU84" s="397">
        <v>0</v>
      </c>
      <c r="AV84" s="397">
        <v>0</v>
      </c>
      <c r="AW84" s="397">
        <v>0</v>
      </c>
    </row>
    <row r="85" spans="1:49" ht="15.75" customHeight="1" collapsed="1">
      <c r="A85" s="3" t="s">
        <v>142</v>
      </c>
      <c r="H85" s="399" t="s">
        <v>142</v>
      </c>
      <c r="I85" s="399"/>
      <c r="J85" s="400">
        <f>SUMIFS($P85:$AW85,$P$3:$AW$3,J$4)</f>
        <v>0.28596000000000005</v>
      </c>
      <c r="K85" s="400">
        <f>J85-AE85-AF85</f>
        <v>0.28596000000000005</v>
      </c>
      <c r="L85" s="400">
        <f t="shared" ref="L85:N85" si="33">SUMIFS($P85:$AW85,$P$3:$AW$3,L$4)</f>
        <v>2.6894999999999998</v>
      </c>
      <c r="M85" s="400">
        <f t="shared" si="33"/>
        <v>2.2850400000000004</v>
      </c>
      <c r="N85" s="400">
        <f t="shared" si="33"/>
        <v>0</v>
      </c>
      <c r="O85" s="400"/>
      <c r="P85" s="400">
        <f t="shared" ref="P85:AW85" si="34">SUBTOTAL(9,P80:P84)</f>
        <v>0</v>
      </c>
      <c r="Q85" s="400">
        <f t="shared" si="34"/>
        <v>0</v>
      </c>
      <c r="R85" s="400">
        <f t="shared" si="34"/>
        <v>0</v>
      </c>
      <c r="S85" s="400">
        <f t="shared" si="34"/>
        <v>0</v>
      </c>
      <c r="T85" s="400">
        <f t="shared" si="34"/>
        <v>0</v>
      </c>
      <c r="U85" s="400">
        <f t="shared" si="34"/>
        <v>0</v>
      </c>
      <c r="V85" s="400">
        <f t="shared" si="34"/>
        <v>0</v>
      </c>
      <c r="W85" s="400">
        <f t="shared" si="34"/>
        <v>0</v>
      </c>
      <c r="X85" s="400">
        <f t="shared" si="34"/>
        <v>0</v>
      </c>
      <c r="Y85" s="400">
        <f t="shared" si="34"/>
        <v>0</v>
      </c>
      <c r="Z85" s="400">
        <f t="shared" si="34"/>
        <v>0</v>
      </c>
      <c r="AA85" s="400">
        <f t="shared" si="34"/>
        <v>0</v>
      </c>
      <c r="AB85" s="400">
        <f t="shared" si="34"/>
        <v>0</v>
      </c>
      <c r="AC85" s="400">
        <f t="shared" si="34"/>
        <v>0</v>
      </c>
      <c r="AD85" s="400">
        <f t="shared" si="34"/>
        <v>0</v>
      </c>
      <c r="AE85" s="400">
        <f t="shared" si="34"/>
        <v>0</v>
      </c>
      <c r="AF85" s="400">
        <f t="shared" si="34"/>
        <v>0</v>
      </c>
      <c r="AG85" s="400">
        <f t="shared" si="34"/>
        <v>0.28596000000000005</v>
      </c>
      <c r="AH85" s="400">
        <f t="shared" si="34"/>
        <v>2.2850400000000004</v>
      </c>
      <c r="AI85" s="400">
        <f t="shared" si="34"/>
        <v>0</v>
      </c>
      <c r="AJ85" s="400">
        <f t="shared" si="34"/>
        <v>0</v>
      </c>
      <c r="AK85" s="400">
        <f t="shared" si="34"/>
        <v>0</v>
      </c>
      <c r="AL85" s="400">
        <f t="shared" si="34"/>
        <v>0</v>
      </c>
      <c r="AM85" s="400">
        <f t="shared" si="34"/>
        <v>0</v>
      </c>
      <c r="AN85" s="400">
        <f t="shared" si="34"/>
        <v>0</v>
      </c>
      <c r="AO85" s="400">
        <f t="shared" si="34"/>
        <v>0</v>
      </c>
      <c r="AP85" s="400">
        <f t="shared" si="34"/>
        <v>0</v>
      </c>
      <c r="AQ85" s="400">
        <f t="shared" si="34"/>
        <v>0</v>
      </c>
      <c r="AR85" s="400">
        <f t="shared" si="34"/>
        <v>0</v>
      </c>
      <c r="AS85" s="400">
        <f t="shared" si="34"/>
        <v>0</v>
      </c>
      <c r="AT85" s="400">
        <f t="shared" si="34"/>
        <v>0</v>
      </c>
      <c r="AU85" s="400">
        <f t="shared" si="34"/>
        <v>2.6894999999999998</v>
      </c>
      <c r="AV85" s="400">
        <f t="shared" si="34"/>
        <v>0</v>
      </c>
      <c r="AW85" s="400">
        <f t="shared" si="34"/>
        <v>0</v>
      </c>
    </row>
    <row r="86" spans="1:49" ht="15.75" hidden="1" customHeight="1" outlineLevel="1">
      <c r="H86" s="396" t="s">
        <v>2218</v>
      </c>
      <c r="I86" s="396"/>
      <c r="J86" s="397"/>
      <c r="K86" s="397"/>
      <c r="L86" s="397"/>
      <c r="M86" s="397"/>
      <c r="N86" s="397"/>
      <c r="O86" s="397"/>
      <c r="P86" s="397">
        <v>0</v>
      </c>
      <c r="Q86" s="397">
        <v>0</v>
      </c>
      <c r="R86" s="397">
        <v>0</v>
      </c>
      <c r="S86" s="397">
        <v>0</v>
      </c>
      <c r="T86" s="397">
        <v>0</v>
      </c>
      <c r="U86" s="397">
        <v>0</v>
      </c>
      <c r="V86" s="397">
        <v>0</v>
      </c>
      <c r="W86" s="397">
        <v>0</v>
      </c>
      <c r="X86" s="397">
        <v>0</v>
      </c>
      <c r="Y86" s="397">
        <v>0</v>
      </c>
      <c r="Z86" s="397">
        <v>0</v>
      </c>
      <c r="AA86" s="397">
        <v>0</v>
      </c>
      <c r="AB86" s="397">
        <v>0</v>
      </c>
      <c r="AC86" s="397">
        <v>0</v>
      </c>
      <c r="AD86" s="397">
        <v>0</v>
      </c>
      <c r="AE86" s="397">
        <v>0</v>
      </c>
      <c r="AF86" s="397">
        <v>0</v>
      </c>
      <c r="AG86" s="397">
        <v>0</v>
      </c>
      <c r="AH86" s="397">
        <v>0</v>
      </c>
      <c r="AI86" s="397">
        <v>0</v>
      </c>
      <c r="AJ86" s="397">
        <v>0</v>
      </c>
      <c r="AK86" s="397">
        <v>0</v>
      </c>
      <c r="AL86" s="397">
        <v>0</v>
      </c>
      <c r="AM86" s="397">
        <v>0</v>
      </c>
      <c r="AN86" s="397">
        <v>0</v>
      </c>
      <c r="AO86" s="397">
        <v>0</v>
      </c>
      <c r="AP86" s="397">
        <v>0</v>
      </c>
      <c r="AQ86" s="397">
        <v>0</v>
      </c>
      <c r="AR86" s="397">
        <v>0</v>
      </c>
      <c r="AS86" s="397">
        <v>0</v>
      </c>
      <c r="AT86" s="397">
        <v>0</v>
      </c>
      <c r="AU86" s="397">
        <v>0</v>
      </c>
      <c r="AV86" s="397">
        <v>0</v>
      </c>
      <c r="AW86" s="397">
        <v>0</v>
      </c>
    </row>
    <row r="87" spans="1:49" ht="15.75" hidden="1" customHeight="1" outlineLevel="1">
      <c r="H87" s="396" t="s">
        <v>2219</v>
      </c>
      <c r="I87" s="396"/>
      <c r="J87" s="397"/>
      <c r="K87" s="397"/>
      <c r="L87" s="397"/>
      <c r="M87" s="397"/>
      <c r="N87" s="397"/>
      <c r="O87" s="397"/>
      <c r="P87" s="397">
        <v>0.18340000000000001</v>
      </c>
      <c r="Q87" s="397">
        <v>0</v>
      </c>
      <c r="R87" s="397">
        <v>0</v>
      </c>
      <c r="S87" s="397">
        <v>6.4930000000000002E-2</v>
      </c>
      <c r="T87" s="397">
        <v>0.38970000000000005</v>
      </c>
      <c r="U87" s="397">
        <v>0</v>
      </c>
      <c r="V87" s="397">
        <v>0.22595999999999999</v>
      </c>
      <c r="W87" s="397">
        <v>4.437E-2</v>
      </c>
      <c r="X87" s="397">
        <v>1.3036699999999999</v>
      </c>
      <c r="Y87" s="397">
        <v>0.24711999999999998</v>
      </c>
      <c r="Z87" s="397">
        <v>0</v>
      </c>
      <c r="AA87" s="397">
        <v>0</v>
      </c>
      <c r="AB87" s="397">
        <v>0</v>
      </c>
      <c r="AC87" s="397">
        <v>0</v>
      </c>
      <c r="AD87" s="397">
        <v>0.16494999999999999</v>
      </c>
      <c r="AE87" s="397">
        <v>0.183</v>
      </c>
      <c r="AF87" s="397">
        <v>0</v>
      </c>
      <c r="AG87" s="397">
        <v>0.69822000000000006</v>
      </c>
      <c r="AH87" s="397">
        <v>0.69561000000000006</v>
      </c>
      <c r="AI87" s="397">
        <v>0.15290999999999999</v>
      </c>
      <c r="AJ87" s="397">
        <v>6.4860000000000001E-2</v>
      </c>
      <c r="AK87" s="397">
        <v>3.243E-2</v>
      </c>
      <c r="AL87" s="397">
        <v>3.243E-2</v>
      </c>
      <c r="AM87" s="397">
        <v>6.4860000000000001E-2</v>
      </c>
      <c r="AN87" s="397">
        <v>0</v>
      </c>
      <c r="AO87" s="397">
        <v>1.26</v>
      </c>
      <c r="AP87" s="397">
        <v>5.1935199999999995</v>
      </c>
      <c r="AQ87" s="397">
        <v>0</v>
      </c>
      <c r="AR87" s="397">
        <v>0.93647000000000002</v>
      </c>
      <c r="AS87" s="397">
        <v>39.10492</v>
      </c>
      <c r="AT87" s="397">
        <v>0.71284999999999987</v>
      </c>
      <c r="AU87" s="397">
        <v>1.0115999999999998</v>
      </c>
      <c r="AV87" s="397">
        <v>6.6765600000000003</v>
      </c>
      <c r="AW87" s="397">
        <v>5.3020499999999995</v>
      </c>
    </row>
    <row r="88" spans="1:49" ht="15.75" customHeight="1" collapsed="1">
      <c r="A88" s="401" t="s">
        <v>140</v>
      </c>
      <c r="H88" s="399" t="s">
        <v>140</v>
      </c>
      <c r="I88" s="399"/>
      <c r="J88" s="400">
        <f t="shared" ref="J88:J89" si="35">SUMIFS($P88:$AW88,$P$3:$AW$3,J$4)</f>
        <v>3.5053199999999998</v>
      </c>
      <c r="K88" s="400">
        <f t="shared" ref="K88:K89" si="36">J88-AE88-AF88</f>
        <v>3.3223199999999999</v>
      </c>
      <c r="L88" s="400">
        <f t="shared" ref="L88:N88" si="37">SUMIFS($P88:$AW88,$P$3:$AW$3,L$4)</f>
        <v>54.895920000000004</v>
      </c>
      <c r="M88" s="400">
        <f t="shared" si="37"/>
        <v>0.89019000000000004</v>
      </c>
      <c r="N88" s="400">
        <f t="shared" si="37"/>
        <v>5.3020499999999995</v>
      </c>
      <c r="O88" s="400"/>
      <c r="P88" s="400">
        <f t="shared" ref="P88:AW88" si="38">SUBTOTAL(9,P86:P87)</f>
        <v>0.18340000000000001</v>
      </c>
      <c r="Q88" s="400">
        <f t="shared" si="38"/>
        <v>0</v>
      </c>
      <c r="R88" s="400">
        <f t="shared" si="38"/>
        <v>0</v>
      </c>
      <c r="S88" s="400">
        <f t="shared" si="38"/>
        <v>6.4930000000000002E-2</v>
      </c>
      <c r="T88" s="400">
        <f t="shared" si="38"/>
        <v>0.38970000000000005</v>
      </c>
      <c r="U88" s="400">
        <f t="shared" si="38"/>
        <v>0</v>
      </c>
      <c r="V88" s="400">
        <f t="shared" si="38"/>
        <v>0.22595999999999999</v>
      </c>
      <c r="W88" s="400">
        <f t="shared" si="38"/>
        <v>4.437E-2</v>
      </c>
      <c r="X88" s="400">
        <f t="shared" si="38"/>
        <v>1.3036699999999999</v>
      </c>
      <c r="Y88" s="400">
        <f t="shared" si="38"/>
        <v>0.24711999999999998</v>
      </c>
      <c r="Z88" s="400">
        <f t="shared" si="38"/>
        <v>0</v>
      </c>
      <c r="AA88" s="400">
        <f t="shared" si="38"/>
        <v>0</v>
      </c>
      <c r="AB88" s="400">
        <f t="shared" si="38"/>
        <v>0</v>
      </c>
      <c r="AC88" s="400">
        <f t="shared" si="38"/>
        <v>0</v>
      </c>
      <c r="AD88" s="400">
        <f t="shared" si="38"/>
        <v>0.16494999999999999</v>
      </c>
      <c r="AE88" s="400">
        <f t="shared" si="38"/>
        <v>0.183</v>
      </c>
      <c r="AF88" s="400">
        <f t="shared" si="38"/>
        <v>0</v>
      </c>
      <c r="AG88" s="400">
        <f t="shared" si="38"/>
        <v>0.69822000000000006</v>
      </c>
      <c r="AH88" s="400">
        <f t="shared" si="38"/>
        <v>0.69561000000000006</v>
      </c>
      <c r="AI88" s="400">
        <f t="shared" si="38"/>
        <v>0.15290999999999999</v>
      </c>
      <c r="AJ88" s="400">
        <f t="shared" si="38"/>
        <v>6.4860000000000001E-2</v>
      </c>
      <c r="AK88" s="400">
        <f t="shared" si="38"/>
        <v>3.243E-2</v>
      </c>
      <c r="AL88" s="400">
        <f t="shared" si="38"/>
        <v>3.243E-2</v>
      </c>
      <c r="AM88" s="400">
        <f t="shared" si="38"/>
        <v>6.4860000000000001E-2</v>
      </c>
      <c r="AN88" s="400">
        <f t="shared" si="38"/>
        <v>0</v>
      </c>
      <c r="AO88" s="400">
        <f t="shared" si="38"/>
        <v>1.26</v>
      </c>
      <c r="AP88" s="400">
        <f t="shared" si="38"/>
        <v>5.1935199999999995</v>
      </c>
      <c r="AQ88" s="400">
        <f t="shared" si="38"/>
        <v>0</v>
      </c>
      <c r="AR88" s="400">
        <f t="shared" si="38"/>
        <v>0.93647000000000002</v>
      </c>
      <c r="AS88" s="400">
        <f t="shared" si="38"/>
        <v>39.10492</v>
      </c>
      <c r="AT88" s="400">
        <f t="shared" si="38"/>
        <v>0.71284999999999987</v>
      </c>
      <c r="AU88" s="400">
        <f t="shared" si="38"/>
        <v>1.0115999999999998</v>
      </c>
      <c r="AV88" s="400">
        <f t="shared" si="38"/>
        <v>6.6765600000000003</v>
      </c>
      <c r="AW88" s="400">
        <f t="shared" si="38"/>
        <v>5.3020499999999995</v>
      </c>
    </row>
    <row r="89" spans="1:49" ht="15.75" customHeight="1">
      <c r="H89" s="399"/>
      <c r="I89" s="399"/>
      <c r="J89" s="400">
        <f t="shared" si="35"/>
        <v>0</v>
      </c>
      <c r="K89" s="400">
        <f t="shared" si="36"/>
        <v>0</v>
      </c>
      <c r="L89" s="400">
        <f t="shared" ref="L89:N89" si="39">SUMIFS($P89:$AW89,$P$3:$AW$3,L$4)</f>
        <v>0</v>
      </c>
      <c r="M89" s="400">
        <f t="shared" si="39"/>
        <v>0</v>
      </c>
      <c r="N89" s="400">
        <f t="shared" si="39"/>
        <v>0</v>
      </c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400"/>
      <c r="Z89" s="400"/>
      <c r="AA89" s="400"/>
      <c r="AB89" s="400"/>
      <c r="AC89" s="400"/>
      <c r="AD89" s="400"/>
      <c r="AE89" s="400"/>
      <c r="AF89" s="400"/>
      <c r="AG89" s="400"/>
      <c r="AH89" s="400"/>
      <c r="AI89" s="400"/>
      <c r="AJ89" s="400"/>
      <c r="AK89" s="400"/>
      <c r="AL89" s="400"/>
      <c r="AM89" s="400"/>
      <c r="AN89" s="400"/>
      <c r="AO89" s="400"/>
      <c r="AP89" s="400"/>
      <c r="AQ89" s="400"/>
      <c r="AR89" s="400"/>
      <c r="AS89" s="400"/>
      <c r="AT89" s="400"/>
      <c r="AU89" s="400"/>
      <c r="AV89" s="400"/>
      <c r="AW89" s="400"/>
    </row>
    <row r="90" spans="1:49" ht="15.75" customHeight="1">
      <c r="A90" s="3" t="s">
        <v>1752</v>
      </c>
      <c r="H90" s="350" t="s">
        <v>1752</v>
      </c>
      <c r="I90" s="350"/>
      <c r="J90" s="403">
        <f t="shared" ref="J90:N90" si="40">SUBTOTAL(9,J62:J88)</f>
        <v>3944.5923100000005</v>
      </c>
      <c r="K90" s="403">
        <f t="shared" si="40"/>
        <v>3037.6288100000006</v>
      </c>
      <c r="L90" s="403">
        <f t="shared" si="40"/>
        <v>2684.6267500000004</v>
      </c>
      <c r="M90" s="403">
        <f t="shared" si="40"/>
        <v>924.11725999999987</v>
      </c>
      <c r="N90" s="403">
        <f t="shared" si="40"/>
        <v>757.2093900000001</v>
      </c>
      <c r="O90" s="400"/>
      <c r="P90" s="403">
        <f t="shared" ref="P90:AW90" si="41">SUBTOTAL(9,P62:P88)</f>
        <v>229.53260000000003</v>
      </c>
      <c r="Q90" s="403">
        <f t="shared" si="41"/>
        <v>84.264019999999988</v>
      </c>
      <c r="R90" s="403">
        <f t="shared" si="41"/>
        <v>198.06118999999998</v>
      </c>
      <c r="S90" s="403">
        <f t="shared" si="41"/>
        <v>192.39746000000002</v>
      </c>
      <c r="T90" s="403">
        <f t="shared" si="41"/>
        <v>372.14453999999989</v>
      </c>
      <c r="U90" s="403">
        <f t="shared" si="41"/>
        <v>193.94881999999998</v>
      </c>
      <c r="V90" s="403">
        <f t="shared" si="41"/>
        <v>397.56984</v>
      </c>
      <c r="W90" s="403">
        <f t="shared" si="41"/>
        <v>241.49139999999997</v>
      </c>
      <c r="X90" s="403">
        <f t="shared" si="41"/>
        <v>90.15061</v>
      </c>
      <c r="Y90" s="403">
        <f t="shared" si="41"/>
        <v>99.264469999999989</v>
      </c>
      <c r="Z90" s="403">
        <f t="shared" si="41"/>
        <v>102.92290999999999</v>
      </c>
      <c r="AA90" s="403">
        <f t="shared" si="41"/>
        <v>88.018450000000001</v>
      </c>
      <c r="AB90" s="403">
        <f t="shared" si="41"/>
        <v>172.64821999999998</v>
      </c>
      <c r="AC90" s="403">
        <f t="shared" si="41"/>
        <v>248.75208999999998</v>
      </c>
      <c r="AD90" s="403">
        <f t="shared" si="41"/>
        <v>218.62082999999998</v>
      </c>
      <c r="AE90" s="403">
        <f t="shared" si="41"/>
        <v>819.97926000000007</v>
      </c>
      <c r="AF90" s="403">
        <f t="shared" si="41"/>
        <v>86.98424</v>
      </c>
      <c r="AG90" s="403">
        <f t="shared" si="41"/>
        <v>107.84136000000001</v>
      </c>
      <c r="AH90" s="403">
        <f t="shared" si="41"/>
        <v>326.85745999999995</v>
      </c>
      <c r="AI90" s="403">
        <f t="shared" si="41"/>
        <v>246.06374999999997</v>
      </c>
      <c r="AJ90" s="403">
        <f t="shared" si="41"/>
        <v>0.79303000000000001</v>
      </c>
      <c r="AK90" s="403">
        <f t="shared" si="41"/>
        <v>108.19712000000001</v>
      </c>
      <c r="AL90" s="403">
        <f t="shared" si="41"/>
        <v>191.6232</v>
      </c>
      <c r="AM90" s="403">
        <f t="shared" si="41"/>
        <v>209.17406</v>
      </c>
      <c r="AN90" s="403">
        <f t="shared" si="41"/>
        <v>87.47238999999999</v>
      </c>
      <c r="AO90" s="403">
        <f t="shared" si="41"/>
        <v>395.97325000000001</v>
      </c>
      <c r="AP90" s="403">
        <f t="shared" si="41"/>
        <v>330.12121999999994</v>
      </c>
      <c r="AQ90" s="403">
        <f t="shared" si="41"/>
        <v>24.900149999999996</v>
      </c>
      <c r="AR90" s="403">
        <f t="shared" si="41"/>
        <v>220.14416000000003</v>
      </c>
      <c r="AS90" s="403">
        <f t="shared" si="41"/>
        <v>171.16134</v>
      </c>
      <c r="AT90" s="403">
        <f t="shared" si="41"/>
        <v>271.26660000000004</v>
      </c>
      <c r="AU90" s="403">
        <f t="shared" si="41"/>
        <v>355.66573</v>
      </c>
      <c r="AV90" s="403">
        <f t="shared" si="41"/>
        <v>940.29444999999998</v>
      </c>
      <c r="AW90" s="403">
        <f t="shared" si="41"/>
        <v>757.2093900000001</v>
      </c>
    </row>
    <row r="91" spans="1:49" ht="15.75" customHeight="1">
      <c r="H91" s="404"/>
      <c r="I91" s="404"/>
      <c r="J91" s="400"/>
      <c r="K91" s="400"/>
      <c r="L91" s="400"/>
      <c r="M91" s="400"/>
      <c r="N91" s="400"/>
      <c r="O91" s="400"/>
      <c r="P91" s="400"/>
      <c r="Q91" s="400"/>
      <c r="R91" s="400"/>
      <c r="S91" s="400"/>
      <c r="T91" s="400"/>
      <c r="U91" s="400"/>
      <c r="V91" s="400"/>
      <c r="W91" s="400"/>
      <c r="X91" s="400"/>
      <c r="Y91" s="400"/>
      <c r="Z91" s="400"/>
      <c r="AA91" s="400"/>
      <c r="AB91" s="400"/>
      <c r="AC91" s="400"/>
      <c r="AD91" s="400"/>
      <c r="AE91" s="400"/>
      <c r="AF91" s="400"/>
      <c r="AG91" s="400"/>
      <c r="AH91" s="400"/>
      <c r="AI91" s="400"/>
      <c r="AJ91" s="400"/>
      <c r="AK91" s="400"/>
      <c r="AL91" s="400"/>
      <c r="AM91" s="400"/>
      <c r="AN91" s="400"/>
      <c r="AO91" s="400"/>
      <c r="AP91" s="400"/>
      <c r="AQ91" s="400"/>
      <c r="AR91" s="400"/>
      <c r="AS91" s="400"/>
      <c r="AT91" s="400"/>
      <c r="AU91" s="400"/>
      <c r="AV91" s="400"/>
      <c r="AW91" s="400"/>
    </row>
    <row r="92" spans="1:49" ht="15.75" customHeight="1">
      <c r="H92" s="404" t="s">
        <v>144</v>
      </c>
      <c r="I92" s="404"/>
      <c r="J92" s="400">
        <f t="shared" ref="J92:N92" si="42">J57-J90</f>
        <v>32306.703690000002</v>
      </c>
      <c r="K92" s="400">
        <f t="shared" si="42"/>
        <v>24728.469389999995</v>
      </c>
      <c r="L92" s="400">
        <f t="shared" si="42"/>
        <v>14762.401760000004</v>
      </c>
      <c r="M92" s="400">
        <f t="shared" si="42"/>
        <v>6912.4343600000002</v>
      </c>
      <c r="N92" s="400">
        <f t="shared" si="42"/>
        <v>6296.2255999999998</v>
      </c>
      <c r="O92" s="400"/>
      <c r="P92" s="400">
        <f t="shared" ref="P92:AW92" si="43">P57-P90</f>
        <v>1801.2896399999995</v>
      </c>
      <c r="Q92" s="400">
        <f t="shared" si="43"/>
        <v>732.24800000000005</v>
      </c>
      <c r="R92" s="400">
        <f t="shared" si="43"/>
        <v>1476.9405300000003</v>
      </c>
      <c r="S92" s="400">
        <f t="shared" si="43"/>
        <v>1539.9385700000003</v>
      </c>
      <c r="T92" s="400">
        <f t="shared" si="43"/>
        <v>3216.0731700000001</v>
      </c>
      <c r="U92" s="400">
        <f t="shared" si="43"/>
        <v>1835.0946099999996</v>
      </c>
      <c r="V92" s="400">
        <f t="shared" si="43"/>
        <v>3176.4544999999998</v>
      </c>
      <c r="W92" s="400">
        <f t="shared" si="43"/>
        <v>2015.0726799999998</v>
      </c>
      <c r="X92" s="400">
        <f t="shared" si="43"/>
        <v>663.71904000000006</v>
      </c>
      <c r="Y92" s="400">
        <f t="shared" si="43"/>
        <v>889.15803000000017</v>
      </c>
      <c r="Z92" s="400">
        <f t="shared" si="43"/>
        <v>863.79777000000001</v>
      </c>
      <c r="AA92" s="400">
        <f t="shared" si="43"/>
        <v>660.75892999999996</v>
      </c>
      <c r="AB92" s="400">
        <f t="shared" si="43"/>
        <v>982.58332000000019</v>
      </c>
      <c r="AC92" s="400">
        <f t="shared" si="43"/>
        <v>2171.6111600000004</v>
      </c>
      <c r="AD92" s="400">
        <f t="shared" si="43"/>
        <v>1943.89283</v>
      </c>
      <c r="AE92" s="400">
        <f t="shared" si="43"/>
        <v>6886.4098699999995</v>
      </c>
      <c r="AF92" s="400">
        <f t="shared" si="43"/>
        <v>691.82442999999989</v>
      </c>
      <c r="AG92" s="400">
        <f t="shared" si="43"/>
        <v>759.83660999999972</v>
      </c>
      <c r="AH92" s="400">
        <f t="shared" si="43"/>
        <v>2876.0029199999999</v>
      </c>
      <c r="AI92" s="400">
        <f t="shared" si="43"/>
        <v>1872.5622099999998</v>
      </c>
      <c r="AJ92" s="400">
        <f t="shared" si="43"/>
        <v>-79.842810000000028</v>
      </c>
      <c r="AK92" s="400">
        <f t="shared" si="43"/>
        <v>671.36748</v>
      </c>
      <c r="AL92" s="400">
        <f t="shared" si="43"/>
        <v>1523.4317699999999</v>
      </c>
      <c r="AM92" s="400">
        <f t="shared" si="43"/>
        <v>1455.7615999999998</v>
      </c>
      <c r="AN92" s="400">
        <f t="shared" si="43"/>
        <v>465.71339999999998</v>
      </c>
      <c r="AO92" s="400">
        <f t="shared" si="43"/>
        <v>2073.4532800000002</v>
      </c>
      <c r="AP92" s="400">
        <f t="shared" si="43"/>
        <v>1653.05321</v>
      </c>
      <c r="AQ92" s="400">
        <f t="shared" si="43"/>
        <v>463.48053999999991</v>
      </c>
      <c r="AR92" s="400">
        <f t="shared" si="43"/>
        <v>1152.0534799999998</v>
      </c>
      <c r="AS92" s="400">
        <f t="shared" si="43"/>
        <v>549.56903000000011</v>
      </c>
      <c r="AT92" s="400">
        <f t="shared" si="43"/>
        <v>1455.6109000000001</v>
      </c>
      <c r="AU92" s="400">
        <f t="shared" si="43"/>
        <v>2292.31612</v>
      </c>
      <c r="AV92" s="400">
        <f t="shared" si="43"/>
        <v>5586.3457399999998</v>
      </c>
      <c r="AW92" s="400">
        <f t="shared" si="43"/>
        <v>6296.2255999999998</v>
      </c>
    </row>
    <row r="93" spans="1:49" ht="15.75" customHeight="1">
      <c r="H93" s="405" t="s">
        <v>2220</v>
      </c>
      <c r="I93" s="405"/>
      <c r="J93" s="63">
        <f t="shared" ref="J93:N93" si="44">J92/J57</f>
        <v>0.89118755064646515</v>
      </c>
      <c r="K93" s="63">
        <f t="shared" si="44"/>
        <v>0.89059936372334803</v>
      </c>
      <c r="L93" s="63">
        <f t="shared" si="44"/>
        <v>0.84612699242961231</v>
      </c>
      <c r="M93" s="63">
        <f t="shared" si="44"/>
        <v>0.882076032314836</v>
      </c>
      <c r="N93" s="63">
        <f t="shared" si="44"/>
        <v>0.89264671878687007</v>
      </c>
      <c r="O93" s="63"/>
      <c r="P93" s="63">
        <f t="shared" ref="P93:AW93" si="45">P92/P57</f>
        <v>0.8869755336144044</v>
      </c>
      <c r="Q93" s="63">
        <f t="shared" si="45"/>
        <v>0.89680002506270518</v>
      </c>
      <c r="R93" s="63">
        <f t="shared" si="45"/>
        <v>0.88175463485494221</v>
      </c>
      <c r="S93" s="63">
        <f t="shared" si="45"/>
        <v>0.88893756368964982</v>
      </c>
      <c r="T93" s="63">
        <f t="shared" si="45"/>
        <v>0.89628707896879545</v>
      </c>
      <c r="U93" s="63">
        <f t="shared" si="45"/>
        <v>0.9044136674787685</v>
      </c>
      <c r="V93" s="63">
        <f t="shared" si="45"/>
        <v>0.8887612947817809</v>
      </c>
      <c r="W93" s="63">
        <f t="shared" si="45"/>
        <v>0.89298269783679274</v>
      </c>
      <c r="X93" s="63">
        <f t="shared" si="45"/>
        <v>0.88041618335477489</v>
      </c>
      <c r="Y93" s="63">
        <f t="shared" si="45"/>
        <v>0.8995728344913233</v>
      </c>
      <c r="Z93" s="63">
        <f t="shared" si="45"/>
        <v>0.89353397301896964</v>
      </c>
      <c r="AA93" s="63">
        <f t="shared" si="45"/>
        <v>0.88245044207932666</v>
      </c>
      <c r="AB93" s="63">
        <f t="shared" si="45"/>
        <v>0.85055098132102591</v>
      </c>
      <c r="AC93" s="63">
        <f t="shared" si="45"/>
        <v>0.89722530698646163</v>
      </c>
      <c r="AD93" s="63">
        <f t="shared" si="45"/>
        <v>0.89890430102531693</v>
      </c>
      <c r="AE93" s="63">
        <f t="shared" si="45"/>
        <v>0.89359747526790145</v>
      </c>
      <c r="AF93" s="63">
        <f t="shared" si="45"/>
        <v>0.88831115606352973</v>
      </c>
      <c r="AG93" s="63">
        <f t="shared" si="45"/>
        <v>0.87571269096528981</v>
      </c>
      <c r="AH93" s="63">
        <f t="shared" si="45"/>
        <v>0.89794826460715105</v>
      </c>
      <c r="AI93" s="63">
        <f t="shared" si="45"/>
        <v>0.88385691733900962</v>
      </c>
      <c r="AJ93" s="63">
        <f t="shared" si="45"/>
        <v>1.010032032979725</v>
      </c>
      <c r="AK93" s="63">
        <f t="shared" si="45"/>
        <v>0.86120826933393324</v>
      </c>
      <c r="AL93" s="63">
        <f t="shared" si="45"/>
        <v>0.88826993691053524</v>
      </c>
      <c r="AM93" s="63">
        <f t="shared" si="45"/>
        <v>0.87436507906858085</v>
      </c>
      <c r="AN93" s="63">
        <f t="shared" si="45"/>
        <v>0.84187520435042262</v>
      </c>
      <c r="AO93" s="63">
        <f t="shared" si="45"/>
        <v>0.83964971413828615</v>
      </c>
      <c r="AP93" s="63">
        <f t="shared" si="45"/>
        <v>0.83353898930614989</v>
      </c>
      <c r="AQ93" s="63">
        <f t="shared" si="45"/>
        <v>0.94901487607956003</v>
      </c>
      <c r="AR93" s="63">
        <f t="shared" si="45"/>
        <v>0.83956818348703754</v>
      </c>
      <c r="AS93" s="63">
        <f t="shared" si="45"/>
        <v>0.76251682026386658</v>
      </c>
      <c r="AT93" s="63">
        <f t="shared" si="45"/>
        <v>0.84291497225483569</v>
      </c>
      <c r="AU93" s="63">
        <f t="shared" si="45"/>
        <v>0.86568422664981626</v>
      </c>
      <c r="AV93" s="63">
        <f t="shared" si="45"/>
        <v>0.85592978582752233</v>
      </c>
      <c r="AW93" s="63">
        <f t="shared" si="45"/>
        <v>0.89264671878687007</v>
      </c>
    </row>
    <row r="94" spans="1:49" ht="15.75" customHeight="1">
      <c r="H94" s="405"/>
      <c r="I94" s="405"/>
      <c r="J94" s="3"/>
      <c r="K94" s="3"/>
      <c r="L94" s="3"/>
      <c r="P94" s="3"/>
      <c r="Q94" s="3"/>
    </row>
    <row r="95" spans="1:49" ht="15.75" customHeight="1">
      <c r="H95" s="395" t="s">
        <v>164</v>
      </c>
      <c r="I95" s="395"/>
      <c r="J95" s="3"/>
      <c r="K95" s="3"/>
      <c r="L95" s="3"/>
      <c r="P95" s="3"/>
      <c r="Q95" s="3"/>
    </row>
    <row r="96" spans="1:49" ht="15.75" customHeight="1">
      <c r="H96" s="404"/>
      <c r="I96" s="404"/>
      <c r="J96" s="3"/>
      <c r="K96" s="3"/>
      <c r="L96" s="3"/>
      <c r="P96" s="3"/>
      <c r="Q96" s="3"/>
    </row>
    <row r="97" spans="1:49" ht="15.75" hidden="1" customHeight="1" outlineLevel="1">
      <c r="H97" s="396" t="s">
        <v>2221</v>
      </c>
      <c r="I97" s="396"/>
      <c r="J97" s="397"/>
      <c r="K97" s="397"/>
      <c r="L97" s="397"/>
      <c r="M97" s="397"/>
      <c r="N97" s="397"/>
      <c r="O97" s="397"/>
      <c r="P97" s="397">
        <v>7.79704</v>
      </c>
      <c r="Q97" s="397">
        <v>0.40123000000000003</v>
      </c>
      <c r="R97" s="397">
        <v>6.2445800000000009</v>
      </c>
      <c r="S97" s="397">
        <v>0.70216000000000001</v>
      </c>
      <c r="T97" s="397">
        <v>201.05408000000003</v>
      </c>
      <c r="U97" s="397">
        <v>0.40123000000000003</v>
      </c>
      <c r="V97" s="397">
        <v>10.95914</v>
      </c>
      <c r="W97" s="397">
        <v>0.90276999999999996</v>
      </c>
      <c r="X97" s="397">
        <v>1.6813399999999998</v>
      </c>
      <c r="Y97" s="397">
        <v>5.6351599999999999</v>
      </c>
      <c r="Z97" s="397">
        <v>0.30092000000000002</v>
      </c>
      <c r="AA97" s="397">
        <v>5.2124000000000006</v>
      </c>
      <c r="AB97" s="397">
        <v>134.37970999999999</v>
      </c>
      <c r="AC97" s="397">
        <v>145.93661</v>
      </c>
      <c r="AD97" s="397">
        <v>95.473710000000025</v>
      </c>
      <c r="AE97" s="397">
        <v>196.92721</v>
      </c>
      <c r="AF97" s="397">
        <v>34.619210000000002</v>
      </c>
      <c r="AG97" s="397">
        <v>76.758819999999986</v>
      </c>
      <c r="AH97" s="397">
        <v>73.667149999999992</v>
      </c>
      <c r="AI97" s="397">
        <v>63.797499999999999</v>
      </c>
      <c r="AJ97" s="397">
        <v>0</v>
      </c>
      <c r="AK97" s="397">
        <v>36.308459999999997</v>
      </c>
      <c r="AL97" s="397">
        <v>41.926349999999999</v>
      </c>
      <c r="AM97" s="397">
        <v>53.959859999999999</v>
      </c>
      <c r="AN97" s="397">
        <v>24.413250000000001</v>
      </c>
      <c r="AO97" s="397">
        <v>69.097790000000003</v>
      </c>
      <c r="AP97" s="397">
        <v>72.79834000000001</v>
      </c>
      <c r="AQ97" s="397">
        <v>0.82214999999999994</v>
      </c>
      <c r="AR97" s="397">
        <v>48.747439999999997</v>
      </c>
      <c r="AS97" s="397">
        <v>23.283780000000004</v>
      </c>
      <c r="AT97" s="397">
        <v>55.397930000000002</v>
      </c>
      <c r="AU97" s="397">
        <v>53.934010000000008</v>
      </c>
      <c r="AV97" s="397">
        <v>142.86632999999995</v>
      </c>
      <c r="AW97" s="397">
        <v>111.89456</v>
      </c>
    </row>
    <row r="98" spans="1:49" ht="15.75" hidden="1" customHeight="1" outlineLevel="1">
      <c r="H98" s="396" t="s">
        <v>2222</v>
      </c>
      <c r="I98" s="396"/>
      <c r="J98" s="397"/>
      <c r="K98" s="397"/>
      <c r="L98" s="397"/>
      <c r="M98" s="397"/>
      <c r="N98" s="397"/>
      <c r="O98" s="397"/>
      <c r="P98" s="397">
        <v>9.1985700000000001</v>
      </c>
      <c r="Q98" s="397">
        <v>3.5372399999999997</v>
      </c>
      <c r="R98" s="397">
        <v>6.89703</v>
      </c>
      <c r="S98" s="397">
        <v>6.3563499999999991</v>
      </c>
      <c r="T98" s="397">
        <v>123.08033</v>
      </c>
      <c r="U98" s="397">
        <v>3.9658399999999996</v>
      </c>
      <c r="V98" s="397">
        <v>9.3625000000000007</v>
      </c>
      <c r="W98" s="397">
        <v>8.7911999999999981</v>
      </c>
      <c r="X98" s="397">
        <v>0.23139999999999997</v>
      </c>
      <c r="Y98" s="397">
        <v>4.9642100000000005</v>
      </c>
      <c r="Z98" s="397">
        <v>2.6193599999999999</v>
      </c>
      <c r="AA98" s="397">
        <v>6.42239</v>
      </c>
      <c r="AB98" s="397">
        <v>82.181599999999989</v>
      </c>
      <c r="AC98" s="397">
        <v>86.055840000000003</v>
      </c>
      <c r="AD98" s="397">
        <v>56.780129999999993</v>
      </c>
      <c r="AE98" s="397">
        <v>120.55289</v>
      </c>
      <c r="AF98" s="397">
        <v>32.627090000000003</v>
      </c>
      <c r="AG98" s="397">
        <v>43.032430000000005</v>
      </c>
      <c r="AH98" s="397">
        <v>50.181249999999999</v>
      </c>
      <c r="AI98" s="397">
        <v>40.70468000000001</v>
      </c>
      <c r="AJ98" s="397">
        <v>0</v>
      </c>
      <c r="AK98" s="397">
        <v>26.250600000000006</v>
      </c>
      <c r="AL98" s="397">
        <v>27.429740000000002</v>
      </c>
      <c r="AM98" s="397">
        <v>35.410049999999998</v>
      </c>
      <c r="AN98" s="397">
        <v>15.735259999999998</v>
      </c>
      <c r="AO98" s="397">
        <v>37.316890000000001</v>
      </c>
      <c r="AP98" s="397">
        <v>37.188029999999998</v>
      </c>
      <c r="AQ98" s="397">
        <v>0.35582999999999998</v>
      </c>
      <c r="AR98" s="397">
        <v>25.289180000000005</v>
      </c>
      <c r="AS98" s="397">
        <v>10.401320000000002</v>
      </c>
      <c r="AT98" s="397">
        <v>28.322200000000006</v>
      </c>
      <c r="AU98" s="397">
        <v>28.166550000000001</v>
      </c>
      <c r="AV98" s="397">
        <v>74.120930000000001</v>
      </c>
      <c r="AW98" s="397">
        <v>98.52597999999999</v>
      </c>
    </row>
    <row r="99" spans="1:49" ht="15.75" customHeight="1" collapsed="1">
      <c r="A99" s="3" t="s">
        <v>146</v>
      </c>
      <c r="H99" s="399" t="s">
        <v>146</v>
      </c>
      <c r="I99" s="399"/>
      <c r="J99" s="400">
        <f>SUMIFS($P99:$AW99,$P$3:$AW$3,J$4)</f>
        <v>1532.0437200000001</v>
      </c>
      <c r="K99" s="400">
        <f>J99-AE99-AF99</f>
        <v>1147.3173200000001</v>
      </c>
      <c r="L99" s="400">
        <f t="shared" ref="L99:N99" si="46">SUMIFS($P99:$AW99,$P$3:$AW$3,L$4)</f>
        <v>706.93072000000006</v>
      </c>
      <c r="M99" s="400">
        <f t="shared" si="46"/>
        <v>385.28197</v>
      </c>
      <c r="N99" s="400">
        <f t="shared" si="46"/>
        <v>210.42053999999999</v>
      </c>
      <c r="O99" s="400"/>
      <c r="P99" s="400">
        <f t="shared" ref="P99:AW99" si="47">SUBTOTAL(9,P97:P98)</f>
        <v>16.995609999999999</v>
      </c>
      <c r="Q99" s="400">
        <f t="shared" si="47"/>
        <v>3.9384699999999997</v>
      </c>
      <c r="R99" s="400">
        <f t="shared" si="47"/>
        <v>13.14161</v>
      </c>
      <c r="S99" s="400">
        <f t="shared" si="47"/>
        <v>7.0585099999999992</v>
      </c>
      <c r="T99" s="400">
        <f t="shared" si="47"/>
        <v>324.13441</v>
      </c>
      <c r="U99" s="400">
        <f t="shared" si="47"/>
        <v>4.36707</v>
      </c>
      <c r="V99" s="400">
        <f t="shared" si="47"/>
        <v>20.321640000000002</v>
      </c>
      <c r="W99" s="400">
        <f t="shared" si="47"/>
        <v>9.6939699999999984</v>
      </c>
      <c r="X99" s="400">
        <f t="shared" si="47"/>
        <v>1.9127399999999999</v>
      </c>
      <c r="Y99" s="400">
        <f t="shared" si="47"/>
        <v>10.59937</v>
      </c>
      <c r="Z99" s="400">
        <f t="shared" si="47"/>
        <v>2.92028</v>
      </c>
      <c r="AA99" s="400">
        <f t="shared" si="47"/>
        <v>11.634790000000001</v>
      </c>
      <c r="AB99" s="400">
        <f t="shared" si="47"/>
        <v>216.56130999999999</v>
      </c>
      <c r="AC99" s="400">
        <f t="shared" si="47"/>
        <v>231.99245000000002</v>
      </c>
      <c r="AD99" s="400">
        <f t="shared" si="47"/>
        <v>152.25384000000003</v>
      </c>
      <c r="AE99" s="400">
        <f t="shared" si="47"/>
        <v>317.48009999999999</v>
      </c>
      <c r="AF99" s="400">
        <f t="shared" si="47"/>
        <v>67.246300000000005</v>
      </c>
      <c r="AG99" s="400">
        <f t="shared" si="47"/>
        <v>119.79124999999999</v>
      </c>
      <c r="AH99" s="400">
        <f t="shared" si="47"/>
        <v>123.8484</v>
      </c>
      <c r="AI99" s="400">
        <f t="shared" si="47"/>
        <v>104.50218000000001</v>
      </c>
      <c r="AJ99" s="400">
        <f t="shared" si="47"/>
        <v>0</v>
      </c>
      <c r="AK99" s="400">
        <f t="shared" si="47"/>
        <v>62.559060000000002</v>
      </c>
      <c r="AL99" s="400">
        <f t="shared" si="47"/>
        <v>69.356089999999995</v>
      </c>
      <c r="AM99" s="400">
        <f t="shared" si="47"/>
        <v>89.369910000000004</v>
      </c>
      <c r="AN99" s="400">
        <f t="shared" si="47"/>
        <v>40.148510000000002</v>
      </c>
      <c r="AO99" s="400">
        <f t="shared" si="47"/>
        <v>106.41468</v>
      </c>
      <c r="AP99" s="400">
        <f t="shared" si="47"/>
        <v>109.98637000000001</v>
      </c>
      <c r="AQ99" s="400">
        <f t="shared" si="47"/>
        <v>1.1779799999999998</v>
      </c>
      <c r="AR99" s="400">
        <f t="shared" si="47"/>
        <v>74.036619999999999</v>
      </c>
      <c r="AS99" s="400">
        <f t="shared" si="47"/>
        <v>33.685100000000006</v>
      </c>
      <c r="AT99" s="400">
        <f t="shared" si="47"/>
        <v>83.720130000000012</v>
      </c>
      <c r="AU99" s="400">
        <f t="shared" si="47"/>
        <v>82.100560000000002</v>
      </c>
      <c r="AV99" s="400">
        <f t="shared" si="47"/>
        <v>216.98725999999994</v>
      </c>
      <c r="AW99" s="400">
        <f t="shared" si="47"/>
        <v>210.42053999999999</v>
      </c>
    </row>
    <row r="100" spans="1:49" ht="15.75" hidden="1" customHeight="1" outlineLevel="1">
      <c r="H100" s="396" t="s">
        <v>2223</v>
      </c>
      <c r="I100" s="396"/>
      <c r="J100" s="397"/>
      <c r="K100" s="397"/>
      <c r="L100" s="397"/>
      <c r="M100" s="397"/>
      <c r="N100" s="397"/>
      <c r="O100" s="397"/>
      <c r="P100" s="397">
        <v>61.028379999999999</v>
      </c>
      <c r="Q100" s="397">
        <v>23.828889999999998</v>
      </c>
      <c r="R100" s="397">
        <v>57.410959999999996</v>
      </c>
      <c r="S100" s="397">
        <v>54.785510000000002</v>
      </c>
      <c r="T100" s="397">
        <v>76.544769999999986</v>
      </c>
      <c r="U100" s="397">
        <v>45.145890000000009</v>
      </c>
      <c r="V100" s="397">
        <v>94.943719999999999</v>
      </c>
      <c r="W100" s="397">
        <v>78.841710000000006</v>
      </c>
      <c r="X100" s="397">
        <v>28.208379999999998</v>
      </c>
      <c r="Y100" s="397">
        <v>42.839849999999998</v>
      </c>
      <c r="Z100" s="397">
        <v>35.62165000000001</v>
      </c>
      <c r="AA100" s="397">
        <v>35.624030000000005</v>
      </c>
      <c r="AB100" s="397">
        <v>53.057729999999999</v>
      </c>
      <c r="AC100" s="397">
        <v>54.869329999999998</v>
      </c>
      <c r="AD100" s="397">
        <v>34.416710000000002</v>
      </c>
      <c r="AE100" s="397">
        <v>89.348749999999995</v>
      </c>
      <c r="AF100" s="397">
        <v>16.269209999999998</v>
      </c>
      <c r="AG100" s="397">
        <v>29.671099999999999</v>
      </c>
      <c r="AH100" s="397">
        <v>62.546779999999991</v>
      </c>
      <c r="AI100" s="397">
        <v>54.961449999999999</v>
      </c>
      <c r="AJ100" s="397">
        <v>0</v>
      </c>
      <c r="AK100" s="397">
        <v>32.68974</v>
      </c>
      <c r="AL100" s="397">
        <v>35.828650000000003</v>
      </c>
      <c r="AM100" s="397">
        <v>45.40059999999999</v>
      </c>
      <c r="AN100" s="397">
        <v>21.5959</v>
      </c>
      <c r="AO100" s="397">
        <v>67.00021000000001</v>
      </c>
      <c r="AP100" s="397">
        <v>68.501979999999989</v>
      </c>
      <c r="AQ100" s="397">
        <v>1.7231500000000002</v>
      </c>
      <c r="AR100" s="397">
        <v>46.093090000000004</v>
      </c>
      <c r="AS100" s="397">
        <v>21.206199999999999</v>
      </c>
      <c r="AT100" s="397">
        <v>52.465490000000003</v>
      </c>
      <c r="AU100" s="397">
        <v>51.400109999999998</v>
      </c>
      <c r="AV100" s="397">
        <v>135.00476</v>
      </c>
      <c r="AW100" s="397">
        <v>68.941589999999991</v>
      </c>
    </row>
    <row r="101" spans="1:49" ht="15.75" hidden="1" customHeight="1" outlineLevel="1">
      <c r="H101" s="396" t="s">
        <v>2224</v>
      </c>
      <c r="I101" s="396"/>
      <c r="J101" s="397"/>
      <c r="K101" s="397"/>
      <c r="L101" s="397"/>
      <c r="M101" s="397"/>
      <c r="N101" s="397"/>
      <c r="O101" s="397"/>
      <c r="P101" s="397">
        <v>23.564529999999998</v>
      </c>
      <c r="Q101" s="397">
        <v>8.77318</v>
      </c>
      <c r="R101" s="397">
        <v>22.3611</v>
      </c>
      <c r="S101" s="397">
        <v>17.432009999999998</v>
      </c>
      <c r="T101" s="397">
        <v>44.583400000000005</v>
      </c>
      <c r="U101" s="397">
        <v>16.30236</v>
      </c>
      <c r="V101" s="397">
        <v>39.518170000000005</v>
      </c>
      <c r="W101" s="397">
        <v>25.350720000000003</v>
      </c>
      <c r="X101" s="397">
        <v>12.661720000000001</v>
      </c>
      <c r="Y101" s="397">
        <v>16.074570000000001</v>
      </c>
      <c r="Z101" s="397">
        <v>10.24887</v>
      </c>
      <c r="AA101" s="397">
        <v>13.165509999999999</v>
      </c>
      <c r="AB101" s="397">
        <v>30.596070000000001</v>
      </c>
      <c r="AC101" s="397">
        <v>32.470589999999994</v>
      </c>
      <c r="AD101" s="397">
        <v>21.53594</v>
      </c>
      <c r="AE101" s="397">
        <v>102.60842000000001</v>
      </c>
      <c r="AF101" s="397">
        <v>11.220920000000001</v>
      </c>
      <c r="AG101" s="397">
        <v>17.955389999999998</v>
      </c>
      <c r="AH101" s="397">
        <v>36.441799999999994</v>
      </c>
      <c r="AI101" s="397">
        <v>32.203069999999997</v>
      </c>
      <c r="AJ101" s="397">
        <v>0</v>
      </c>
      <c r="AK101" s="397">
        <v>18.25468</v>
      </c>
      <c r="AL101" s="397">
        <v>22.333460000000002</v>
      </c>
      <c r="AM101" s="397">
        <v>34.192959999999999</v>
      </c>
      <c r="AN101" s="397">
        <v>11.39465</v>
      </c>
      <c r="AO101" s="397">
        <v>27.248939999999997</v>
      </c>
      <c r="AP101" s="397">
        <v>28.445350000000001</v>
      </c>
      <c r="AQ101" s="397">
        <v>16.842919999999999</v>
      </c>
      <c r="AR101" s="397">
        <v>18.68882</v>
      </c>
      <c r="AS101" s="397">
        <v>8.1636600000000001</v>
      </c>
      <c r="AT101" s="397">
        <v>18.535699999999999</v>
      </c>
      <c r="AU101" s="397">
        <v>19.633679999999998</v>
      </c>
      <c r="AV101" s="397">
        <v>49.712609999999991</v>
      </c>
      <c r="AW101" s="397">
        <v>166.75379999999998</v>
      </c>
    </row>
    <row r="102" spans="1:49" ht="15.75" hidden="1" customHeight="1" outlineLevel="1">
      <c r="H102" s="396" t="s">
        <v>2225</v>
      </c>
      <c r="I102" s="396"/>
      <c r="J102" s="397"/>
      <c r="K102" s="397"/>
      <c r="L102" s="397"/>
      <c r="M102" s="397"/>
      <c r="N102" s="397"/>
      <c r="O102" s="397"/>
      <c r="P102" s="397">
        <v>21.06991</v>
      </c>
      <c r="Q102" s="397">
        <v>13.317410000000001</v>
      </c>
      <c r="R102" s="397">
        <v>20.304990000000004</v>
      </c>
      <c r="S102" s="397">
        <v>28.319230000000005</v>
      </c>
      <c r="T102" s="397">
        <v>34.455589999999994</v>
      </c>
      <c r="U102" s="397">
        <v>19.611810000000002</v>
      </c>
      <c r="V102" s="397">
        <v>36.164429999999996</v>
      </c>
      <c r="W102" s="397">
        <v>36.056890000000003</v>
      </c>
      <c r="X102" s="397">
        <v>10.910960000000003</v>
      </c>
      <c r="Y102" s="397">
        <v>16.168390000000002</v>
      </c>
      <c r="Z102" s="397">
        <v>14.145320000000002</v>
      </c>
      <c r="AA102" s="397">
        <v>12.252460000000001</v>
      </c>
      <c r="AB102" s="397">
        <v>26.292720000000003</v>
      </c>
      <c r="AC102" s="397">
        <v>24.53735</v>
      </c>
      <c r="AD102" s="397">
        <v>15.05827</v>
      </c>
      <c r="AE102" s="397">
        <v>45.357779999999991</v>
      </c>
      <c r="AF102" s="397">
        <v>9.7167600000000007</v>
      </c>
      <c r="AG102" s="397">
        <v>14.80091</v>
      </c>
      <c r="AH102" s="397">
        <v>32.769190000000002</v>
      </c>
      <c r="AI102" s="397">
        <v>24.803519999999999</v>
      </c>
      <c r="AJ102" s="397">
        <v>0</v>
      </c>
      <c r="AK102" s="397">
        <v>14.477739999999997</v>
      </c>
      <c r="AL102" s="397">
        <v>18.417960000000008</v>
      </c>
      <c r="AM102" s="397">
        <v>22.015139999999995</v>
      </c>
      <c r="AN102" s="397">
        <v>10.820360000000003</v>
      </c>
      <c r="AO102" s="397">
        <v>15.869409999999998</v>
      </c>
      <c r="AP102" s="397">
        <v>16.127200000000002</v>
      </c>
      <c r="AQ102" s="397">
        <v>1.3574699999999997</v>
      </c>
      <c r="AR102" s="397">
        <v>11.103519999999998</v>
      </c>
      <c r="AS102" s="397">
        <v>5.31508</v>
      </c>
      <c r="AT102" s="397">
        <v>12.481760000000001</v>
      </c>
      <c r="AU102" s="397">
        <v>12.194880000000001</v>
      </c>
      <c r="AV102" s="397">
        <v>32.22466</v>
      </c>
      <c r="AW102" s="397">
        <v>97.145189999999999</v>
      </c>
    </row>
    <row r="103" spans="1:49" ht="15.75" customHeight="1" collapsed="1">
      <c r="A103" s="3" t="s">
        <v>149</v>
      </c>
      <c r="H103" s="399" t="s">
        <v>149</v>
      </c>
      <c r="I103" s="399"/>
      <c r="J103" s="400">
        <f>SUMIFS($P103:$AW103,$P$3:$AW$3,J$4)</f>
        <v>1777.4212199999997</v>
      </c>
      <c r="K103" s="400">
        <f>J103-AE103-AF103</f>
        <v>1502.8993799999998</v>
      </c>
      <c r="L103" s="400">
        <f t="shared" ref="L103:N103" si="48">SUMIFS($P103:$AW103,$P$3:$AW$3,L$4)</f>
        <v>717.41711000000009</v>
      </c>
      <c r="M103" s="400">
        <f t="shared" si="48"/>
        <v>419.17960999999997</v>
      </c>
      <c r="N103" s="400">
        <f t="shared" si="48"/>
        <v>332.84057999999999</v>
      </c>
      <c r="O103" s="400"/>
      <c r="P103" s="400">
        <f t="shared" ref="P103:AW103" si="49">SUBTOTAL(9,P100:P102)</f>
        <v>105.66281999999998</v>
      </c>
      <c r="Q103" s="400">
        <f t="shared" si="49"/>
        <v>45.91948</v>
      </c>
      <c r="R103" s="400">
        <f t="shared" si="49"/>
        <v>100.07705</v>
      </c>
      <c r="S103" s="400">
        <f t="shared" si="49"/>
        <v>100.53675000000001</v>
      </c>
      <c r="T103" s="400">
        <f t="shared" si="49"/>
        <v>155.58375999999998</v>
      </c>
      <c r="U103" s="400">
        <f t="shared" si="49"/>
        <v>81.060060000000007</v>
      </c>
      <c r="V103" s="400">
        <f t="shared" si="49"/>
        <v>170.62632000000002</v>
      </c>
      <c r="W103" s="400">
        <f t="shared" si="49"/>
        <v>140.24932000000001</v>
      </c>
      <c r="X103" s="400">
        <f t="shared" si="49"/>
        <v>51.781060000000004</v>
      </c>
      <c r="Y103" s="400">
        <f t="shared" si="49"/>
        <v>75.082809999999995</v>
      </c>
      <c r="Z103" s="400">
        <f t="shared" si="49"/>
        <v>60.015840000000011</v>
      </c>
      <c r="AA103" s="400">
        <f t="shared" si="49"/>
        <v>61.042000000000002</v>
      </c>
      <c r="AB103" s="400">
        <f t="shared" si="49"/>
        <v>109.94652000000001</v>
      </c>
      <c r="AC103" s="400">
        <f t="shared" si="49"/>
        <v>111.87727</v>
      </c>
      <c r="AD103" s="400">
        <f t="shared" si="49"/>
        <v>71.010919999999999</v>
      </c>
      <c r="AE103" s="400">
        <f t="shared" si="49"/>
        <v>237.31495000000001</v>
      </c>
      <c r="AF103" s="400">
        <f t="shared" si="49"/>
        <v>37.206890000000001</v>
      </c>
      <c r="AG103" s="400">
        <f t="shared" si="49"/>
        <v>62.427399999999999</v>
      </c>
      <c r="AH103" s="400">
        <f t="shared" si="49"/>
        <v>131.75776999999999</v>
      </c>
      <c r="AI103" s="400">
        <f t="shared" si="49"/>
        <v>111.96804</v>
      </c>
      <c r="AJ103" s="400">
        <f t="shared" si="49"/>
        <v>0</v>
      </c>
      <c r="AK103" s="400">
        <f t="shared" si="49"/>
        <v>65.422159999999991</v>
      </c>
      <c r="AL103" s="400">
        <f t="shared" si="49"/>
        <v>76.580070000000006</v>
      </c>
      <c r="AM103" s="400">
        <f t="shared" si="49"/>
        <v>101.6087</v>
      </c>
      <c r="AN103" s="400">
        <f t="shared" si="49"/>
        <v>43.81091</v>
      </c>
      <c r="AO103" s="400">
        <f t="shared" si="49"/>
        <v>110.11856000000002</v>
      </c>
      <c r="AP103" s="400">
        <f t="shared" si="49"/>
        <v>113.07453</v>
      </c>
      <c r="AQ103" s="400">
        <f t="shared" si="49"/>
        <v>19.923539999999999</v>
      </c>
      <c r="AR103" s="400">
        <f t="shared" si="49"/>
        <v>75.885430000000014</v>
      </c>
      <c r="AS103" s="400">
        <f t="shared" si="49"/>
        <v>34.684939999999997</v>
      </c>
      <c r="AT103" s="400">
        <f t="shared" si="49"/>
        <v>83.482950000000017</v>
      </c>
      <c r="AU103" s="400">
        <f t="shared" si="49"/>
        <v>83.228669999999994</v>
      </c>
      <c r="AV103" s="400">
        <f t="shared" si="49"/>
        <v>216.94202999999999</v>
      </c>
      <c r="AW103" s="400">
        <f t="shared" si="49"/>
        <v>332.84057999999999</v>
      </c>
    </row>
    <row r="104" spans="1:49" ht="15.75" hidden="1" customHeight="1" outlineLevel="1">
      <c r="H104" s="396" t="s">
        <v>2226</v>
      </c>
      <c r="I104" s="396"/>
      <c r="J104" s="397"/>
      <c r="K104" s="397"/>
      <c r="L104" s="397"/>
      <c r="M104" s="397"/>
      <c r="N104" s="397"/>
      <c r="O104" s="397"/>
      <c r="P104" s="397">
        <v>24.558649999999993</v>
      </c>
      <c r="Q104" s="397">
        <v>13.175329999999999</v>
      </c>
      <c r="R104" s="397">
        <v>22.073479999999996</v>
      </c>
      <c r="S104" s="397">
        <v>28.488030000000002</v>
      </c>
      <c r="T104" s="397">
        <v>32.616520000000001</v>
      </c>
      <c r="U104" s="397">
        <v>23.923439999999999</v>
      </c>
      <c r="V104" s="397">
        <v>38.096319999999992</v>
      </c>
      <c r="W104" s="397">
        <v>42.941779999999994</v>
      </c>
      <c r="X104" s="397">
        <v>14.328929999999998</v>
      </c>
      <c r="Y104" s="397">
        <v>16.823760000000004</v>
      </c>
      <c r="Z104" s="397">
        <v>17.82771</v>
      </c>
      <c r="AA104" s="397">
        <v>13.771649999999999</v>
      </c>
      <c r="AB104" s="397">
        <v>20.830159999999996</v>
      </c>
      <c r="AC104" s="397">
        <v>22.825099999999999</v>
      </c>
      <c r="AD104" s="397">
        <v>15.006249999999998</v>
      </c>
      <c r="AE104" s="397">
        <v>119.48254</v>
      </c>
      <c r="AF104" s="397">
        <v>7.3544199999999993</v>
      </c>
      <c r="AG104" s="397">
        <v>12.467419999999999</v>
      </c>
      <c r="AH104" s="397">
        <v>48.265449999999994</v>
      </c>
      <c r="AI104" s="397">
        <v>40.881730000000005</v>
      </c>
      <c r="AJ104" s="397">
        <v>0</v>
      </c>
      <c r="AK104" s="397">
        <v>25.079759999999997</v>
      </c>
      <c r="AL104" s="397">
        <v>26.935440000000003</v>
      </c>
      <c r="AM104" s="397">
        <v>33.752089999999995</v>
      </c>
      <c r="AN104" s="397">
        <v>16.0579</v>
      </c>
      <c r="AO104" s="397">
        <v>39.847329999999999</v>
      </c>
      <c r="AP104" s="397">
        <v>40.490749999999998</v>
      </c>
      <c r="AQ104" s="397">
        <v>19.54345</v>
      </c>
      <c r="AR104" s="397">
        <v>31.95739</v>
      </c>
      <c r="AS104" s="397">
        <v>12.79022</v>
      </c>
      <c r="AT104" s="397">
        <v>30.740739999999999</v>
      </c>
      <c r="AU104" s="397">
        <v>30.887589999999996</v>
      </c>
      <c r="AV104" s="397">
        <v>80.224999999999994</v>
      </c>
      <c r="AW104" s="397">
        <v>66.944690000000008</v>
      </c>
    </row>
    <row r="105" spans="1:49" ht="15.75" hidden="1" customHeight="1" outlineLevel="1">
      <c r="H105" s="396" t="s">
        <v>2227</v>
      </c>
      <c r="I105" s="396"/>
      <c r="J105" s="397"/>
      <c r="K105" s="397"/>
      <c r="L105" s="397"/>
      <c r="M105" s="397"/>
      <c r="N105" s="397"/>
      <c r="O105" s="397"/>
      <c r="P105" s="397">
        <v>0.10083000000000002</v>
      </c>
      <c r="Q105" s="397">
        <v>0</v>
      </c>
      <c r="R105" s="397">
        <v>7.9939999999999997E-2</v>
      </c>
      <c r="S105" s="397">
        <v>0</v>
      </c>
      <c r="T105" s="397">
        <v>0</v>
      </c>
      <c r="U105" s="397">
        <v>0</v>
      </c>
      <c r="V105" s="397">
        <v>0.18021999999999999</v>
      </c>
      <c r="W105" s="397">
        <v>0</v>
      </c>
      <c r="X105" s="397">
        <v>0</v>
      </c>
      <c r="Y105" s="397">
        <v>9.1900000000000009E-2</v>
      </c>
      <c r="Z105" s="397">
        <v>0</v>
      </c>
      <c r="AA105" s="397">
        <v>4.7119999999999995E-2</v>
      </c>
      <c r="AB105" s="397">
        <v>0</v>
      </c>
      <c r="AC105" s="397">
        <v>0</v>
      </c>
      <c r="AD105" s="397">
        <v>0</v>
      </c>
      <c r="AE105" s="397">
        <v>0</v>
      </c>
      <c r="AF105" s="397">
        <v>0</v>
      </c>
      <c r="AG105" s="397">
        <v>0</v>
      </c>
      <c r="AH105" s="397">
        <v>8.8419999999999985E-2</v>
      </c>
      <c r="AI105" s="397">
        <v>0.12462999999999999</v>
      </c>
      <c r="AJ105" s="397">
        <v>0</v>
      </c>
      <c r="AK105" s="397">
        <v>0.13492999999999999</v>
      </c>
      <c r="AL105" s="397">
        <v>5.1840000000000004E-2</v>
      </c>
      <c r="AM105" s="397">
        <v>8.2720000000000002E-2</v>
      </c>
      <c r="AN105" s="397">
        <v>6.7470000000000002E-2</v>
      </c>
      <c r="AO105" s="397">
        <v>2.8559999999999999E-2</v>
      </c>
      <c r="AP105" s="397">
        <v>5.3600000000000002E-3</v>
      </c>
      <c r="AQ105" s="397">
        <v>0</v>
      </c>
      <c r="AR105" s="397">
        <v>2.3799999999999997E-3</v>
      </c>
      <c r="AS105" s="397">
        <v>5.9999999999999995E-4</v>
      </c>
      <c r="AT105" s="397">
        <v>2.3799999999999997E-3</v>
      </c>
      <c r="AU105" s="397">
        <v>2.3799999999999997E-3</v>
      </c>
      <c r="AV105" s="397">
        <v>8.3300000000000006E-3</v>
      </c>
      <c r="AW105" s="397">
        <v>3</v>
      </c>
    </row>
    <row r="106" spans="1:49" ht="15.75" hidden="1" customHeight="1" outlineLevel="1">
      <c r="H106" s="396" t="s">
        <v>2228</v>
      </c>
      <c r="I106" s="396"/>
      <c r="J106" s="397"/>
      <c r="K106" s="397"/>
      <c r="L106" s="397"/>
      <c r="M106" s="397"/>
      <c r="N106" s="397"/>
      <c r="O106" s="397"/>
      <c r="P106" s="397">
        <v>0</v>
      </c>
      <c r="Q106" s="397">
        <v>0</v>
      </c>
      <c r="R106" s="397">
        <v>0</v>
      </c>
      <c r="S106" s="397">
        <v>0</v>
      </c>
      <c r="T106" s="397">
        <v>0.69444000000000006</v>
      </c>
      <c r="U106" s="397">
        <v>0</v>
      </c>
      <c r="V106" s="397">
        <v>0</v>
      </c>
      <c r="W106" s="397">
        <v>0</v>
      </c>
      <c r="X106" s="397">
        <v>0</v>
      </c>
      <c r="Y106" s="397">
        <v>0</v>
      </c>
      <c r="Z106" s="397">
        <v>0</v>
      </c>
      <c r="AA106" s="397">
        <v>0</v>
      </c>
      <c r="AB106" s="397">
        <v>0.43662000000000001</v>
      </c>
      <c r="AC106" s="397">
        <v>0.50997000000000003</v>
      </c>
      <c r="AD106" s="397">
        <v>0.28287000000000001</v>
      </c>
      <c r="AE106" s="397">
        <v>30.253810000000001</v>
      </c>
      <c r="AF106" s="397">
        <v>0.14077999999999999</v>
      </c>
      <c r="AG106" s="397">
        <v>0.17794000000000001</v>
      </c>
      <c r="AH106" s="397">
        <v>42.318660000000001</v>
      </c>
      <c r="AI106" s="397">
        <v>11.203280000000001</v>
      </c>
      <c r="AJ106" s="397">
        <v>0</v>
      </c>
      <c r="AK106" s="397">
        <v>7.8960800000000004</v>
      </c>
      <c r="AL106" s="397">
        <v>6.6454000000000004</v>
      </c>
      <c r="AM106" s="397">
        <v>7.7376600000000018</v>
      </c>
      <c r="AN106" s="397">
        <v>31.098290000000002</v>
      </c>
      <c r="AO106" s="397">
        <v>2.5234800000000002</v>
      </c>
      <c r="AP106" s="397">
        <v>1.50339</v>
      </c>
      <c r="AQ106" s="397">
        <v>0</v>
      </c>
      <c r="AR106" s="397">
        <v>2.44292</v>
      </c>
      <c r="AS106" s="397">
        <v>4.0280000000000003E-2</v>
      </c>
      <c r="AT106" s="397">
        <v>2.8232199999999996</v>
      </c>
      <c r="AU106" s="397">
        <v>0.92171000000000003</v>
      </c>
      <c r="AV106" s="397">
        <v>3.9865900000000001</v>
      </c>
      <c r="AW106" s="397">
        <v>0</v>
      </c>
    </row>
    <row r="107" spans="1:49" ht="15.75" hidden="1" customHeight="1" outlineLevel="1">
      <c r="H107" s="396" t="s">
        <v>2229</v>
      </c>
      <c r="I107" s="396"/>
      <c r="J107" s="397"/>
      <c r="K107" s="397"/>
      <c r="L107" s="397"/>
      <c r="M107" s="397"/>
      <c r="N107" s="397"/>
      <c r="O107" s="397"/>
      <c r="P107" s="397">
        <v>3.5320199999999997</v>
      </c>
      <c r="Q107" s="397">
        <v>5.9294099999999998</v>
      </c>
      <c r="R107" s="397">
        <v>2.7685900000000001</v>
      </c>
      <c r="S107" s="397">
        <v>13.942729999999999</v>
      </c>
      <c r="T107" s="397">
        <v>37.215220000000002</v>
      </c>
      <c r="U107" s="397">
        <v>10.900930000000001</v>
      </c>
      <c r="V107" s="397">
        <v>4.7320100000000007</v>
      </c>
      <c r="W107" s="397">
        <v>19.750989999999998</v>
      </c>
      <c r="X107" s="397">
        <v>0.36937999999999999</v>
      </c>
      <c r="Y107" s="397">
        <v>2.6093600000000001</v>
      </c>
      <c r="Z107" s="397">
        <v>8.1498600000000003</v>
      </c>
      <c r="AA107" s="397">
        <v>2.3492099999999998</v>
      </c>
      <c r="AB107" s="397">
        <v>25.34487</v>
      </c>
      <c r="AC107" s="397">
        <v>26.272669999999998</v>
      </c>
      <c r="AD107" s="397">
        <v>16.591419999999999</v>
      </c>
      <c r="AE107" s="397">
        <v>68.922499999999999</v>
      </c>
      <c r="AF107" s="397">
        <v>7.7419700000000002</v>
      </c>
      <c r="AG107" s="397">
        <v>14.115710000000002</v>
      </c>
      <c r="AH107" s="397">
        <v>39.840020000000003</v>
      </c>
      <c r="AI107" s="397">
        <v>38.533630000000002</v>
      </c>
      <c r="AJ107" s="397">
        <v>0</v>
      </c>
      <c r="AK107" s="397">
        <v>21.144670000000001</v>
      </c>
      <c r="AL107" s="397">
        <v>24.459809999999997</v>
      </c>
      <c r="AM107" s="397">
        <v>29.524129999999996</v>
      </c>
      <c r="AN107" s="397">
        <v>14.52281</v>
      </c>
      <c r="AO107" s="397">
        <v>34.35022</v>
      </c>
      <c r="AP107" s="397">
        <v>34.007910000000003</v>
      </c>
      <c r="AQ107" s="397">
        <v>0.45186999999999999</v>
      </c>
      <c r="AR107" s="397">
        <v>22.253309999999999</v>
      </c>
      <c r="AS107" s="397">
        <v>10.81039</v>
      </c>
      <c r="AT107" s="397">
        <v>25.629699999999996</v>
      </c>
      <c r="AU107" s="397">
        <v>26.154040000000002</v>
      </c>
      <c r="AV107" s="397">
        <v>66.523440000000008</v>
      </c>
      <c r="AW107" s="397">
        <v>12.349009999999998</v>
      </c>
    </row>
    <row r="108" spans="1:49" ht="15.75" hidden="1" customHeight="1" outlineLevel="1">
      <c r="H108" s="396" t="s">
        <v>2230</v>
      </c>
      <c r="I108" s="396"/>
      <c r="J108" s="397"/>
      <c r="K108" s="397"/>
      <c r="L108" s="397"/>
      <c r="M108" s="397"/>
      <c r="N108" s="397"/>
      <c r="O108" s="397"/>
      <c r="P108" s="397">
        <v>0</v>
      </c>
      <c r="Q108" s="397">
        <v>0</v>
      </c>
      <c r="R108" s="397">
        <v>0</v>
      </c>
      <c r="S108" s="397">
        <v>0</v>
      </c>
      <c r="T108" s="397">
        <v>0</v>
      </c>
      <c r="U108" s="397">
        <v>0</v>
      </c>
      <c r="V108" s="397">
        <v>0</v>
      </c>
      <c r="W108" s="397">
        <v>0</v>
      </c>
      <c r="X108" s="397">
        <v>9.0399999999999991</v>
      </c>
      <c r="Y108" s="397">
        <v>0</v>
      </c>
      <c r="Z108" s="397">
        <v>0</v>
      </c>
      <c r="AA108" s="397">
        <v>0</v>
      </c>
      <c r="AB108" s="397">
        <v>0</v>
      </c>
      <c r="AC108" s="397">
        <v>0</v>
      </c>
      <c r="AD108" s="397">
        <v>0</v>
      </c>
      <c r="AE108" s="397">
        <v>55.767400000000002</v>
      </c>
      <c r="AF108" s="397">
        <v>1.8205</v>
      </c>
      <c r="AG108" s="397">
        <v>13.851000000000001</v>
      </c>
      <c r="AH108" s="397">
        <v>28.1</v>
      </c>
      <c r="AI108" s="397">
        <v>19.417999999999999</v>
      </c>
      <c r="AJ108" s="397">
        <v>0</v>
      </c>
      <c r="AK108" s="397">
        <v>4</v>
      </c>
      <c r="AL108" s="397">
        <v>0</v>
      </c>
      <c r="AM108" s="397">
        <v>6.9749999999999996</v>
      </c>
      <c r="AN108" s="397">
        <v>2.9876999999999998</v>
      </c>
      <c r="AO108" s="397">
        <v>33.911960000000001</v>
      </c>
      <c r="AP108" s="397">
        <v>48.764940000000003</v>
      </c>
      <c r="AQ108" s="397">
        <v>19.55</v>
      </c>
      <c r="AR108" s="397">
        <v>23.140559999999997</v>
      </c>
      <c r="AS108" s="397">
        <v>24.775729999999999</v>
      </c>
      <c r="AT108" s="397">
        <v>30.619349999999997</v>
      </c>
      <c r="AU108" s="397">
        <v>52.452919999999999</v>
      </c>
      <c r="AV108" s="397">
        <v>85.065500000000014</v>
      </c>
      <c r="AW108" s="397">
        <v>0</v>
      </c>
    </row>
    <row r="109" spans="1:49" ht="15.75" hidden="1" customHeight="1" outlineLevel="1">
      <c r="H109" s="396" t="s">
        <v>2231</v>
      </c>
      <c r="I109" s="396"/>
      <c r="J109" s="397"/>
      <c r="K109" s="397"/>
      <c r="L109" s="397"/>
      <c r="M109" s="397"/>
      <c r="N109" s="397"/>
      <c r="O109" s="397"/>
      <c r="P109" s="397">
        <v>0</v>
      </c>
      <c r="Q109" s="397">
        <v>0</v>
      </c>
      <c r="R109" s="397">
        <v>0</v>
      </c>
      <c r="S109" s="397">
        <v>0</v>
      </c>
      <c r="T109" s="397">
        <v>0</v>
      </c>
      <c r="U109" s="397">
        <v>0</v>
      </c>
      <c r="V109" s="397">
        <v>0</v>
      </c>
      <c r="W109" s="397">
        <v>0</v>
      </c>
      <c r="X109" s="397">
        <v>0</v>
      </c>
      <c r="Y109" s="397">
        <v>0</v>
      </c>
      <c r="Z109" s="397">
        <v>0</v>
      </c>
      <c r="AA109" s="397">
        <v>0</v>
      </c>
      <c r="AB109" s="397">
        <v>0</v>
      </c>
      <c r="AC109" s="397">
        <v>0</v>
      </c>
      <c r="AD109" s="397">
        <v>0</v>
      </c>
      <c r="AE109" s="397">
        <v>0</v>
      </c>
      <c r="AF109" s="397">
        <v>0</v>
      </c>
      <c r="AG109" s="397">
        <v>0</v>
      </c>
      <c r="AH109" s="397">
        <v>0</v>
      </c>
      <c r="AI109" s="397">
        <v>0</v>
      </c>
      <c r="AJ109" s="397">
        <v>0</v>
      </c>
      <c r="AK109" s="397">
        <v>0</v>
      </c>
      <c r="AL109" s="397">
        <v>0</v>
      </c>
      <c r="AM109" s="397">
        <v>0</v>
      </c>
      <c r="AN109" s="397">
        <v>0</v>
      </c>
      <c r="AO109" s="397">
        <v>0</v>
      </c>
      <c r="AP109" s="397">
        <v>0.96341999999999994</v>
      </c>
      <c r="AQ109" s="397">
        <v>0</v>
      </c>
      <c r="AR109" s="397">
        <v>0</v>
      </c>
      <c r="AS109" s="397">
        <v>0.1</v>
      </c>
      <c r="AT109" s="397">
        <v>0.96858</v>
      </c>
      <c r="AU109" s="397">
        <v>0</v>
      </c>
      <c r="AV109" s="397">
        <v>0</v>
      </c>
      <c r="AW109" s="397">
        <v>0</v>
      </c>
    </row>
    <row r="110" spans="1:49" ht="15.75" hidden="1" customHeight="1" outlineLevel="1">
      <c r="H110" s="396" t="s">
        <v>2232</v>
      </c>
      <c r="I110" s="396"/>
      <c r="J110" s="397"/>
      <c r="K110" s="397"/>
      <c r="L110" s="397"/>
      <c r="M110" s="397"/>
      <c r="N110" s="397"/>
      <c r="O110" s="397"/>
      <c r="P110" s="397">
        <v>0</v>
      </c>
      <c r="Q110" s="397">
        <v>0</v>
      </c>
      <c r="R110" s="397">
        <v>0</v>
      </c>
      <c r="S110" s="397">
        <v>0</v>
      </c>
      <c r="T110" s="397">
        <v>0</v>
      </c>
      <c r="U110" s="397">
        <v>0</v>
      </c>
      <c r="V110" s="397">
        <v>0</v>
      </c>
      <c r="W110" s="397">
        <v>0</v>
      </c>
      <c r="X110" s="397">
        <v>0</v>
      </c>
      <c r="Y110" s="397">
        <v>0</v>
      </c>
      <c r="Z110" s="397">
        <v>0</v>
      </c>
      <c r="AA110" s="397">
        <v>0</v>
      </c>
      <c r="AB110" s="397">
        <v>0</v>
      </c>
      <c r="AC110" s="397">
        <v>0</v>
      </c>
      <c r="AD110" s="397">
        <v>0</v>
      </c>
      <c r="AE110" s="397">
        <v>0</v>
      </c>
      <c r="AF110" s="397">
        <v>0</v>
      </c>
      <c r="AG110" s="397">
        <v>0</v>
      </c>
      <c r="AH110" s="397">
        <v>0</v>
      </c>
      <c r="AI110" s="397">
        <v>0</v>
      </c>
      <c r="AJ110" s="397">
        <v>0</v>
      </c>
      <c r="AK110" s="397">
        <v>0</v>
      </c>
      <c r="AL110" s="397">
        <v>0</v>
      </c>
      <c r="AM110" s="397">
        <v>0</v>
      </c>
      <c r="AN110" s="397">
        <v>0</v>
      </c>
      <c r="AO110" s="397">
        <v>0</v>
      </c>
      <c r="AP110" s="397">
        <v>1.63</v>
      </c>
      <c r="AQ110" s="397">
        <v>0</v>
      </c>
      <c r="AR110" s="397">
        <v>0</v>
      </c>
      <c r="AS110" s="397">
        <v>2.9169999999999998</v>
      </c>
      <c r="AT110" s="397">
        <v>0.95074999999999998</v>
      </c>
      <c r="AU110" s="397">
        <v>7.7971599999999999</v>
      </c>
      <c r="AV110" s="397">
        <v>6.5524100000000001</v>
      </c>
      <c r="AW110" s="397">
        <v>5.81</v>
      </c>
    </row>
    <row r="111" spans="1:49" ht="15.75" hidden="1" customHeight="1" outlineLevel="1">
      <c r="H111" s="396" t="s">
        <v>2233</v>
      </c>
      <c r="I111" s="396"/>
      <c r="J111" s="397"/>
      <c r="K111" s="397"/>
      <c r="L111" s="397"/>
      <c r="M111" s="397"/>
      <c r="N111" s="397"/>
      <c r="O111" s="397"/>
      <c r="P111" s="397">
        <v>17.841630000000002</v>
      </c>
      <c r="Q111" s="397">
        <v>5.2184900000000001</v>
      </c>
      <c r="R111" s="397">
        <v>22.025680000000005</v>
      </c>
      <c r="S111" s="397">
        <v>14.983980000000001</v>
      </c>
      <c r="T111" s="397">
        <v>6.5281999999999991</v>
      </c>
      <c r="U111" s="397">
        <v>14.87923</v>
      </c>
      <c r="V111" s="397">
        <v>20.933340000000001</v>
      </c>
      <c r="W111" s="397">
        <v>14.328560000000001</v>
      </c>
      <c r="X111" s="397">
        <v>0</v>
      </c>
      <c r="Y111" s="397">
        <v>5.4965299999999999</v>
      </c>
      <c r="Z111" s="397">
        <v>6.7362099999999989</v>
      </c>
      <c r="AA111" s="397">
        <v>12.94407</v>
      </c>
      <c r="AB111" s="397">
        <v>6.4212100000000003</v>
      </c>
      <c r="AC111" s="397">
        <v>12.101699999999999</v>
      </c>
      <c r="AD111" s="397">
        <v>47.822470000000003</v>
      </c>
      <c r="AE111" s="397">
        <v>102.67744</v>
      </c>
      <c r="AF111" s="397">
        <v>0</v>
      </c>
      <c r="AG111" s="397">
        <v>49.719470000000008</v>
      </c>
      <c r="AH111" s="397">
        <v>55.649800000000006</v>
      </c>
      <c r="AI111" s="397">
        <v>0.14736000000000002</v>
      </c>
      <c r="AJ111" s="397">
        <v>0.40356000000000003</v>
      </c>
      <c r="AK111" s="397">
        <v>6.9275799999999998</v>
      </c>
      <c r="AL111" s="397">
        <v>11.773830000000002</v>
      </c>
      <c r="AM111" s="397">
        <v>12.633389999999999</v>
      </c>
      <c r="AN111" s="397">
        <v>8.4960199999999979</v>
      </c>
      <c r="AO111" s="397">
        <v>10.344479999999999</v>
      </c>
      <c r="AP111" s="397">
        <v>11.689719999999999</v>
      </c>
      <c r="AQ111" s="397">
        <v>0</v>
      </c>
      <c r="AR111" s="397">
        <v>9.9313900000000004</v>
      </c>
      <c r="AS111" s="397">
        <v>0.98327999999999993</v>
      </c>
      <c r="AT111" s="397">
        <v>2.91269</v>
      </c>
      <c r="AU111" s="397">
        <v>7.6859099999999989</v>
      </c>
      <c r="AV111" s="397">
        <v>7.1138700000000004</v>
      </c>
      <c r="AW111" s="397">
        <v>38.656320000000001</v>
      </c>
    </row>
    <row r="112" spans="1:49" ht="15.75" customHeight="1" collapsed="1">
      <c r="A112" s="3" t="s">
        <v>150</v>
      </c>
      <c r="H112" s="399" t="s">
        <v>150</v>
      </c>
      <c r="I112" s="399"/>
      <c r="J112" s="400">
        <f>SUMIFS($P112:$AW112,$P$3:$AW$3,J$4)</f>
        <v>1231.96389</v>
      </c>
      <c r="K112" s="400">
        <f>J112-AE112-AF112</f>
        <v>837.80252999999993</v>
      </c>
      <c r="L112" s="400">
        <f t="shared" ref="L112:N112" si="50">SUMIFS($P112:$AW112,$P$3:$AW$3,L$4)</f>
        <v>872.2312300000001</v>
      </c>
      <c r="M112" s="400">
        <f t="shared" si="50"/>
        <v>513.65042999999991</v>
      </c>
      <c r="N112" s="400">
        <f t="shared" si="50"/>
        <v>126.76002</v>
      </c>
      <c r="O112" s="400"/>
      <c r="P112" s="400">
        <f t="shared" ref="P112:AW112" si="51">SUBTOTAL(9,P104:P111)</f>
        <v>46.033129999999993</v>
      </c>
      <c r="Q112" s="400">
        <f t="shared" si="51"/>
        <v>24.323229999999999</v>
      </c>
      <c r="R112" s="400">
        <f t="shared" si="51"/>
        <v>46.947690000000001</v>
      </c>
      <c r="S112" s="400">
        <f t="shared" si="51"/>
        <v>57.414740000000002</v>
      </c>
      <c r="T112" s="400">
        <f t="shared" si="51"/>
        <v>77.054380000000009</v>
      </c>
      <c r="U112" s="400">
        <f t="shared" si="51"/>
        <v>49.703600000000002</v>
      </c>
      <c r="V112" s="400">
        <f t="shared" si="51"/>
        <v>63.941889999999994</v>
      </c>
      <c r="W112" s="400">
        <f t="shared" si="51"/>
        <v>77.021329999999992</v>
      </c>
      <c r="X112" s="400">
        <f t="shared" si="51"/>
        <v>23.738309999999998</v>
      </c>
      <c r="Y112" s="400">
        <f t="shared" si="51"/>
        <v>25.021550000000001</v>
      </c>
      <c r="Z112" s="400">
        <f t="shared" si="51"/>
        <v>32.71378</v>
      </c>
      <c r="AA112" s="400">
        <f t="shared" si="51"/>
        <v>29.11205</v>
      </c>
      <c r="AB112" s="400">
        <f t="shared" si="51"/>
        <v>53.032859999999999</v>
      </c>
      <c r="AC112" s="400">
        <f t="shared" si="51"/>
        <v>61.709439999999994</v>
      </c>
      <c r="AD112" s="400">
        <f t="shared" si="51"/>
        <v>79.703010000000006</v>
      </c>
      <c r="AE112" s="400">
        <f t="shared" si="51"/>
        <v>377.10369000000003</v>
      </c>
      <c r="AF112" s="400">
        <f t="shared" si="51"/>
        <v>17.057669999999998</v>
      </c>
      <c r="AG112" s="400">
        <f t="shared" si="51"/>
        <v>90.331540000000018</v>
      </c>
      <c r="AH112" s="400">
        <f t="shared" si="51"/>
        <v>214.26235</v>
      </c>
      <c r="AI112" s="400">
        <f t="shared" si="51"/>
        <v>110.30863000000001</v>
      </c>
      <c r="AJ112" s="400">
        <f t="shared" si="51"/>
        <v>0.40356000000000003</v>
      </c>
      <c r="AK112" s="400">
        <f t="shared" si="51"/>
        <v>65.183019999999999</v>
      </c>
      <c r="AL112" s="400">
        <f t="shared" si="51"/>
        <v>69.866320000000002</v>
      </c>
      <c r="AM112" s="400">
        <f t="shared" si="51"/>
        <v>90.704989999999981</v>
      </c>
      <c r="AN112" s="400">
        <f t="shared" si="51"/>
        <v>73.230190000000007</v>
      </c>
      <c r="AO112" s="400">
        <f t="shared" si="51"/>
        <v>121.00603000000001</v>
      </c>
      <c r="AP112" s="400">
        <f t="shared" si="51"/>
        <v>139.05549000000002</v>
      </c>
      <c r="AQ112" s="400">
        <f t="shared" si="51"/>
        <v>39.545320000000004</v>
      </c>
      <c r="AR112" s="400">
        <f t="shared" si="51"/>
        <v>89.727949999999993</v>
      </c>
      <c r="AS112" s="400">
        <f t="shared" si="51"/>
        <v>52.417500000000004</v>
      </c>
      <c r="AT112" s="400">
        <f t="shared" si="51"/>
        <v>94.647409999999994</v>
      </c>
      <c r="AU112" s="400">
        <f t="shared" si="51"/>
        <v>125.90170999999999</v>
      </c>
      <c r="AV112" s="400">
        <f t="shared" si="51"/>
        <v>249.47514000000001</v>
      </c>
      <c r="AW112" s="400">
        <f t="shared" si="51"/>
        <v>126.76002</v>
      </c>
    </row>
    <row r="113" spans="1:49" ht="15.75" hidden="1" customHeight="1" outlineLevel="1">
      <c r="H113" s="396" t="s">
        <v>2234</v>
      </c>
      <c r="I113" s="396"/>
      <c r="J113" s="397"/>
      <c r="K113" s="397"/>
      <c r="L113" s="397"/>
      <c r="M113" s="397"/>
      <c r="N113" s="397"/>
      <c r="O113" s="397"/>
      <c r="P113" s="397">
        <v>0</v>
      </c>
      <c r="Q113" s="397">
        <v>0</v>
      </c>
      <c r="R113" s="397">
        <v>0</v>
      </c>
      <c r="S113" s="397">
        <v>0</v>
      </c>
      <c r="T113" s="397">
        <v>0</v>
      </c>
      <c r="U113" s="397">
        <v>0</v>
      </c>
      <c r="V113" s="397">
        <v>0</v>
      </c>
      <c r="W113" s="397">
        <v>0</v>
      </c>
      <c r="X113" s="397">
        <v>0</v>
      </c>
      <c r="Y113" s="397">
        <v>0</v>
      </c>
      <c r="Z113" s="397">
        <v>0</v>
      </c>
      <c r="AA113" s="397">
        <v>0</v>
      </c>
      <c r="AB113" s="397">
        <v>0</v>
      </c>
      <c r="AC113" s="397">
        <v>0</v>
      </c>
      <c r="AD113" s="397">
        <v>0</v>
      </c>
      <c r="AE113" s="397">
        <v>0</v>
      </c>
      <c r="AF113" s="397">
        <v>0</v>
      </c>
      <c r="AG113" s="397">
        <v>0</v>
      </c>
      <c r="AH113" s="397">
        <v>0</v>
      </c>
      <c r="AI113" s="397">
        <v>0</v>
      </c>
      <c r="AJ113" s="397">
        <v>0</v>
      </c>
      <c r="AK113" s="397">
        <v>0</v>
      </c>
      <c r="AL113" s="397">
        <v>0</v>
      </c>
      <c r="AM113" s="397">
        <v>0</v>
      </c>
      <c r="AN113" s="397">
        <v>0</v>
      </c>
      <c r="AO113" s="397">
        <v>0</v>
      </c>
      <c r="AP113" s="397">
        <v>0</v>
      </c>
      <c r="AQ113" s="397">
        <v>0</v>
      </c>
      <c r="AR113" s="397">
        <v>0</v>
      </c>
      <c r="AS113" s="397">
        <v>0</v>
      </c>
      <c r="AT113" s="397">
        <v>0</v>
      </c>
      <c r="AU113" s="397">
        <v>0</v>
      </c>
      <c r="AV113" s="397">
        <v>0</v>
      </c>
      <c r="AW113" s="397">
        <v>0</v>
      </c>
    </row>
    <row r="114" spans="1:49" ht="15.75" hidden="1" customHeight="1" outlineLevel="1">
      <c r="H114" s="396" t="s">
        <v>2235</v>
      </c>
      <c r="I114" s="396"/>
      <c r="J114" s="397"/>
      <c r="K114" s="397"/>
      <c r="L114" s="397"/>
      <c r="M114" s="397"/>
      <c r="N114" s="397"/>
      <c r="O114" s="397"/>
      <c r="P114" s="397">
        <v>0</v>
      </c>
      <c r="Q114" s="397">
        <v>0</v>
      </c>
      <c r="R114" s="397">
        <v>0</v>
      </c>
      <c r="S114" s="397">
        <v>0</v>
      </c>
      <c r="T114" s="397">
        <v>0</v>
      </c>
      <c r="U114" s="397">
        <v>0</v>
      </c>
      <c r="V114" s="397">
        <v>0</v>
      </c>
      <c r="W114" s="397">
        <v>0</v>
      </c>
      <c r="X114" s="397">
        <v>0</v>
      </c>
      <c r="Y114" s="397">
        <v>0</v>
      </c>
      <c r="Z114" s="397">
        <v>0</v>
      </c>
      <c r="AA114" s="397">
        <v>0</v>
      </c>
      <c r="AB114" s="397">
        <v>0</v>
      </c>
      <c r="AC114" s="397">
        <v>0</v>
      </c>
      <c r="AD114" s="397">
        <v>0</v>
      </c>
      <c r="AE114" s="397">
        <v>0</v>
      </c>
      <c r="AF114" s="397">
        <v>0</v>
      </c>
      <c r="AG114" s="397">
        <v>0</v>
      </c>
      <c r="AH114" s="397">
        <v>0</v>
      </c>
      <c r="AI114" s="397">
        <v>0</v>
      </c>
      <c r="AJ114" s="397">
        <v>0</v>
      </c>
      <c r="AK114" s="397">
        <v>0</v>
      </c>
      <c r="AL114" s="397">
        <v>0</v>
      </c>
      <c r="AM114" s="397">
        <v>0</v>
      </c>
      <c r="AN114" s="397">
        <v>0</v>
      </c>
      <c r="AO114" s="397">
        <v>0</v>
      </c>
      <c r="AP114" s="397">
        <v>0</v>
      </c>
      <c r="AQ114" s="397">
        <v>0</v>
      </c>
      <c r="AR114" s="397">
        <v>0</v>
      </c>
      <c r="AS114" s="397">
        <v>0</v>
      </c>
      <c r="AT114" s="397">
        <v>0</v>
      </c>
      <c r="AU114" s="397">
        <v>0</v>
      </c>
      <c r="AV114" s="397">
        <v>0</v>
      </c>
      <c r="AW114" s="397">
        <v>0</v>
      </c>
    </row>
    <row r="115" spans="1:49" ht="15.75" hidden="1" customHeight="1" outlineLevel="1">
      <c r="H115" s="396" t="s">
        <v>2236</v>
      </c>
      <c r="I115" s="396"/>
      <c r="J115" s="397"/>
      <c r="K115" s="397"/>
      <c r="L115" s="397"/>
      <c r="M115" s="397"/>
      <c r="N115" s="397"/>
      <c r="O115" s="397"/>
      <c r="P115" s="397">
        <v>0</v>
      </c>
      <c r="Q115" s="397">
        <v>0</v>
      </c>
      <c r="R115" s="397">
        <v>0</v>
      </c>
      <c r="S115" s="397">
        <v>0</v>
      </c>
      <c r="T115" s="397">
        <v>0</v>
      </c>
      <c r="U115" s="397">
        <v>0</v>
      </c>
      <c r="V115" s="397">
        <v>0</v>
      </c>
      <c r="W115" s="397">
        <v>0</v>
      </c>
      <c r="X115" s="397">
        <v>0</v>
      </c>
      <c r="Y115" s="397">
        <v>0</v>
      </c>
      <c r="Z115" s="397">
        <v>0</v>
      </c>
      <c r="AA115" s="397">
        <v>0</v>
      </c>
      <c r="AB115" s="397">
        <v>0</v>
      </c>
      <c r="AC115" s="397">
        <v>0</v>
      </c>
      <c r="AD115" s="397">
        <v>0</v>
      </c>
      <c r="AE115" s="397">
        <v>0</v>
      </c>
      <c r="AF115" s="397">
        <v>0</v>
      </c>
      <c r="AG115" s="397">
        <v>0</v>
      </c>
      <c r="AH115" s="397">
        <v>0</v>
      </c>
      <c r="AI115" s="397">
        <v>0</v>
      </c>
      <c r="AJ115" s="397">
        <v>0</v>
      </c>
      <c r="AK115" s="397">
        <v>0</v>
      </c>
      <c r="AL115" s="397">
        <v>0</v>
      </c>
      <c r="AM115" s="397">
        <v>0</v>
      </c>
      <c r="AN115" s="397">
        <v>0</v>
      </c>
      <c r="AO115" s="397">
        <v>0</v>
      </c>
      <c r="AP115" s="397">
        <v>0</v>
      </c>
      <c r="AQ115" s="397">
        <v>0</v>
      </c>
      <c r="AR115" s="397">
        <v>0</v>
      </c>
      <c r="AS115" s="397">
        <v>0</v>
      </c>
      <c r="AT115" s="397">
        <v>0</v>
      </c>
      <c r="AU115" s="397">
        <v>0</v>
      </c>
      <c r="AV115" s="397">
        <v>0</v>
      </c>
      <c r="AW115" s="397">
        <v>0</v>
      </c>
    </row>
    <row r="116" spans="1:49" ht="15.75" hidden="1" customHeight="1" outlineLevel="1">
      <c r="H116" s="396" t="s">
        <v>2237</v>
      </c>
      <c r="I116" s="396"/>
      <c r="J116" s="397"/>
      <c r="K116" s="397"/>
      <c r="L116" s="397"/>
      <c r="M116" s="397"/>
      <c r="N116" s="397"/>
      <c r="O116" s="397"/>
      <c r="P116" s="397">
        <v>0</v>
      </c>
      <c r="Q116" s="397">
        <v>0</v>
      </c>
      <c r="R116" s="397">
        <v>0</v>
      </c>
      <c r="S116" s="397">
        <v>0</v>
      </c>
      <c r="T116" s="397">
        <v>0</v>
      </c>
      <c r="U116" s="397">
        <v>0</v>
      </c>
      <c r="V116" s="397">
        <v>0</v>
      </c>
      <c r="W116" s="397">
        <v>0</v>
      </c>
      <c r="X116" s="397">
        <v>0</v>
      </c>
      <c r="Y116" s="397">
        <v>0</v>
      </c>
      <c r="Z116" s="397">
        <v>0</v>
      </c>
      <c r="AA116" s="397">
        <v>0</v>
      </c>
      <c r="AB116" s="397">
        <v>0</v>
      </c>
      <c r="AC116" s="397">
        <v>0</v>
      </c>
      <c r="AD116" s="397">
        <v>0</v>
      </c>
      <c r="AE116" s="397">
        <v>0</v>
      </c>
      <c r="AF116" s="397">
        <v>0</v>
      </c>
      <c r="AG116" s="397">
        <v>0</v>
      </c>
      <c r="AH116" s="397">
        <v>0</v>
      </c>
      <c r="AI116" s="397">
        <v>0</v>
      </c>
      <c r="AJ116" s="397">
        <v>0</v>
      </c>
      <c r="AK116" s="397">
        <v>0</v>
      </c>
      <c r="AL116" s="397">
        <v>0</v>
      </c>
      <c r="AM116" s="397">
        <v>0</v>
      </c>
      <c r="AN116" s="397">
        <v>0</v>
      </c>
      <c r="AO116" s="397">
        <v>0</v>
      </c>
      <c r="AP116" s="397">
        <v>0</v>
      </c>
      <c r="AQ116" s="397">
        <v>0</v>
      </c>
      <c r="AR116" s="397">
        <v>0</v>
      </c>
      <c r="AS116" s="397">
        <v>0</v>
      </c>
      <c r="AT116" s="397">
        <v>0</v>
      </c>
      <c r="AU116" s="397">
        <v>0</v>
      </c>
      <c r="AV116" s="397">
        <v>0</v>
      </c>
      <c r="AW116" s="397">
        <v>0</v>
      </c>
    </row>
    <row r="117" spans="1:49" ht="15.75" hidden="1" customHeight="1" outlineLevel="1">
      <c r="H117" s="396" t="s">
        <v>2238</v>
      </c>
      <c r="I117" s="396"/>
      <c r="J117" s="397"/>
      <c r="K117" s="397"/>
      <c r="L117" s="397"/>
      <c r="M117" s="397"/>
      <c r="N117" s="397"/>
      <c r="O117" s="397"/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7">
        <v>0</v>
      </c>
      <c r="V117" s="397">
        <v>0</v>
      </c>
      <c r="W117" s="397">
        <v>0</v>
      </c>
      <c r="X117" s="397">
        <v>0</v>
      </c>
      <c r="Y117" s="397">
        <v>0</v>
      </c>
      <c r="Z117" s="397">
        <v>0</v>
      </c>
      <c r="AA117" s="397">
        <v>0</v>
      </c>
      <c r="AB117" s="397">
        <v>0</v>
      </c>
      <c r="AC117" s="397">
        <v>0</v>
      </c>
      <c r="AD117" s="397">
        <v>0</v>
      </c>
      <c r="AE117" s="397">
        <v>0</v>
      </c>
      <c r="AF117" s="397">
        <v>0</v>
      </c>
      <c r="AG117" s="397">
        <v>0</v>
      </c>
      <c r="AH117" s="397">
        <v>0</v>
      </c>
      <c r="AI117" s="397">
        <v>0</v>
      </c>
      <c r="AJ117" s="397">
        <v>0</v>
      </c>
      <c r="AK117" s="397">
        <v>0</v>
      </c>
      <c r="AL117" s="397">
        <v>0</v>
      </c>
      <c r="AM117" s="397">
        <v>0</v>
      </c>
      <c r="AN117" s="397">
        <v>0</v>
      </c>
      <c r="AO117" s="397">
        <v>0</v>
      </c>
      <c r="AP117" s="397">
        <v>0</v>
      </c>
      <c r="AQ117" s="397">
        <v>0</v>
      </c>
      <c r="AR117" s="397">
        <v>0</v>
      </c>
      <c r="AS117" s="397">
        <v>0</v>
      </c>
      <c r="AT117" s="397">
        <v>0</v>
      </c>
      <c r="AU117" s="397">
        <v>0</v>
      </c>
      <c r="AV117" s="397">
        <v>0</v>
      </c>
      <c r="AW117" s="397">
        <v>0</v>
      </c>
    </row>
    <row r="118" spans="1:49" ht="15.75" hidden="1" customHeight="1" outlineLevel="1">
      <c r="H118" s="396" t="s">
        <v>2239</v>
      </c>
      <c r="I118" s="396"/>
      <c r="J118" s="397"/>
      <c r="K118" s="397"/>
      <c r="L118" s="397"/>
      <c r="M118" s="397"/>
      <c r="N118" s="397"/>
      <c r="O118" s="397"/>
      <c r="P118" s="397">
        <v>0</v>
      </c>
      <c r="Q118" s="397">
        <v>0</v>
      </c>
      <c r="R118" s="397">
        <v>0</v>
      </c>
      <c r="S118" s="397">
        <v>0</v>
      </c>
      <c r="T118" s="397">
        <v>0</v>
      </c>
      <c r="U118" s="397">
        <v>0</v>
      </c>
      <c r="V118" s="397">
        <v>0</v>
      </c>
      <c r="W118" s="397">
        <v>0</v>
      </c>
      <c r="X118" s="397">
        <v>0</v>
      </c>
      <c r="Y118" s="397">
        <v>0</v>
      </c>
      <c r="Z118" s="397">
        <v>0</v>
      </c>
      <c r="AA118" s="397">
        <v>0</v>
      </c>
      <c r="AB118" s="397">
        <v>0</v>
      </c>
      <c r="AC118" s="397">
        <v>0</v>
      </c>
      <c r="AD118" s="397">
        <v>0</v>
      </c>
      <c r="AE118" s="397">
        <v>0</v>
      </c>
      <c r="AF118" s="397">
        <v>0</v>
      </c>
      <c r="AG118" s="397">
        <v>0</v>
      </c>
      <c r="AH118" s="397">
        <v>0</v>
      </c>
      <c r="AI118" s="397">
        <v>0</v>
      </c>
      <c r="AJ118" s="397">
        <v>0</v>
      </c>
      <c r="AK118" s="397">
        <v>0</v>
      </c>
      <c r="AL118" s="397">
        <v>0</v>
      </c>
      <c r="AM118" s="397">
        <v>0</v>
      </c>
      <c r="AN118" s="397">
        <v>0</v>
      </c>
      <c r="AO118" s="397">
        <v>0</v>
      </c>
      <c r="AP118" s="397">
        <v>0</v>
      </c>
      <c r="AQ118" s="397">
        <v>0</v>
      </c>
      <c r="AR118" s="397">
        <v>0</v>
      </c>
      <c r="AS118" s="397">
        <v>0</v>
      </c>
      <c r="AT118" s="397">
        <v>0</v>
      </c>
      <c r="AU118" s="397">
        <v>0</v>
      </c>
      <c r="AV118" s="397">
        <v>0</v>
      </c>
      <c r="AW118" s="397">
        <v>0</v>
      </c>
    </row>
    <row r="119" spans="1:49" ht="15.75" hidden="1" customHeight="1" outlineLevel="1">
      <c r="H119" s="396" t="s">
        <v>2240</v>
      </c>
      <c r="I119" s="396"/>
      <c r="J119" s="397"/>
      <c r="K119" s="397"/>
      <c r="L119" s="397"/>
      <c r="M119" s="397"/>
      <c r="N119" s="397"/>
      <c r="O119" s="397"/>
      <c r="P119" s="397">
        <v>1.3600000000000001E-3</v>
      </c>
      <c r="Q119" s="397">
        <v>4.4999999999999999E-4</v>
      </c>
      <c r="R119" s="397">
        <v>4.4999999999999999E-4</v>
      </c>
      <c r="S119" s="397">
        <v>8.9999999999999998E-4</v>
      </c>
      <c r="T119" s="397">
        <v>2.2599999999999999E-3</v>
      </c>
      <c r="U119" s="397">
        <v>1.81E-3</v>
      </c>
      <c r="V119" s="397">
        <v>4.0700000000000007E-3</v>
      </c>
      <c r="W119" s="397">
        <v>3.1700000000000001E-3</v>
      </c>
      <c r="X119" s="397">
        <v>0</v>
      </c>
      <c r="Y119" s="397">
        <v>8.9999999999999998E-4</v>
      </c>
      <c r="Z119" s="397">
        <v>8.9999999999999998E-4</v>
      </c>
      <c r="AA119" s="397">
        <v>4.4999999999999999E-4</v>
      </c>
      <c r="AB119" s="397">
        <v>8.9999999999999998E-4</v>
      </c>
      <c r="AC119" s="397">
        <v>1.81E-3</v>
      </c>
      <c r="AD119" s="397">
        <v>2.7100000000000002E-3</v>
      </c>
      <c r="AE119" s="397">
        <v>2.2558099999999999</v>
      </c>
      <c r="AF119" s="397">
        <v>0</v>
      </c>
      <c r="AG119" s="397">
        <v>4.4999999999999999E-4</v>
      </c>
      <c r="AH119" s="397">
        <v>0.21903</v>
      </c>
      <c r="AI119" s="397">
        <v>6.8250000000000005E-2</v>
      </c>
      <c r="AJ119" s="397">
        <v>0</v>
      </c>
      <c r="AK119" s="397">
        <v>0</v>
      </c>
      <c r="AL119" s="397">
        <v>0.30260999999999999</v>
      </c>
      <c r="AM119" s="397">
        <v>0.16065000000000002</v>
      </c>
      <c r="AN119" s="397">
        <v>0</v>
      </c>
      <c r="AO119" s="397">
        <v>0</v>
      </c>
      <c r="AP119" s="397">
        <v>0</v>
      </c>
      <c r="AQ119" s="397">
        <v>0</v>
      </c>
      <c r="AR119" s="397">
        <v>0</v>
      </c>
      <c r="AS119" s="397">
        <v>0</v>
      </c>
      <c r="AT119" s="397">
        <v>0</v>
      </c>
      <c r="AU119" s="397">
        <v>0</v>
      </c>
      <c r="AV119" s="397">
        <v>0</v>
      </c>
      <c r="AW119" s="397">
        <v>5.5115299999999987</v>
      </c>
    </row>
    <row r="120" spans="1:49" ht="15.75" hidden="1" customHeight="1" outlineLevel="1">
      <c r="H120" s="396" t="s">
        <v>2241</v>
      </c>
      <c r="I120" s="396"/>
      <c r="J120" s="397"/>
      <c r="K120" s="397"/>
      <c r="L120" s="397"/>
      <c r="M120" s="397"/>
      <c r="N120" s="397"/>
      <c r="O120" s="397"/>
      <c r="P120" s="397">
        <v>0</v>
      </c>
      <c r="Q120" s="397">
        <v>0</v>
      </c>
      <c r="R120" s="397">
        <v>0</v>
      </c>
      <c r="S120" s="397">
        <v>0</v>
      </c>
      <c r="T120" s="397">
        <v>0</v>
      </c>
      <c r="U120" s="397">
        <v>0</v>
      </c>
      <c r="V120" s="397">
        <v>0</v>
      </c>
      <c r="W120" s="397">
        <v>0</v>
      </c>
      <c r="X120" s="397">
        <v>0</v>
      </c>
      <c r="Y120" s="397">
        <v>0</v>
      </c>
      <c r="Z120" s="397">
        <v>0</v>
      </c>
      <c r="AA120" s="397">
        <v>0</v>
      </c>
      <c r="AB120" s="397">
        <v>0</v>
      </c>
      <c r="AC120" s="397">
        <v>0</v>
      </c>
      <c r="AD120" s="397">
        <v>0</v>
      </c>
      <c r="AE120" s="397">
        <v>0</v>
      </c>
      <c r="AF120" s="397">
        <v>0</v>
      </c>
      <c r="AG120" s="397">
        <v>0</v>
      </c>
      <c r="AH120" s="397">
        <v>0</v>
      </c>
      <c r="AI120" s="397">
        <v>0</v>
      </c>
      <c r="AJ120" s="397">
        <v>0</v>
      </c>
      <c r="AK120" s="397">
        <v>0</v>
      </c>
      <c r="AL120" s="397">
        <v>0</v>
      </c>
      <c r="AM120" s="397">
        <v>0</v>
      </c>
      <c r="AN120" s="397">
        <v>0</v>
      </c>
      <c r="AO120" s="397">
        <v>0</v>
      </c>
      <c r="AP120" s="397">
        <v>0</v>
      </c>
      <c r="AQ120" s="397">
        <v>0</v>
      </c>
      <c r="AR120" s="397">
        <v>0</v>
      </c>
      <c r="AS120" s="397">
        <v>0</v>
      </c>
      <c r="AT120" s="397">
        <v>0</v>
      </c>
      <c r="AU120" s="397">
        <v>0</v>
      </c>
      <c r="AV120" s="397">
        <v>0</v>
      </c>
      <c r="AW120" s="397">
        <v>0</v>
      </c>
    </row>
    <row r="121" spans="1:49" ht="15.75" hidden="1" customHeight="1" outlineLevel="1">
      <c r="H121" s="396" t="s">
        <v>2242</v>
      </c>
      <c r="I121" s="396"/>
      <c r="J121" s="397"/>
      <c r="K121" s="397"/>
      <c r="L121" s="397"/>
      <c r="M121" s="397"/>
      <c r="N121" s="397"/>
      <c r="O121" s="397"/>
      <c r="P121" s="397">
        <v>0</v>
      </c>
      <c r="Q121" s="397">
        <v>0</v>
      </c>
      <c r="R121" s="397">
        <v>0</v>
      </c>
      <c r="S121" s="397">
        <v>0</v>
      </c>
      <c r="T121" s="397">
        <v>0</v>
      </c>
      <c r="U121" s="397">
        <v>0</v>
      </c>
      <c r="V121" s="397">
        <v>0</v>
      </c>
      <c r="W121" s="397">
        <v>0</v>
      </c>
      <c r="X121" s="397">
        <v>0</v>
      </c>
      <c r="Y121" s="397">
        <v>0</v>
      </c>
      <c r="Z121" s="397">
        <v>0</v>
      </c>
      <c r="AA121" s="397">
        <v>0</v>
      </c>
      <c r="AB121" s="397">
        <v>0</v>
      </c>
      <c r="AC121" s="397">
        <v>0</v>
      </c>
      <c r="AD121" s="397">
        <v>0</v>
      </c>
      <c r="AE121" s="397">
        <v>0</v>
      </c>
      <c r="AF121" s="397">
        <v>0</v>
      </c>
      <c r="AG121" s="397">
        <v>0</v>
      </c>
      <c r="AH121" s="397">
        <v>0</v>
      </c>
      <c r="AI121" s="397">
        <v>0</v>
      </c>
      <c r="AJ121" s="397">
        <v>0</v>
      </c>
      <c r="AK121" s="397">
        <v>0</v>
      </c>
      <c r="AL121" s="397">
        <v>0</v>
      </c>
      <c r="AM121" s="397">
        <v>0</v>
      </c>
      <c r="AN121" s="397">
        <v>0</v>
      </c>
      <c r="AO121" s="397">
        <v>0</v>
      </c>
      <c r="AP121" s="397">
        <v>0</v>
      </c>
      <c r="AQ121" s="397">
        <v>0</v>
      </c>
      <c r="AR121" s="397">
        <v>0</v>
      </c>
      <c r="AS121" s="397">
        <v>0</v>
      </c>
      <c r="AT121" s="397">
        <v>0</v>
      </c>
      <c r="AU121" s="397">
        <v>0</v>
      </c>
      <c r="AV121" s="397">
        <v>0</v>
      </c>
      <c r="AW121" s="397">
        <v>0</v>
      </c>
    </row>
    <row r="122" spans="1:49" ht="15.75" hidden="1" customHeight="1" outlineLevel="1">
      <c r="H122" s="396" t="s">
        <v>2243</v>
      </c>
      <c r="I122" s="396"/>
      <c r="J122" s="397"/>
      <c r="K122" s="397"/>
      <c r="L122" s="397"/>
      <c r="M122" s="397"/>
      <c r="N122" s="397"/>
      <c r="O122" s="397"/>
      <c r="P122" s="397">
        <v>0</v>
      </c>
      <c r="Q122" s="397">
        <v>0</v>
      </c>
      <c r="R122" s="397">
        <v>0</v>
      </c>
      <c r="S122" s="397">
        <v>0</v>
      </c>
      <c r="T122" s="397">
        <v>0</v>
      </c>
      <c r="U122" s="397">
        <v>0</v>
      </c>
      <c r="V122" s="397">
        <v>0</v>
      </c>
      <c r="W122" s="397">
        <v>0</v>
      </c>
      <c r="X122" s="397">
        <v>0</v>
      </c>
      <c r="Y122" s="397">
        <v>0</v>
      </c>
      <c r="Z122" s="397">
        <v>0</v>
      </c>
      <c r="AA122" s="397">
        <v>0</v>
      </c>
      <c r="AB122" s="397">
        <v>0</v>
      </c>
      <c r="AC122" s="397">
        <v>0</v>
      </c>
      <c r="AD122" s="397">
        <v>0</v>
      </c>
      <c r="AE122" s="397">
        <v>0</v>
      </c>
      <c r="AF122" s="397">
        <v>0</v>
      </c>
      <c r="AG122" s="397">
        <v>0</v>
      </c>
      <c r="AH122" s="397">
        <v>0</v>
      </c>
      <c r="AI122" s="397">
        <v>0</v>
      </c>
      <c r="AJ122" s="397">
        <v>0</v>
      </c>
      <c r="AK122" s="397">
        <v>0</v>
      </c>
      <c r="AL122" s="397">
        <v>0</v>
      </c>
      <c r="AM122" s="397">
        <v>0</v>
      </c>
      <c r="AN122" s="397">
        <v>0</v>
      </c>
      <c r="AO122" s="397">
        <v>0</v>
      </c>
      <c r="AP122" s="397">
        <v>0</v>
      </c>
      <c r="AQ122" s="397">
        <v>0</v>
      </c>
      <c r="AR122" s="397">
        <v>0</v>
      </c>
      <c r="AS122" s="397">
        <v>0</v>
      </c>
      <c r="AT122" s="397">
        <v>0</v>
      </c>
      <c r="AU122" s="397">
        <v>0</v>
      </c>
      <c r="AV122" s="397">
        <v>0</v>
      </c>
      <c r="AW122" s="397">
        <v>0</v>
      </c>
    </row>
    <row r="123" spans="1:49" ht="15.75" hidden="1" customHeight="1" outlineLevel="1">
      <c r="H123" s="396" t="s">
        <v>2244</v>
      </c>
      <c r="I123" s="396"/>
      <c r="J123" s="397"/>
      <c r="K123" s="397"/>
      <c r="L123" s="397"/>
      <c r="M123" s="397"/>
      <c r="N123" s="397"/>
      <c r="O123" s="397"/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7">
        <v>0</v>
      </c>
      <c r="V123" s="397">
        <v>0</v>
      </c>
      <c r="W123" s="397">
        <v>0</v>
      </c>
      <c r="X123" s="397">
        <v>0</v>
      </c>
      <c r="Y123" s="397">
        <v>0</v>
      </c>
      <c r="Z123" s="397">
        <v>0</v>
      </c>
      <c r="AA123" s="397">
        <v>0</v>
      </c>
      <c r="AB123" s="397">
        <v>0</v>
      </c>
      <c r="AC123" s="397">
        <v>0</v>
      </c>
      <c r="AD123" s="397">
        <v>0</v>
      </c>
      <c r="AE123" s="397">
        <v>0</v>
      </c>
      <c r="AF123" s="397">
        <v>0</v>
      </c>
      <c r="AG123" s="397">
        <v>0</v>
      </c>
      <c r="AH123" s="397">
        <v>0</v>
      </c>
      <c r="AI123" s="397">
        <v>0</v>
      </c>
      <c r="AJ123" s="397">
        <v>0</v>
      </c>
      <c r="AK123" s="397">
        <v>0</v>
      </c>
      <c r="AL123" s="397">
        <v>0</v>
      </c>
      <c r="AM123" s="397">
        <v>0</v>
      </c>
      <c r="AN123" s="397">
        <v>0</v>
      </c>
      <c r="AO123" s="397">
        <v>0</v>
      </c>
      <c r="AP123" s="397">
        <v>0</v>
      </c>
      <c r="AQ123" s="397">
        <v>0</v>
      </c>
      <c r="AR123" s="397">
        <v>0</v>
      </c>
      <c r="AS123" s="397">
        <v>0</v>
      </c>
      <c r="AT123" s="397">
        <v>0</v>
      </c>
      <c r="AU123" s="397">
        <v>0</v>
      </c>
      <c r="AV123" s="397">
        <v>0</v>
      </c>
      <c r="AW123" s="397">
        <v>0</v>
      </c>
    </row>
    <row r="124" spans="1:49" ht="15.75" customHeight="1" collapsed="1">
      <c r="A124" s="3" t="s">
        <v>155</v>
      </c>
      <c r="H124" s="399" t="s">
        <v>155</v>
      </c>
      <c r="I124" s="399"/>
      <c r="J124" s="400">
        <f>SUMIFS($P124:$AW124,$P$3:$AW$3,J$4)</f>
        <v>2.2783999999999995</v>
      </c>
      <c r="K124" s="400">
        <f>J124-AE124-AF124</f>
        <v>2.2589999999999666E-2</v>
      </c>
      <c r="L124" s="400">
        <f t="shared" ref="L124:N124" si="52">SUMIFS($P124:$AW124,$P$3:$AW$3,L$4)</f>
        <v>0</v>
      </c>
      <c r="M124" s="400">
        <f t="shared" si="52"/>
        <v>0.68229000000000006</v>
      </c>
      <c r="N124" s="400">
        <f t="shared" si="52"/>
        <v>5.5115299999999987</v>
      </c>
      <c r="O124" s="400"/>
      <c r="P124" s="400">
        <f t="shared" ref="P124:AW124" si="53">SUBTOTAL(9,P113:P123)</f>
        <v>1.3600000000000001E-3</v>
      </c>
      <c r="Q124" s="400">
        <f t="shared" si="53"/>
        <v>4.4999999999999999E-4</v>
      </c>
      <c r="R124" s="400">
        <f t="shared" si="53"/>
        <v>4.4999999999999999E-4</v>
      </c>
      <c r="S124" s="400">
        <f t="shared" si="53"/>
        <v>8.9999999999999998E-4</v>
      </c>
      <c r="T124" s="400">
        <f t="shared" si="53"/>
        <v>2.2599999999999999E-3</v>
      </c>
      <c r="U124" s="400">
        <f t="shared" si="53"/>
        <v>1.81E-3</v>
      </c>
      <c r="V124" s="400">
        <f t="shared" si="53"/>
        <v>4.0700000000000007E-3</v>
      </c>
      <c r="W124" s="400">
        <f t="shared" si="53"/>
        <v>3.1700000000000001E-3</v>
      </c>
      <c r="X124" s="400">
        <f t="shared" si="53"/>
        <v>0</v>
      </c>
      <c r="Y124" s="400">
        <f t="shared" si="53"/>
        <v>8.9999999999999998E-4</v>
      </c>
      <c r="Z124" s="400">
        <f t="shared" si="53"/>
        <v>8.9999999999999998E-4</v>
      </c>
      <c r="AA124" s="400">
        <f t="shared" si="53"/>
        <v>4.4999999999999999E-4</v>
      </c>
      <c r="AB124" s="400">
        <f t="shared" si="53"/>
        <v>8.9999999999999998E-4</v>
      </c>
      <c r="AC124" s="400">
        <f t="shared" si="53"/>
        <v>1.81E-3</v>
      </c>
      <c r="AD124" s="400">
        <f t="shared" si="53"/>
        <v>2.7100000000000002E-3</v>
      </c>
      <c r="AE124" s="400">
        <f t="shared" si="53"/>
        <v>2.2558099999999999</v>
      </c>
      <c r="AF124" s="400">
        <f t="shared" si="53"/>
        <v>0</v>
      </c>
      <c r="AG124" s="400">
        <f t="shared" si="53"/>
        <v>4.4999999999999999E-4</v>
      </c>
      <c r="AH124" s="400">
        <f t="shared" si="53"/>
        <v>0.21903</v>
      </c>
      <c r="AI124" s="400">
        <f t="shared" si="53"/>
        <v>6.8250000000000005E-2</v>
      </c>
      <c r="AJ124" s="400">
        <f t="shared" si="53"/>
        <v>0</v>
      </c>
      <c r="AK124" s="400">
        <f t="shared" si="53"/>
        <v>0</v>
      </c>
      <c r="AL124" s="400">
        <f t="shared" si="53"/>
        <v>0.30260999999999999</v>
      </c>
      <c r="AM124" s="400">
        <f t="shared" si="53"/>
        <v>0.16065000000000002</v>
      </c>
      <c r="AN124" s="400">
        <f t="shared" si="53"/>
        <v>0</v>
      </c>
      <c r="AO124" s="400">
        <f t="shared" si="53"/>
        <v>0</v>
      </c>
      <c r="AP124" s="400">
        <f t="shared" si="53"/>
        <v>0</v>
      </c>
      <c r="AQ124" s="400">
        <f t="shared" si="53"/>
        <v>0</v>
      </c>
      <c r="AR124" s="400">
        <f t="shared" si="53"/>
        <v>0</v>
      </c>
      <c r="AS124" s="400">
        <f t="shared" si="53"/>
        <v>0</v>
      </c>
      <c r="AT124" s="400">
        <f t="shared" si="53"/>
        <v>0</v>
      </c>
      <c r="AU124" s="400">
        <f t="shared" si="53"/>
        <v>0</v>
      </c>
      <c r="AV124" s="400">
        <f t="shared" si="53"/>
        <v>0</v>
      </c>
      <c r="AW124" s="400">
        <f t="shared" si="53"/>
        <v>5.5115299999999987</v>
      </c>
    </row>
    <row r="125" spans="1:49" ht="15.75" hidden="1" customHeight="1" outlineLevel="1">
      <c r="H125" s="396" t="s">
        <v>2245</v>
      </c>
      <c r="I125" s="396"/>
      <c r="J125" s="397"/>
      <c r="K125" s="397"/>
      <c r="L125" s="397"/>
      <c r="M125" s="397"/>
      <c r="N125" s="397"/>
      <c r="O125" s="397"/>
      <c r="P125" s="397">
        <v>0</v>
      </c>
      <c r="Q125" s="397">
        <v>0</v>
      </c>
      <c r="R125" s="397">
        <v>0</v>
      </c>
      <c r="S125" s="397">
        <v>0</v>
      </c>
      <c r="T125" s="397">
        <v>0</v>
      </c>
      <c r="U125" s="397">
        <v>0</v>
      </c>
      <c r="V125" s="397">
        <v>0</v>
      </c>
      <c r="W125" s="397">
        <v>0</v>
      </c>
      <c r="X125" s="397">
        <v>1.2250000000000001</v>
      </c>
      <c r="Y125" s="397">
        <v>0</v>
      </c>
      <c r="Z125" s="397">
        <v>0</v>
      </c>
      <c r="AA125" s="397">
        <v>0</v>
      </c>
      <c r="AB125" s="397">
        <v>0</v>
      </c>
      <c r="AC125" s="397">
        <v>0</v>
      </c>
      <c r="AD125" s="397">
        <v>0</v>
      </c>
      <c r="AE125" s="397">
        <v>0</v>
      </c>
      <c r="AF125" s="397">
        <v>0</v>
      </c>
      <c r="AG125" s="397">
        <v>0</v>
      </c>
      <c r="AH125" s="397">
        <v>0</v>
      </c>
      <c r="AI125" s="397">
        <v>0</v>
      </c>
      <c r="AJ125" s="397">
        <v>0</v>
      </c>
      <c r="AK125" s="397">
        <v>0</v>
      </c>
      <c r="AL125" s="397">
        <v>0</v>
      </c>
      <c r="AM125" s="397">
        <v>0</v>
      </c>
      <c r="AN125" s="397">
        <v>0</v>
      </c>
      <c r="AO125" s="397">
        <v>0</v>
      </c>
      <c r="AP125" s="397">
        <v>0</v>
      </c>
      <c r="AQ125" s="397">
        <v>0</v>
      </c>
      <c r="AR125" s="397">
        <v>0</v>
      </c>
      <c r="AS125" s="397">
        <v>0</v>
      </c>
      <c r="AT125" s="397">
        <v>0</v>
      </c>
      <c r="AU125" s="397">
        <v>0</v>
      </c>
      <c r="AV125" s="397">
        <v>0</v>
      </c>
      <c r="AW125" s="397">
        <v>0</v>
      </c>
    </row>
    <row r="126" spans="1:49" ht="15.75" hidden="1" customHeight="1" outlineLevel="1">
      <c r="H126" s="396" t="s">
        <v>2246</v>
      </c>
      <c r="I126" s="396"/>
      <c r="J126" s="397"/>
      <c r="K126" s="397"/>
      <c r="L126" s="397"/>
      <c r="M126" s="397"/>
      <c r="N126" s="397"/>
      <c r="O126" s="397"/>
      <c r="P126" s="397">
        <v>0.19406999999999999</v>
      </c>
      <c r="Q126" s="397">
        <v>2.2107000000000001</v>
      </c>
      <c r="R126" s="397">
        <v>0.74134999999999995</v>
      </c>
      <c r="S126" s="397">
        <v>40.815440000000002</v>
      </c>
      <c r="T126" s="397">
        <v>3.02434</v>
      </c>
      <c r="U126" s="397">
        <v>4.0233299999999996</v>
      </c>
      <c r="V126" s="397">
        <v>1.6289999999999999E-2</v>
      </c>
      <c r="W126" s="397">
        <v>2.5237499999999997</v>
      </c>
      <c r="X126" s="397">
        <v>0</v>
      </c>
      <c r="Y126" s="397">
        <v>0.10721000000000001</v>
      </c>
      <c r="Z126" s="397">
        <v>3.17117</v>
      </c>
      <c r="AA126" s="397">
        <v>0.30943999999999999</v>
      </c>
      <c r="AB126" s="397">
        <v>1.0243100000000001</v>
      </c>
      <c r="AC126" s="397">
        <v>2.8286500000000001</v>
      </c>
      <c r="AD126" s="397">
        <v>1.8973500000000001</v>
      </c>
      <c r="AE126" s="397">
        <v>1.71401</v>
      </c>
      <c r="AF126" s="397">
        <v>0</v>
      </c>
      <c r="AG126" s="397">
        <v>1.0298699999999998</v>
      </c>
      <c r="AH126" s="397">
        <v>1.29497</v>
      </c>
      <c r="AI126" s="397">
        <v>15.995280000000001</v>
      </c>
      <c r="AJ126" s="397">
        <v>0</v>
      </c>
      <c r="AK126" s="397">
        <v>0.60453999999999997</v>
      </c>
      <c r="AL126" s="397">
        <v>2.40612</v>
      </c>
      <c r="AM126" s="397">
        <v>1.4685700000000002</v>
      </c>
      <c r="AN126" s="397">
        <v>2.1155500000000003</v>
      </c>
      <c r="AO126" s="397">
        <v>0.12909999999999999</v>
      </c>
      <c r="AP126" s="397">
        <v>0.86782999999999988</v>
      </c>
      <c r="AQ126" s="397">
        <v>0</v>
      </c>
      <c r="AR126" s="397">
        <v>1.2297600000000002</v>
      </c>
      <c r="AS126" s="397">
        <v>1.32029</v>
      </c>
      <c r="AT126" s="397">
        <v>0.27823999999999999</v>
      </c>
      <c r="AU126" s="397">
        <v>1.4880499999999997</v>
      </c>
      <c r="AV126" s="397">
        <v>3.9533400000000003</v>
      </c>
      <c r="AW126" s="397">
        <v>0</v>
      </c>
    </row>
    <row r="127" spans="1:49" ht="15.75" hidden="1" customHeight="1" outlineLevel="1">
      <c r="H127" s="396" t="s">
        <v>2247</v>
      </c>
      <c r="I127" s="396"/>
      <c r="J127" s="397"/>
      <c r="K127" s="397"/>
      <c r="L127" s="397"/>
      <c r="M127" s="397"/>
      <c r="N127" s="397"/>
      <c r="O127" s="397"/>
      <c r="P127" s="397">
        <v>12.96818</v>
      </c>
      <c r="Q127" s="397">
        <v>7.7352499999999988</v>
      </c>
      <c r="R127" s="397">
        <v>12.170669999999998</v>
      </c>
      <c r="S127" s="397">
        <v>17.751690000000004</v>
      </c>
      <c r="T127" s="397">
        <v>41.818580000000011</v>
      </c>
      <c r="U127" s="397">
        <v>14.318809999999999</v>
      </c>
      <c r="V127" s="397">
        <v>20.428999999999998</v>
      </c>
      <c r="W127" s="397">
        <v>25.396579999999997</v>
      </c>
      <c r="X127" s="397">
        <v>5.7233499999999999</v>
      </c>
      <c r="Y127" s="397">
        <v>9.0000299999999989</v>
      </c>
      <c r="Z127" s="397">
        <v>10.684370000000003</v>
      </c>
      <c r="AA127" s="397">
        <v>7.4337799999999996</v>
      </c>
      <c r="AB127" s="397">
        <v>28.111050000000002</v>
      </c>
      <c r="AC127" s="397">
        <v>29.368000000000002</v>
      </c>
      <c r="AD127" s="397">
        <v>18.901280000000003</v>
      </c>
      <c r="AE127" s="397">
        <v>39.517389999999999</v>
      </c>
      <c r="AF127" s="397">
        <v>8.3142400000000016</v>
      </c>
      <c r="AG127" s="397">
        <v>15.549860000000001</v>
      </c>
      <c r="AH127" s="397">
        <v>18.44857</v>
      </c>
      <c r="AI127" s="397">
        <v>15.483769999999998</v>
      </c>
      <c r="AJ127" s="397">
        <v>0</v>
      </c>
      <c r="AK127" s="397">
        <v>8.6208399999999994</v>
      </c>
      <c r="AL127" s="397">
        <v>10.28735</v>
      </c>
      <c r="AM127" s="397">
        <v>12.23939</v>
      </c>
      <c r="AN127" s="397">
        <v>5.7951100000000002</v>
      </c>
      <c r="AO127" s="397">
        <v>20.995619999999999</v>
      </c>
      <c r="AP127" s="397">
        <v>21.394180000000002</v>
      </c>
      <c r="AQ127" s="397">
        <v>0.27610000000000001</v>
      </c>
      <c r="AR127" s="397">
        <v>14.209200000000001</v>
      </c>
      <c r="AS127" s="397">
        <v>6.6319999999999997</v>
      </c>
      <c r="AT127" s="397">
        <v>16.10568</v>
      </c>
      <c r="AU127" s="397">
        <v>16.131420000000002</v>
      </c>
      <c r="AV127" s="397">
        <v>42.020809999999997</v>
      </c>
      <c r="AW127" s="397">
        <v>100.26927000000001</v>
      </c>
    </row>
    <row r="128" spans="1:49" ht="15.75" hidden="1" customHeight="1" outlineLevel="1">
      <c r="H128" s="396" t="s">
        <v>2248</v>
      </c>
      <c r="I128" s="396"/>
      <c r="J128" s="397"/>
      <c r="K128" s="397"/>
      <c r="L128" s="397"/>
      <c r="M128" s="397"/>
      <c r="N128" s="397"/>
      <c r="O128" s="397"/>
      <c r="P128" s="397">
        <v>50.631769999999989</v>
      </c>
      <c r="Q128" s="397">
        <v>18.286429999999999</v>
      </c>
      <c r="R128" s="397">
        <v>56.453399999999995</v>
      </c>
      <c r="S128" s="397">
        <v>49.000589999999995</v>
      </c>
      <c r="T128" s="397">
        <v>79.684790000000007</v>
      </c>
      <c r="U128" s="397">
        <v>40.832029999999996</v>
      </c>
      <c r="V128" s="397">
        <v>89.935629999999989</v>
      </c>
      <c r="W128" s="397">
        <v>55.555240000000005</v>
      </c>
      <c r="X128" s="397">
        <v>21.92032</v>
      </c>
      <c r="Y128" s="397">
        <v>23.007380000000001</v>
      </c>
      <c r="Z128" s="397">
        <v>23.702650000000002</v>
      </c>
      <c r="AA128" s="397">
        <v>23.96313</v>
      </c>
      <c r="AB128" s="397">
        <v>43.230439999999994</v>
      </c>
      <c r="AC128" s="397">
        <v>62.092649999999999</v>
      </c>
      <c r="AD128" s="397">
        <v>54.424650000000007</v>
      </c>
      <c r="AE128" s="397">
        <v>167.13767000000004</v>
      </c>
      <c r="AF128" s="397">
        <v>29.889010000000003</v>
      </c>
      <c r="AG128" s="397">
        <v>29.946780000000004</v>
      </c>
      <c r="AH128" s="397">
        <v>74.58738000000001</v>
      </c>
      <c r="AI128" s="397">
        <v>49.137209999999996</v>
      </c>
      <c r="AJ128" s="397">
        <v>0</v>
      </c>
      <c r="AK128" s="397">
        <v>27.94896</v>
      </c>
      <c r="AL128" s="397">
        <v>46.807790000000004</v>
      </c>
      <c r="AM128" s="397">
        <v>50.71990000000001</v>
      </c>
      <c r="AN128" s="397">
        <v>20.895520000000001</v>
      </c>
      <c r="AO128" s="397">
        <v>50.919820000000001</v>
      </c>
      <c r="AP128" s="397">
        <v>62.371809999999996</v>
      </c>
      <c r="AQ128" s="397">
        <v>11.27937</v>
      </c>
      <c r="AR128" s="397">
        <v>34.869020000000006</v>
      </c>
      <c r="AS128" s="397">
        <v>11.192449999999999</v>
      </c>
      <c r="AT128" s="397">
        <v>38.585470000000001</v>
      </c>
      <c r="AU128" s="397">
        <v>47.706460000000007</v>
      </c>
      <c r="AV128" s="397">
        <v>134.16887999999997</v>
      </c>
      <c r="AW128" s="397">
        <v>137.58541999999997</v>
      </c>
    </row>
    <row r="129" spans="1:49" ht="15.75" hidden="1" customHeight="1" outlineLevel="1">
      <c r="H129" s="396" t="s">
        <v>2249</v>
      </c>
      <c r="I129" s="396"/>
      <c r="J129" s="397"/>
      <c r="K129" s="397"/>
      <c r="L129" s="397"/>
      <c r="M129" s="397"/>
      <c r="N129" s="397"/>
      <c r="O129" s="397"/>
      <c r="P129" s="397">
        <v>6.0819400000000003</v>
      </c>
      <c r="Q129" s="397">
        <v>1.5090000000000001</v>
      </c>
      <c r="R129" s="397">
        <v>7.6502799999999995</v>
      </c>
      <c r="S129" s="397">
        <v>9.8769400000000012</v>
      </c>
      <c r="T129" s="397">
        <v>13.055939999999998</v>
      </c>
      <c r="U129" s="397">
        <v>6.1103300000000003</v>
      </c>
      <c r="V129" s="397">
        <v>13.991400000000001</v>
      </c>
      <c r="W129" s="397">
        <v>1.2036300000000002</v>
      </c>
      <c r="X129" s="397">
        <v>2.3610000000000002</v>
      </c>
      <c r="Y129" s="397">
        <v>5.2050299999999998</v>
      </c>
      <c r="Z129" s="397">
        <v>6.5465000000000009</v>
      </c>
      <c r="AA129" s="397">
        <v>6.9248700000000003</v>
      </c>
      <c r="AB129" s="397">
        <v>4.3558699999999995</v>
      </c>
      <c r="AC129" s="397">
        <v>12.669009999999998</v>
      </c>
      <c r="AD129" s="397">
        <v>8.6337399999999995</v>
      </c>
      <c r="AE129" s="397">
        <v>11.714279999999999</v>
      </c>
      <c r="AF129" s="397">
        <v>6.6630000000000003</v>
      </c>
      <c r="AG129" s="397">
        <v>2.2403599999999995</v>
      </c>
      <c r="AH129" s="397">
        <v>9.1980000000000004</v>
      </c>
      <c r="AI129" s="397">
        <v>14.853899999999999</v>
      </c>
      <c r="AJ129" s="397">
        <v>0</v>
      </c>
      <c r="AK129" s="397">
        <v>0.91639999999999999</v>
      </c>
      <c r="AL129" s="397">
        <v>5.0357099999999999</v>
      </c>
      <c r="AM129" s="397">
        <v>0.56076000000000004</v>
      </c>
      <c r="AN129" s="397">
        <v>3.1818500000000003</v>
      </c>
      <c r="AO129" s="397">
        <v>4.3407399999999994</v>
      </c>
      <c r="AP129" s="397">
        <v>0</v>
      </c>
      <c r="AQ129" s="397">
        <v>0</v>
      </c>
      <c r="AR129" s="397">
        <v>3.1409900000000004</v>
      </c>
      <c r="AS129" s="397">
        <v>8.9311699999999998</v>
      </c>
      <c r="AT129" s="397">
        <v>1.86473</v>
      </c>
      <c r="AU129" s="397">
        <v>12.805459999999998</v>
      </c>
      <c r="AV129" s="397">
        <v>50.912920000000007</v>
      </c>
      <c r="AW129" s="397">
        <v>0</v>
      </c>
    </row>
    <row r="130" spans="1:49" ht="15.75" hidden="1" customHeight="1" outlineLevel="1">
      <c r="H130" s="396" t="s">
        <v>2250</v>
      </c>
      <c r="I130" s="396"/>
      <c r="J130" s="397"/>
      <c r="K130" s="397"/>
      <c r="L130" s="397"/>
      <c r="M130" s="397"/>
      <c r="N130" s="397"/>
      <c r="O130" s="397"/>
      <c r="P130" s="397">
        <v>7.3526600000000002</v>
      </c>
      <c r="Q130" s="397">
        <v>3.0851199999999999</v>
      </c>
      <c r="R130" s="397">
        <v>5.2979400000000005</v>
      </c>
      <c r="S130" s="397">
        <v>6.4067499999999997</v>
      </c>
      <c r="T130" s="397">
        <v>14.241380000000001</v>
      </c>
      <c r="U130" s="397">
        <v>8.5424399999999991</v>
      </c>
      <c r="V130" s="397">
        <v>11.53476</v>
      </c>
      <c r="W130" s="397">
        <v>9.2824299999999997</v>
      </c>
      <c r="X130" s="397">
        <v>10.703059999999997</v>
      </c>
      <c r="Y130" s="397">
        <v>3.8369999999999997</v>
      </c>
      <c r="Z130" s="397">
        <v>3.8610799999999994</v>
      </c>
      <c r="AA130" s="397">
        <v>2.7093799999999999</v>
      </c>
      <c r="AB130" s="397">
        <v>4.6535200000000003</v>
      </c>
      <c r="AC130" s="397">
        <v>14.522859999999998</v>
      </c>
      <c r="AD130" s="397">
        <v>12.76233</v>
      </c>
      <c r="AE130" s="397">
        <v>28.796680000000006</v>
      </c>
      <c r="AF130" s="397">
        <v>4.7790499999999998</v>
      </c>
      <c r="AG130" s="397">
        <v>5.026320000000001</v>
      </c>
      <c r="AH130" s="397">
        <v>8.9907799999999991</v>
      </c>
      <c r="AI130" s="397">
        <v>7.1980999999999984</v>
      </c>
      <c r="AJ130" s="397">
        <v>0</v>
      </c>
      <c r="AK130" s="397">
        <v>3.1648400000000003</v>
      </c>
      <c r="AL130" s="397">
        <v>6.92225</v>
      </c>
      <c r="AM130" s="397">
        <v>8.4183800000000009</v>
      </c>
      <c r="AN130" s="397">
        <v>2.5349400000000006</v>
      </c>
      <c r="AO130" s="397">
        <v>10.164530000000001</v>
      </c>
      <c r="AP130" s="397">
        <v>9.9545700000000004</v>
      </c>
      <c r="AQ130" s="397">
        <v>11.61782</v>
      </c>
      <c r="AR130" s="397">
        <v>6.7312699999999994</v>
      </c>
      <c r="AS130" s="397">
        <v>6.0051799999999993</v>
      </c>
      <c r="AT130" s="397">
        <v>8.798980000000002</v>
      </c>
      <c r="AU130" s="397">
        <v>14.573310000000001</v>
      </c>
      <c r="AV130" s="397">
        <v>34.114049999999999</v>
      </c>
      <c r="AW130" s="397">
        <v>24.84564</v>
      </c>
    </row>
    <row r="131" spans="1:49" ht="15.75" hidden="1" customHeight="1" outlineLevel="1">
      <c r="H131" s="396" t="s">
        <v>2251</v>
      </c>
      <c r="I131" s="396"/>
      <c r="J131" s="397"/>
      <c r="K131" s="397"/>
      <c r="L131" s="397"/>
      <c r="M131" s="397"/>
      <c r="N131" s="397"/>
      <c r="O131" s="397"/>
      <c r="P131" s="397">
        <v>24.297099999999997</v>
      </c>
      <c r="Q131" s="397">
        <v>9.0112899999999989</v>
      </c>
      <c r="R131" s="397">
        <v>28.271470000000001</v>
      </c>
      <c r="S131" s="397">
        <v>19.25853</v>
      </c>
      <c r="T131" s="397">
        <v>62.328360000000004</v>
      </c>
      <c r="U131" s="397">
        <v>16.60568</v>
      </c>
      <c r="V131" s="397">
        <v>38.978919999999995</v>
      </c>
      <c r="W131" s="397">
        <v>26.481529999999999</v>
      </c>
      <c r="X131" s="397">
        <v>12.765540000000001</v>
      </c>
      <c r="Y131" s="397">
        <v>17.02572</v>
      </c>
      <c r="Z131" s="397">
        <v>11.356509999999998</v>
      </c>
      <c r="AA131" s="397">
        <v>13.969200000000001</v>
      </c>
      <c r="AB131" s="397">
        <v>43.738930000000003</v>
      </c>
      <c r="AC131" s="397">
        <v>49.108580000000011</v>
      </c>
      <c r="AD131" s="397">
        <v>27.487939999999995</v>
      </c>
      <c r="AE131" s="397">
        <v>67.654890000000009</v>
      </c>
      <c r="AF131" s="397">
        <v>16.366430000000001</v>
      </c>
      <c r="AG131" s="397">
        <v>25.797650000000004</v>
      </c>
      <c r="AH131" s="397">
        <v>46.269690000000004</v>
      </c>
      <c r="AI131" s="397">
        <v>33.666789999999999</v>
      </c>
      <c r="AJ131" s="397">
        <v>0</v>
      </c>
      <c r="AK131" s="397">
        <v>19.491729999999997</v>
      </c>
      <c r="AL131" s="397">
        <v>26.186859999999999</v>
      </c>
      <c r="AM131" s="397">
        <v>31.376360000000002</v>
      </c>
      <c r="AN131" s="397">
        <v>14.125030000000002</v>
      </c>
      <c r="AO131" s="397">
        <v>75.159199999999998</v>
      </c>
      <c r="AP131" s="397">
        <v>74.876519999999999</v>
      </c>
      <c r="AQ131" s="397">
        <v>0.93471000000000004</v>
      </c>
      <c r="AR131" s="397">
        <v>48.172560000000004</v>
      </c>
      <c r="AS131" s="397">
        <v>23.476069999999996</v>
      </c>
      <c r="AT131" s="397">
        <v>58.291470000000011</v>
      </c>
      <c r="AU131" s="397">
        <v>57.719979999999993</v>
      </c>
      <c r="AV131" s="397">
        <v>148.56973000000002</v>
      </c>
      <c r="AW131" s="397">
        <v>146.80250999999998</v>
      </c>
    </row>
    <row r="132" spans="1:49" ht="15.75" hidden="1" customHeight="1" outlineLevel="1">
      <c r="H132" s="396" t="s">
        <v>2252</v>
      </c>
      <c r="I132" s="396"/>
      <c r="J132" s="397"/>
      <c r="K132" s="397"/>
      <c r="L132" s="397"/>
      <c r="M132" s="397"/>
      <c r="N132" s="397"/>
      <c r="O132" s="397"/>
      <c r="P132" s="397">
        <v>0</v>
      </c>
      <c r="Q132" s="397">
        <v>0</v>
      </c>
      <c r="R132" s="397">
        <v>0</v>
      </c>
      <c r="S132" s="397">
        <v>0</v>
      </c>
      <c r="T132" s="397">
        <v>0</v>
      </c>
      <c r="U132" s="397">
        <v>0</v>
      </c>
      <c r="V132" s="397">
        <v>0</v>
      </c>
      <c r="W132" s="397">
        <v>0</v>
      </c>
      <c r="X132" s="397">
        <v>0</v>
      </c>
      <c r="Y132" s="397">
        <v>0</v>
      </c>
      <c r="Z132" s="397">
        <v>0</v>
      </c>
      <c r="AA132" s="397">
        <v>0</v>
      </c>
      <c r="AB132" s="397">
        <v>0</v>
      </c>
      <c r="AC132" s="397">
        <v>0</v>
      </c>
      <c r="AD132" s="397">
        <v>0</v>
      </c>
      <c r="AE132" s="397">
        <v>0</v>
      </c>
      <c r="AF132" s="397">
        <v>0</v>
      </c>
      <c r="AG132" s="397">
        <v>0</v>
      </c>
      <c r="AH132" s="397">
        <v>0</v>
      </c>
      <c r="AI132" s="397">
        <v>0</v>
      </c>
      <c r="AJ132" s="397">
        <v>0</v>
      </c>
      <c r="AK132" s="397">
        <v>0</v>
      </c>
      <c r="AL132" s="397">
        <v>0</v>
      </c>
      <c r="AM132" s="397">
        <v>0</v>
      </c>
      <c r="AN132" s="397">
        <v>0</v>
      </c>
      <c r="AO132" s="397">
        <v>0</v>
      </c>
      <c r="AP132" s="397">
        <v>0</v>
      </c>
      <c r="AQ132" s="397">
        <v>0</v>
      </c>
      <c r="AR132" s="397">
        <v>0</v>
      </c>
      <c r="AS132" s="397">
        <v>0</v>
      </c>
      <c r="AT132" s="397">
        <v>0</v>
      </c>
      <c r="AU132" s="397">
        <v>0</v>
      </c>
      <c r="AV132" s="397">
        <v>0</v>
      </c>
      <c r="AW132" s="397">
        <v>0</v>
      </c>
    </row>
    <row r="133" spans="1:49" ht="15.75" hidden="1" customHeight="1" outlineLevel="1">
      <c r="H133" s="396" t="s">
        <v>2253</v>
      </c>
      <c r="I133" s="396"/>
      <c r="J133" s="397"/>
      <c r="K133" s="397"/>
      <c r="L133" s="397"/>
      <c r="M133" s="397"/>
      <c r="N133" s="397"/>
      <c r="O133" s="397"/>
      <c r="P133" s="397">
        <v>0</v>
      </c>
      <c r="Q133" s="397">
        <v>0</v>
      </c>
      <c r="R133" s="397">
        <v>0</v>
      </c>
      <c r="S133" s="397">
        <v>0</v>
      </c>
      <c r="T133" s="397">
        <v>0</v>
      </c>
      <c r="U133" s="397">
        <v>0</v>
      </c>
      <c r="V133" s="397">
        <v>0</v>
      </c>
      <c r="W133" s="397">
        <v>0</v>
      </c>
      <c r="X133" s="397">
        <v>0</v>
      </c>
      <c r="Y133" s="397">
        <v>0</v>
      </c>
      <c r="Z133" s="397">
        <v>0</v>
      </c>
      <c r="AA133" s="397">
        <v>0</v>
      </c>
      <c r="AB133" s="397">
        <v>0</v>
      </c>
      <c r="AC133" s="397">
        <v>0</v>
      </c>
      <c r="AD133" s="397">
        <v>0</v>
      </c>
      <c r="AE133" s="397">
        <v>0</v>
      </c>
      <c r="AF133" s="397">
        <v>0</v>
      </c>
      <c r="AG133" s="397">
        <v>0</v>
      </c>
      <c r="AH133" s="397">
        <v>0</v>
      </c>
      <c r="AI133" s="397">
        <v>0</v>
      </c>
      <c r="AJ133" s="397">
        <v>0</v>
      </c>
      <c r="AK133" s="397">
        <v>0</v>
      </c>
      <c r="AL133" s="397">
        <v>0</v>
      </c>
      <c r="AM133" s="397">
        <v>0</v>
      </c>
      <c r="AN133" s="397">
        <v>0</v>
      </c>
      <c r="AO133" s="397">
        <v>0</v>
      </c>
      <c r="AP133" s="397">
        <v>0</v>
      </c>
      <c r="AQ133" s="397">
        <v>0</v>
      </c>
      <c r="AR133" s="397">
        <v>0</v>
      </c>
      <c r="AS133" s="397">
        <v>0</v>
      </c>
      <c r="AT133" s="397">
        <v>0</v>
      </c>
      <c r="AU133" s="397">
        <v>0</v>
      </c>
      <c r="AV133" s="397">
        <v>0</v>
      </c>
      <c r="AW133" s="397">
        <v>0</v>
      </c>
    </row>
    <row r="134" spans="1:49" ht="15.75" customHeight="1" collapsed="1">
      <c r="A134" s="3" t="s">
        <v>157</v>
      </c>
      <c r="H134" s="399" t="s">
        <v>157</v>
      </c>
      <c r="I134" s="399"/>
      <c r="J134" s="400">
        <f>SUMIFS($P134:$AW134,$P$3:$AW$3,J$4)</f>
        <v>2106.4351000000001</v>
      </c>
      <c r="K134" s="400">
        <f>J134-AE134-AF134</f>
        <v>1723.8884500000001</v>
      </c>
      <c r="L134" s="400">
        <f t="shared" ref="L134:N134" si="54">SUMIFS($P134:$AW134,$P$3:$AW$3,L$4)</f>
        <v>1185.1728600000001</v>
      </c>
      <c r="M134" s="400">
        <f t="shared" si="54"/>
        <v>470.61414000000002</v>
      </c>
      <c r="N134" s="400">
        <f t="shared" si="54"/>
        <v>409.50283999999994</v>
      </c>
      <c r="O134" s="400"/>
      <c r="P134" s="400">
        <f t="shared" ref="P134:AW134" si="55">SUBTOTAL(9,P125:P133)</f>
        <v>101.52571999999999</v>
      </c>
      <c r="Q134" s="400">
        <f t="shared" si="55"/>
        <v>41.837789999999998</v>
      </c>
      <c r="R134" s="400">
        <f t="shared" si="55"/>
        <v>110.58510999999999</v>
      </c>
      <c r="S134" s="400">
        <f t="shared" si="55"/>
        <v>143.10994000000002</v>
      </c>
      <c r="T134" s="400">
        <f t="shared" si="55"/>
        <v>214.15339</v>
      </c>
      <c r="U134" s="400">
        <f t="shared" si="55"/>
        <v>90.432619999999986</v>
      </c>
      <c r="V134" s="400">
        <f t="shared" si="55"/>
        <v>174.88599999999997</v>
      </c>
      <c r="W134" s="400">
        <f t="shared" si="55"/>
        <v>120.44316000000001</v>
      </c>
      <c r="X134" s="400">
        <f t="shared" si="55"/>
        <v>54.698270000000001</v>
      </c>
      <c r="Y134" s="400">
        <f t="shared" si="55"/>
        <v>58.182369999999999</v>
      </c>
      <c r="Z134" s="400">
        <f t="shared" si="55"/>
        <v>59.322280000000006</v>
      </c>
      <c r="AA134" s="400">
        <f t="shared" si="55"/>
        <v>55.309800000000003</v>
      </c>
      <c r="AB134" s="400">
        <f t="shared" si="55"/>
        <v>125.11411999999999</v>
      </c>
      <c r="AC134" s="400">
        <f t="shared" si="55"/>
        <v>170.58975000000001</v>
      </c>
      <c r="AD134" s="400">
        <f t="shared" si="55"/>
        <v>124.10729000000002</v>
      </c>
      <c r="AE134" s="400">
        <f t="shared" si="55"/>
        <v>316.53492000000006</v>
      </c>
      <c r="AF134" s="400">
        <f t="shared" si="55"/>
        <v>66.01173</v>
      </c>
      <c r="AG134" s="400">
        <f t="shared" si="55"/>
        <v>79.590840000000014</v>
      </c>
      <c r="AH134" s="400">
        <f t="shared" si="55"/>
        <v>158.78939</v>
      </c>
      <c r="AI134" s="400">
        <f t="shared" si="55"/>
        <v>136.33505</v>
      </c>
      <c r="AJ134" s="400">
        <f t="shared" si="55"/>
        <v>0</v>
      </c>
      <c r="AK134" s="400">
        <f t="shared" si="55"/>
        <v>60.747309999999999</v>
      </c>
      <c r="AL134" s="400">
        <f t="shared" si="55"/>
        <v>97.646079999999998</v>
      </c>
      <c r="AM134" s="400">
        <f t="shared" si="55"/>
        <v>104.78336000000002</v>
      </c>
      <c r="AN134" s="400">
        <f t="shared" si="55"/>
        <v>48.648000000000003</v>
      </c>
      <c r="AO134" s="400">
        <f t="shared" si="55"/>
        <v>161.70900999999998</v>
      </c>
      <c r="AP134" s="400">
        <f t="shared" si="55"/>
        <v>169.46491</v>
      </c>
      <c r="AQ134" s="400">
        <f t="shared" si="55"/>
        <v>24.108000000000001</v>
      </c>
      <c r="AR134" s="400">
        <f t="shared" si="55"/>
        <v>108.35280000000002</v>
      </c>
      <c r="AS134" s="400">
        <f t="shared" si="55"/>
        <v>57.557159999999996</v>
      </c>
      <c r="AT134" s="400">
        <f t="shared" si="55"/>
        <v>123.92457000000002</v>
      </c>
      <c r="AU134" s="400">
        <f t="shared" si="55"/>
        <v>150.42468000000002</v>
      </c>
      <c r="AV134" s="400">
        <f t="shared" si="55"/>
        <v>413.73973000000001</v>
      </c>
      <c r="AW134" s="400">
        <f t="shared" si="55"/>
        <v>409.50283999999994</v>
      </c>
    </row>
    <row r="135" spans="1:49" ht="15.75" hidden="1" customHeight="1" outlineLevel="1">
      <c r="H135" s="396" t="s">
        <v>2254</v>
      </c>
      <c r="I135" s="396"/>
      <c r="J135" s="397"/>
      <c r="K135" s="397"/>
      <c r="L135" s="397"/>
      <c r="M135" s="397"/>
      <c r="N135" s="397"/>
      <c r="O135" s="397"/>
      <c r="P135" s="397">
        <v>54.564509999999991</v>
      </c>
      <c r="Q135" s="397">
        <v>37.06812</v>
      </c>
      <c r="R135" s="397">
        <v>29.5913</v>
      </c>
      <c r="S135" s="397">
        <v>25.546259999999997</v>
      </c>
      <c r="T135" s="397">
        <v>94.444670000000002</v>
      </c>
      <c r="U135" s="397">
        <v>53.765900000000002</v>
      </c>
      <c r="V135" s="397">
        <v>83.764620000000008</v>
      </c>
      <c r="W135" s="397">
        <v>82.39528</v>
      </c>
      <c r="X135" s="397">
        <v>0</v>
      </c>
      <c r="Y135" s="397">
        <v>31.248870000000004</v>
      </c>
      <c r="Z135" s="397">
        <v>16.804869999999998</v>
      </c>
      <c r="AA135" s="397">
        <v>18.872</v>
      </c>
      <c r="AB135" s="397">
        <v>24.982290000000006</v>
      </c>
      <c r="AC135" s="397">
        <v>59.56521</v>
      </c>
      <c r="AD135" s="397">
        <v>64.106870000000001</v>
      </c>
      <c r="AE135" s="397">
        <v>154.47942999999998</v>
      </c>
      <c r="AF135" s="397">
        <v>31.071059999999999</v>
      </c>
      <c r="AG135" s="397">
        <v>29.482770000000002</v>
      </c>
      <c r="AH135" s="397">
        <v>52.541789999999999</v>
      </c>
      <c r="AI135" s="397">
        <v>39.677730000000004</v>
      </c>
      <c r="AJ135" s="397">
        <v>0</v>
      </c>
      <c r="AK135" s="397">
        <v>16.506810000000002</v>
      </c>
      <c r="AL135" s="397">
        <v>28.090289999999996</v>
      </c>
      <c r="AM135" s="397">
        <v>37.68262</v>
      </c>
      <c r="AN135" s="397">
        <v>12.04608</v>
      </c>
      <c r="AO135" s="397">
        <v>72.592760000000013</v>
      </c>
      <c r="AP135" s="397">
        <v>42.344540000000002</v>
      </c>
      <c r="AQ135" s="397">
        <v>0</v>
      </c>
      <c r="AR135" s="397">
        <v>36.661899999999996</v>
      </c>
      <c r="AS135" s="397">
        <v>4.4827899999999996</v>
      </c>
      <c r="AT135" s="397">
        <v>62.392549999999993</v>
      </c>
      <c r="AU135" s="397">
        <v>62.60528</v>
      </c>
      <c r="AV135" s="397">
        <v>164.67562000000001</v>
      </c>
      <c r="AW135" s="397">
        <v>164.90124</v>
      </c>
    </row>
    <row r="136" spans="1:49" ht="15.75" hidden="1" customHeight="1" outlineLevel="1">
      <c r="H136" s="396" t="s">
        <v>2255</v>
      </c>
      <c r="I136" s="396"/>
      <c r="J136" s="397"/>
      <c r="K136" s="397"/>
      <c r="L136" s="397"/>
      <c r="M136" s="397"/>
      <c r="N136" s="397"/>
      <c r="O136" s="397"/>
      <c r="P136" s="397">
        <v>63.430140000000002</v>
      </c>
      <c r="Q136" s="397">
        <v>35.826340000000002</v>
      </c>
      <c r="R136" s="397">
        <v>29.072410000000001</v>
      </c>
      <c r="S136" s="397">
        <v>28.508220000000001</v>
      </c>
      <c r="T136" s="397">
        <v>104.40059000000001</v>
      </c>
      <c r="U136" s="397">
        <v>55.854510000000005</v>
      </c>
      <c r="V136" s="397">
        <v>106.11940000000001</v>
      </c>
      <c r="W136" s="397">
        <v>97.176860000000005</v>
      </c>
      <c r="X136" s="397">
        <v>0</v>
      </c>
      <c r="Y136" s="397">
        <v>33.028060000000004</v>
      </c>
      <c r="Z136" s="397">
        <v>22.015340000000002</v>
      </c>
      <c r="AA136" s="397">
        <v>24.540100000000002</v>
      </c>
      <c r="AB136" s="397">
        <v>29.517160000000004</v>
      </c>
      <c r="AC136" s="397">
        <v>63.007940000000005</v>
      </c>
      <c r="AD136" s="397">
        <v>62.530649999999994</v>
      </c>
      <c r="AE136" s="397">
        <v>291.27859999999998</v>
      </c>
      <c r="AF136" s="397">
        <v>19.40353</v>
      </c>
      <c r="AG136" s="397">
        <v>31.792619999999999</v>
      </c>
      <c r="AH136" s="397">
        <v>86.565789999999993</v>
      </c>
      <c r="AI136" s="397">
        <v>82.959990000000019</v>
      </c>
      <c r="AJ136" s="397">
        <v>0</v>
      </c>
      <c r="AK136" s="397">
        <v>24.801530000000003</v>
      </c>
      <c r="AL136" s="397">
        <v>46.752769999999998</v>
      </c>
      <c r="AM136" s="397">
        <v>47.519200000000005</v>
      </c>
      <c r="AN136" s="397">
        <v>17.577749999999995</v>
      </c>
      <c r="AO136" s="397">
        <v>65.969420000000014</v>
      </c>
      <c r="AP136" s="397">
        <v>39.517389999999999</v>
      </c>
      <c r="AQ136" s="397">
        <v>0</v>
      </c>
      <c r="AR136" s="397">
        <v>26.450490000000002</v>
      </c>
      <c r="AS136" s="397">
        <v>3.0030599999999996</v>
      </c>
      <c r="AT136" s="397">
        <v>58.501349999999988</v>
      </c>
      <c r="AU136" s="397">
        <v>60.704389999999997</v>
      </c>
      <c r="AV136" s="397">
        <v>169.89171999999996</v>
      </c>
      <c r="AW136" s="397">
        <v>124.31376999999999</v>
      </c>
    </row>
    <row r="137" spans="1:49" ht="15.75" hidden="1" customHeight="1" outlineLevel="1">
      <c r="H137" s="396" t="s">
        <v>2256</v>
      </c>
      <c r="I137" s="396"/>
      <c r="J137" s="397"/>
      <c r="K137" s="397"/>
      <c r="L137" s="397"/>
      <c r="M137" s="397"/>
      <c r="N137" s="397"/>
      <c r="O137" s="397"/>
      <c r="P137" s="397">
        <v>31.180660000000003</v>
      </c>
      <c r="Q137" s="397">
        <v>17.63607</v>
      </c>
      <c r="R137" s="397">
        <v>20.278860000000002</v>
      </c>
      <c r="S137" s="397">
        <v>14.94036</v>
      </c>
      <c r="T137" s="397">
        <v>51.928060000000009</v>
      </c>
      <c r="U137" s="397">
        <v>27.834349999999997</v>
      </c>
      <c r="V137" s="397">
        <v>46.986059999999988</v>
      </c>
      <c r="W137" s="397">
        <v>48.529040000000002</v>
      </c>
      <c r="X137" s="397">
        <v>0</v>
      </c>
      <c r="Y137" s="397">
        <v>17.043810000000001</v>
      </c>
      <c r="Z137" s="397">
        <v>10.100680000000001</v>
      </c>
      <c r="AA137" s="397">
        <v>13.050799999999999</v>
      </c>
      <c r="AB137" s="397">
        <v>16.903099999999998</v>
      </c>
      <c r="AC137" s="397">
        <v>33.285719999999998</v>
      </c>
      <c r="AD137" s="397">
        <v>40.038249999999998</v>
      </c>
      <c r="AE137" s="397">
        <v>66.604780000000005</v>
      </c>
      <c r="AF137" s="397">
        <v>11.024080000000001</v>
      </c>
      <c r="AG137" s="397">
        <v>15.8307</v>
      </c>
      <c r="AH137" s="397">
        <v>54.882560000000005</v>
      </c>
      <c r="AI137" s="397">
        <v>44.567320000000002</v>
      </c>
      <c r="AJ137" s="397">
        <v>0</v>
      </c>
      <c r="AK137" s="397">
        <v>20.342610000000001</v>
      </c>
      <c r="AL137" s="397">
        <v>29.450449999999996</v>
      </c>
      <c r="AM137" s="397">
        <v>36.432090000000002</v>
      </c>
      <c r="AN137" s="397">
        <v>11.82178</v>
      </c>
      <c r="AO137" s="397">
        <v>49.24738</v>
      </c>
      <c r="AP137" s="397">
        <v>28.540220000000001</v>
      </c>
      <c r="AQ137" s="397">
        <v>0</v>
      </c>
      <c r="AR137" s="397">
        <v>20.328769999999999</v>
      </c>
      <c r="AS137" s="397">
        <v>2.6097100000000002</v>
      </c>
      <c r="AT137" s="397">
        <v>38.111989999999999</v>
      </c>
      <c r="AU137" s="397">
        <v>38.521600000000007</v>
      </c>
      <c r="AV137" s="397">
        <v>92.921569999999988</v>
      </c>
      <c r="AW137" s="397">
        <v>120.02623000000001</v>
      </c>
    </row>
    <row r="138" spans="1:49" ht="15.75" hidden="1" customHeight="1" outlineLevel="1">
      <c r="H138" s="396" t="s">
        <v>2257</v>
      </c>
      <c r="I138" s="396"/>
      <c r="J138" s="397"/>
      <c r="K138" s="397"/>
      <c r="L138" s="397"/>
      <c r="M138" s="397"/>
      <c r="N138" s="397"/>
      <c r="O138" s="397"/>
      <c r="P138" s="397">
        <v>14.228250000000001</v>
      </c>
      <c r="Q138" s="397">
        <v>9.9980999999999991</v>
      </c>
      <c r="R138" s="397">
        <v>6.8345000000000002</v>
      </c>
      <c r="S138" s="397">
        <v>5.3811200000000001</v>
      </c>
      <c r="T138" s="397">
        <v>26.273699999999998</v>
      </c>
      <c r="U138" s="397">
        <v>13.64456</v>
      </c>
      <c r="V138" s="397">
        <v>24.786750000000001</v>
      </c>
      <c r="W138" s="397">
        <v>23.473459999999999</v>
      </c>
      <c r="X138" s="397">
        <v>0</v>
      </c>
      <c r="Y138" s="397">
        <v>8.0219100000000001</v>
      </c>
      <c r="Z138" s="397">
        <v>4.5308200000000003</v>
      </c>
      <c r="AA138" s="397">
        <v>6.7732799999999989</v>
      </c>
      <c r="AB138" s="397">
        <v>7.2541899999999995</v>
      </c>
      <c r="AC138" s="397">
        <v>14.258779999999998</v>
      </c>
      <c r="AD138" s="397">
        <v>15.208440000000001</v>
      </c>
      <c r="AE138" s="397">
        <v>40.999809999999997</v>
      </c>
      <c r="AF138" s="397">
        <v>3.3055500000000002</v>
      </c>
      <c r="AG138" s="397">
        <v>7.58385</v>
      </c>
      <c r="AH138" s="397">
        <v>22.446460000000002</v>
      </c>
      <c r="AI138" s="397">
        <v>20.436940000000003</v>
      </c>
      <c r="AJ138" s="397">
        <v>0</v>
      </c>
      <c r="AK138" s="397">
        <v>7.1349000000000009</v>
      </c>
      <c r="AL138" s="397">
        <v>12.407489999999999</v>
      </c>
      <c r="AM138" s="397">
        <v>13.876659999999999</v>
      </c>
      <c r="AN138" s="397">
        <v>5.6200200000000002</v>
      </c>
      <c r="AO138" s="397">
        <v>16.00386</v>
      </c>
      <c r="AP138" s="397">
        <v>8.2248799999999989</v>
      </c>
      <c r="AQ138" s="397">
        <v>0</v>
      </c>
      <c r="AR138" s="397">
        <v>8.1306499999999993</v>
      </c>
      <c r="AS138" s="397">
        <v>0.93410000000000004</v>
      </c>
      <c r="AT138" s="397">
        <v>12.819870000000002</v>
      </c>
      <c r="AU138" s="397">
        <v>13.695130000000001</v>
      </c>
      <c r="AV138" s="397">
        <v>33.631389999999996</v>
      </c>
      <c r="AW138" s="397">
        <v>18.73235</v>
      </c>
    </row>
    <row r="139" spans="1:49" ht="15.75" hidden="1" customHeight="1" outlineLevel="1">
      <c r="H139" s="396" t="s">
        <v>2258</v>
      </c>
      <c r="I139" s="396"/>
      <c r="J139" s="397"/>
      <c r="K139" s="397"/>
      <c r="L139" s="397"/>
      <c r="M139" s="397"/>
      <c r="N139" s="397"/>
      <c r="O139" s="397"/>
      <c r="P139" s="397">
        <v>7.5202600000000004</v>
      </c>
      <c r="Q139" s="397">
        <v>3.94286</v>
      </c>
      <c r="R139" s="397">
        <v>4.8161499999999995</v>
      </c>
      <c r="S139" s="397">
        <v>3.4072800000000001</v>
      </c>
      <c r="T139" s="397">
        <v>12.643229999999999</v>
      </c>
      <c r="U139" s="397">
        <v>6.4329799999999997</v>
      </c>
      <c r="V139" s="397">
        <v>11.96955</v>
      </c>
      <c r="W139" s="397">
        <v>11.49259</v>
      </c>
      <c r="X139" s="397">
        <v>0</v>
      </c>
      <c r="Y139" s="397">
        <v>4.2137399999999996</v>
      </c>
      <c r="Z139" s="397">
        <v>2.1519300000000001</v>
      </c>
      <c r="AA139" s="397">
        <v>2.5753100000000004</v>
      </c>
      <c r="AB139" s="397">
        <v>3.4333</v>
      </c>
      <c r="AC139" s="397">
        <v>7.9714699999999992</v>
      </c>
      <c r="AD139" s="397">
        <v>8.7595999999999989</v>
      </c>
      <c r="AE139" s="397">
        <v>15.907190000000002</v>
      </c>
      <c r="AF139" s="397">
        <v>2.62344</v>
      </c>
      <c r="AG139" s="397">
        <v>4.1719400000000002</v>
      </c>
      <c r="AH139" s="397">
        <v>9.8255099999999995</v>
      </c>
      <c r="AI139" s="397">
        <v>8.2191600000000005</v>
      </c>
      <c r="AJ139" s="397">
        <v>0</v>
      </c>
      <c r="AK139" s="397">
        <v>2.8818299999999999</v>
      </c>
      <c r="AL139" s="397">
        <v>5.8437200000000002</v>
      </c>
      <c r="AM139" s="397">
        <v>6.3177100000000008</v>
      </c>
      <c r="AN139" s="397">
        <v>1.8993000000000002</v>
      </c>
      <c r="AO139" s="397">
        <v>8.9116400000000002</v>
      </c>
      <c r="AP139" s="397">
        <v>5.4182099999999993</v>
      </c>
      <c r="AQ139" s="397">
        <v>0</v>
      </c>
      <c r="AR139" s="397">
        <v>4.1241500000000002</v>
      </c>
      <c r="AS139" s="397">
        <v>0.47101000000000004</v>
      </c>
      <c r="AT139" s="397">
        <v>6.1493700000000011</v>
      </c>
      <c r="AU139" s="397">
        <v>7.39656</v>
      </c>
      <c r="AV139" s="397">
        <v>16.239630000000002</v>
      </c>
      <c r="AW139" s="397">
        <v>25.576550000000005</v>
      </c>
    </row>
    <row r="140" spans="1:49" ht="15.75" hidden="1" customHeight="1" outlineLevel="1">
      <c r="H140" s="396" t="s">
        <v>2259</v>
      </c>
      <c r="I140" s="396"/>
      <c r="J140" s="397"/>
      <c r="K140" s="397"/>
      <c r="L140" s="397"/>
      <c r="M140" s="397"/>
      <c r="N140" s="397"/>
      <c r="O140" s="397"/>
      <c r="P140" s="397">
        <v>2.5499999999999998</v>
      </c>
      <c r="Q140" s="397">
        <v>0</v>
      </c>
      <c r="R140" s="397">
        <v>0</v>
      </c>
      <c r="S140" s="397">
        <v>0</v>
      </c>
      <c r="T140" s="397">
        <v>3.6</v>
      </c>
      <c r="U140" s="397">
        <v>0</v>
      </c>
      <c r="V140" s="397">
        <v>0</v>
      </c>
      <c r="W140" s="397">
        <v>0</v>
      </c>
      <c r="X140" s="397">
        <v>2.9194800000000001</v>
      </c>
      <c r="Y140" s="397">
        <v>0</v>
      </c>
      <c r="Z140" s="397">
        <v>0</v>
      </c>
      <c r="AA140" s="397">
        <v>0</v>
      </c>
      <c r="AB140" s="397">
        <v>3.45</v>
      </c>
      <c r="AC140" s="397">
        <v>0</v>
      </c>
      <c r="AD140" s="397">
        <v>0</v>
      </c>
      <c r="AE140" s="397">
        <v>5.65</v>
      </c>
      <c r="AF140" s="397">
        <v>0</v>
      </c>
      <c r="AG140" s="397">
        <v>0</v>
      </c>
      <c r="AH140" s="397">
        <v>0</v>
      </c>
      <c r="AI140" s="397">
        <v>0.8</v>
      </c>
      <c r="AJ140" s="397">
        <v>0</v>
      </c>
      <c r="AK140" s="397">
        <v>0</v>
      </c>
      <c r="AL140" s="397">
        <v>1.8</v>
      </c>
      <c r="AM140" s="397">
        <v>0</v>
      </c>
      <c r="AN140" s="397">
        <v>0</v>
      </c>
      <c r="AO140" s="397">
        <v>0</v>
      </c>
      <c r="AP140" s="397">
        <v>0</v>
      </c>
      <c r="AQ140" s="397">
        <v>0</v>
      </c>
      <c r="AR140" s="397">
        <v>0</v>
      </c>
      <c r="AS140" s="397">
        <v>0</v>
      </c>
      <c r="AT140" s="397">
        <v>0</v>
      </c>
      <c r="AU140" s="397">
        <v>0</v>
      </c>
      <c r="AV140" s="397">
        <v>0</v>
      </c>
      <c r="AW140" s="397">
        <v>0</v>
      </c>
    </row>
    <row r="141" spans="1:49" ht="15.75" hidden="1" customHeight="1" outlineLevel="1">
      <c r="H141" s="396" t="s">
        <v>2260</v>
      </c>
      <c r="I141" s="396"/>
      <c r="J141" s="397"/>
      <c r="K141" s="397"/>
      <c r="L141" s="397"/>
      <c r="M141" s="397"/>
      <c r="N141" s="397"/>
      <c r="O141" s="397"/>
      <c r="P141" s="397">
        <v>0.53528999999999993</v>
      </c>
      <c r="Q141" s="397">
        <v>0.33341999999999994</v>
      </c>
      <c r="R141" s="397">
        <v>0.45036999999999999</v>
      </c>
      <c r="S141" s="397">
        <v>0.32328000000000001</v>
      </c>
      <c r="T141" s="397">
        <v>1.1411100000000001</v>
      </c>
      <c r="U141" s="397">
        <v>0.58305999999999991</v>
      </c>
      <c r="V141" s="397">
        <v>2.1132000000000004</v>
      </c>
      <c r="W141" s="397">
        <v>1.0005299999999999</v>
      </c>
      <c r="X141" s="397">
        <v>0</v>
      </c>
      <c r="Y141" s="397">
        <v>0.28045999999999999</v>
      </c>
      <c r="Z141" s="397">
        <v>0.30307999999999996</v>
      </c>
      <c r="AA141" s="397">
        <v>0.26989999999999997</v>
      </c>
      <c r="AB141" s="397">
        <v>0.42698000000000003</v>
      </c>
      <c r="AC141" s="397">
        <v>0.75029999999999997</v>
      </c>
      <c r="AD141" s="397">
        <v>0.59471000000000007</v>
      </c>
      <c r="AE141" s="397">
        <v>6.7423500000000001</v>
      </c>
      <c r="AF141" s="397">
        <v>0.29467000000000004</v>
      </c>
      <c r="AG141" s="397">
        <v>0</v>
      </c>
      <c r="AH141" s="397">
        <v>0</v>
      </c>
      <c r="AI141" s="397">
        <v>0</v>
      </c>
      <c r="AJ141" s="397">
        <v>0</v>
      </c>
      <c r="AK141" s="397">
        <v>0</v>
      </c>
      <c r="AL141" s="397">
        <v>0</v>
      </c>
      <c r="AM141" s="397">
        <v>0</v>
      </c>
      <c r="AN141" s="397">
        <v>0</v>
      </c>
      <c r="AO141" s="397">
        <v>8.8020000000000001E-2</v>
      </c>
      <c r="AP141" s="397">
        <v>0</v>
      </c>
      <c r="AQ141" s="397">
        <v>0</v>
      </c>
      <c r="AR141" s="397">
        <v>0</v>
      </c>
      <c r="AS141" s="397">
        <v>0</v>
      </c>
      <c r="AT141" s="397">
        <v>0</v>
      </c>
      <c r="AU141" s="397">
        <v>0</v>
      </c>
      <c r="AV141" s="397">
        <v>0</v>
      </c>
      <c r="AW141" s="397">
        <v>4.25</v>
      </c>
    </row>
    <row r="142" spans="1:49" ht="15.75" customHeight="1" collapsed="1">
      <c r="A142" s="3" t="s">
        <v>153</v>
      </c>
      <c r="H142" s="399" t="s">
        <v>153</v>
      </c>
      <c r="I142" s="399"/>
      <c r="J142" s="400">
        <f>SUMIFS($P142:$AW142,$P$3:$AW$3,J$4)</f>
        <v>2853.3539599999999</v>
      </c>
      <c r="K142" s="400">
        <f>J142-AE142-AF142</f>
        <v>2203.96947</v>
      </c>
      <c r="L142" s="400">
        <f t="shared" ref="L142:N142" si="56">SUMIFS($P142:$AW142,$P$3:$AW$3,L$4)</f>
        <v>1282.31297</v>
      </c>
      <c r="M142" s="400">
        <f t="shared" si="56"/>
        <v>613.06772000000001</v>
      </c>
      <c r="N142" s="400">
        <f t="shared" si="56"/>
        <v>457.80014</v>
      </c>
      <c r="O142" s="400"/>
      <c r="P142" s="400">
        <f t="shared" ref="P142:AW142" si="57">SUBTOTAL(9,P135:P141)</f>
        <v>174.00911000000002</v>
      </c>
      <c r="Q142" s="400">
        <f t="shared" si="57"/>
        <v>104.80491000000001</v>
      </c>
      <c r="R142" s="400">
        <f t="shared" si="57"/>
        <v>91.043590000000009</v>
      </c>
      <c r="S142" s="400">
        <f t="shared" si="57"/>
        <v>78.106519999999989</v>
      </c>
      <c r="T142" s="400">
        <f t="shared" si="57"/>
        <v>294.4313600000001</v>
      </c>
      <c r="U142" s="400">
        <f t="shared" si="57"/>
        <v>158.11535999999998</v>
      </c>
      <c r="V142" s="400">
        <f t="shared" si="57"/>
        <v>275.73958000000005</v>
      </c>
      <c r="W142" s="400">
        <f t="shared" si="57"/>
        <v>264.06776000000002</v>
      </c>
      <c r="X142" s="400">
        <f t="shared" si="57"/>
        <v>2.9194800000000001</v>
      </c>
      <c r="Y142" s="400">
        <f t="shared" si="57"/>
        <v>93.836850000000013</v>
      </c>
      <c r="Z142" s="400">
        <f t="shared" si="57"/>
        <v>55.90672</v>
      </c>
      <c r="AA142" s="400">
        <f t="shared" si="57"/>
        <v>66.081390000000013</v>
      </c>
      <c r="AB142" s="400">
        <f t="shared" si="57"/>
        <v>85.967020000000005</v>
      </c>
      <c r="AC142" s="400">
        <f t="shared" si="57"/>
        <v>178.83942000000002</v>
      </c>
      <c r="AD142" s="400">
        <f t="shared" si="57"/>
        <v>191.23851999999999</v>
      </c>
      <c r="AE142" s="400">
        <f t="shared" si="57"/>
        <v>581.66215999999997</v>
      </c>
      <c r="AF142" s="400">
        <f t="shared" si="57"/>
        <v>67.722329999999999</v>
      </c>
      <c r="AG142" s="400">
        <f t="shared" si="57"/>
        <v>88.861879999999999</v>
      </c>
      <c r="AH142" s="400">
        <f t="shared" si="57"/>
        <v>226.26211000000001</v>
      </c>
      <c r="AI142" s="400">
        <f t="shared" si="57"/>
        <v>196.66114000000002</v>
      </c>
      <c r="AJ142" s="400">
        <f t="shared" si="57"/>
        <v>0</v>
      </c>
      <c r="AK142" s="400">
        <f t="shared" si="57"/>
        <v>71.66767999999999</v>
      </c>
      <c r="AL142" s="400">
        <f t="shared" si="57"/>
        <v>124.34472</v>
      </c>
      <c r="AM142" s="400">
        <f t="shared" si="57"/>
        <v>141.82828000000001</v>
      </c>
      <c r="AN142" s="400">
        <f t="shared" si="57"/>
        <v>48.964929999999995</v>
      </c>
      <c r="AO142" s="400">
        <f t="shared" si="57"/>
        <v>212.81308000000001</v>
      </c>
      <c r="AP142" s="400">
        <f t="shared" si="57"/>
        <v>124.04524000000001</v>
      </c>
      <c r="AQ142" s="400">
        <f t="shared" si="57"/>
        <v>0</v>
      </c>
      <c r="AR142" s="400">
        <f t="shared" si="57"/>
        <v>95.695959999999999</v>
      </c>
      <c r="AS142" s="400">
        <f t="shared" si="57"/>
        <v>11.50067</v>
      </c>
      <c r="AT142" s="400">
        <f t="shared" si="57"/>
        <v>177.97512999999998</v>
      </c>
      <c r="AU142" s="400">
        <f t="shared" si="57"/>
        <v>182.92296000000002</v>
      </c>
      <c r="AV142" s="400">
        <f t="shared" si="57"/>
        <v>477.35992999999991</v>
      </c>
      <c r="AW142" s="400">
        <f t="shared" si="57"/>
        <v>457.80014</v>
      </c>
    </row>
    <row r="143" spans="1:49" ht="15.75" hidden="1" customHeight="1" outlineLevel="1">
      <c r="H143" s="396" t="s">
        <v>2261</v>
      </c>
      <c r="I143" s="396"/>
      <c r="J143" s="397"/>
      <c r="K143" s="397"/>
      <c r="L143" s="397"/>
      <c r="M143" s="397"/>
      <c r="N143" s="397"/>
      <c r="O143" s="397"/>
      <c r="P143" s="397">
        <v>35.337249999999997</v>
      </c>
      <c r="Q143" s="397">
        <v>15.996540000000001</v>
      </c>
      <c r="R143" s="397">
        <v>23.13618</v>
      </c>
      <c r="S143" s="397">
        <v>28.580789999999997</v>
      </c>
      <c r="T143" s="397">
        <v>71.141770000000008</v>
      </c>
      <c r="U143" s="397">
        <v>27.204789999999999</v>
      </c>
      <c r="V143" s="397">
        <v>49.290189999999996</v>
      </c>
      <c r="W143" s="397">
        <v>44.344959999999993</v>
      </c>
      <c r="X143" s="397">
        <v>11.51172</v>
      </c>
      <c r="Y143" s="397">
        <v>19.228359999999999</v>
      </c>
      <c r="Z143" s="397">
        <v>15.34033</v>
      </c>
      <c r="AA143" s="397">
        <v>15.843219999999999</v>
      </c>
      <c r="AB143" s="397">
        <v>42.865749999999998</v>
      </c>
      <c r="AC143" s="397">
        <v>55.129240000000003</v>
      </c>
      <c r="AD143" s="397">
        <v>42.409699999999994</v>
      </c>
      <c r="AE143" s="397">
        <v>119.72190000000002</v>
      </c>
      <c r="AF143" s="397">
        <v>32.478250000000003</v>
      </c>
      <c r="AG143" s="397">
        <v>33.742950000000008</v>
      </c>
      <c r="AH143" s="397">
        <v>56.99006</v>
      </c>
      <c r="AI143" s="397">
        <v>45.082319999999996</v>
      </c>
      <c r="AJ143" s="397">
        <v>0</v>
      </c>
      <c r="AK143" s="397">
        <v>25.308109999999999</v>
      </c>
      <c r="AL143" s="397">
        <v>33.505949999999999</v>
      </c>
      <c r="AM143" s="397">
        <v>39.601350000000004</v>
      </c>
      <c r="AN143" s="397">
        <v>15.244009999999998</v>
      </c>
      <c r="AO143" s="397">
        <v>49.267180000000003</v>
      </c>
      <c r="AP143" s="397">
        <v>43.980509999999995</v>
      </c>
      <c r="AQ143" s="397">
        <v>5.3522600000000002</v>
      </c>
      <c r="AR143" s="397">
        <v>29.995920000000002</v>
      </c>
      <c r="AS143" s="397">
        <v>10.145520000000001</v>
      </c>
      <c r="AT143" s="397">
        <v>40.83267</v>
      </c>
      <c r="AU143" s="397">
        <v>38.190620000000003</v>
      </c>
      <c r="AV143" s="397">
        <v>101.09675</v>
      </c>
      <c r="AW143" s="397">
        <v>111.05686999999999</v>
      </c>
    </row>
    <row r="144" spans="1:49" ht="15.75" hidden="1" customHeight="1" outlineLevel="1">
      <c r="H144" s="396" t="s">
        <v>2262</v>
      </c>
      <c r="I144" s="396"/>
      <c r="J144" s="397"/>
      <c r="K144" s="397"/>
      <c r="L144" s="397"/>
      <c r="M144" s="397"/>
      <c r="N144" s="397"/>
      <c r="O144" s="397"/>
      <c r="P144" s="397">
        <v>15.597100000000003</v>
      </c>
      <c r="Q144" s="397">
        <v>10.166360000000001</v>
      </c>
      <c r="R144" s="397">
        <v>11.626999999999999</v>
      </c>
      <c r="S144" s="397">
        <v>19.056989999999999</v>
      </c>
      <c r="T144" s="397">
        <v>41.267870000000002</v>
      </c>
      <c r="U144" s="397">
        <v>17.53276</v>
      </c>
      <c r="V144" s="397">
        <v>31.187899999999999</v>
      </c>
      <c r="W144" s="397">
        <v>27.636849999999999</v>
      </c>
      <c r="X144" s="397">
        <v>4.9080500000000002</v>
      </c>
      <c r="Y144" s="397">
        <v>9.4194800000000001</v>
      </c>
      <c r="Z144" s="397">
        <v>8.6417599999999997</v>
      </c>
      <c r="AA144" s="397">
        <v>7.1873800000000001</v>
      </c>
      <c r="AB144" s="397">
        <v>23.505310000000005</v>
      </c>
      <c r="AC144" s="397">
        <v>26.456130000000002</v>
      </c>
      <c r="AD144" s="397">
        <v>19.25564</v>
      </c>
      <c r="AE144" s="397">
        <v>68.200120000000013</v>
      </c>
      <c r="AF144" s="397">
        <v>10.21921</v>
      </c>
      <c r="AG144" s="397">
        <v>22.070309999999999</v>
      </c>
      <c r="AH144" s="397">
        <v>32.956470000000003</v>
      </c>
      <c r="AI144" s="397">
        <v>25.171670000000002</v>
      </c>
      <c r="AJ144" s="397">
        <v>0</v>
      </c>
      <c r="AK144" s="397">
        <v>9.5623400000000007</v>
      </c>
      <c r="AL144" s="397">
        <v>17.312039999999996</v>
      </c>
      <c r="AM144" s="397">
        <v>18.17315</v>
      </c>
      <c r="AN144" s="397">
        <v>7.4654699999999989</v>
      </c>
      <c r="AO144" s="397">
        <v>27.354040000000001</v>
      </c>
      <c r="AP144" s="397">
        <v>24.379459999999998</v>
      </c>
      <c r="AQ144" s="397">
        <v>1.0165200000000001</v>
      </c>
      <c r="AR144" s="397">
        <v>18.301599999999997</v>
      </c>
      <c r="AS144" s="397">
        <v>8.7692399999999999</v>
      </c>
      <c r="AT144" s="397">
        <v>20.652919999999998</v>
      </c>
      <c r="AU144" s="397">
        <v>22.888960000000001</v>
      </c>
      <c r="AV144" s="397">
        <v>49.228110000000008</v>
      </c>
      <c r="AW144" s="397">
        <v>61.921950000000002</v>
      </c>
    </row>
    <row r="145" spans="1:53" ht="15.75" hidden="1" customHeight="1" outlineLevel="1">
      <c r="H145" s="396" t="s">
        <v>2263</v>
      </c>
      <c r="I145" s="396"/>
      <c r="J145" s="397"/>
      <c r="K145" s="397"/>
      <c r="L145" s="397"/>
      <c r="M145" s="397"/>
      <c r="N145" s="397"/>
      <c r="O145" s="397"/>
      <c r="P145" s="397">
        <v>0</v>
      </c>
      <c r="Q145" s="397">
        <v>0</v>
      </c>
      <c r="R145" s="397">
        <v>-2.0000000000000002E-5</v>
      </c>
      <c r="S145" s="397">
        <v>-2.0000000000000002E-5</v>
      </c>
      <c r="T145" s="397">
        <v>0</v>
      </c>
      <c r="U145" s="397">
        <v>-8.0000000000000007E-5</v>
      </c>
      <c r="V145" s="397">
        <v>-1E-4</v>
      </c>
      <c r="W145" s="397">
        <v>-4.0000000000000003E-5</v>
      </c>
      <c r="X145" s="397">
        <v>0</v>
      </c>
      <c r="Y145" s="397">
        <v>0</v>
      </c>
      <c r="Z145" s="397">
        <v>0</v>
      </c>
      <c r="AA145" s="397">
        <v>-2.0000000000000002E-5</v>
      </c>
      <c r="AB145" s="397">
        <v>0</v>
      </c>
      <c r="AC145" s="397">
        <v>-1.33E-3</v>
      </c>
      <c r="AD145" s="397">
        <v>-5.9999999999999995E-5</v>
      </c>
      <c r="AE145" s="397">
        <v>-1.077E-2</v>
      </c>
      <c r="AF145" s="397">
        <v>0</v>
      </c>
      <c r="AG145" s="397">
        <v>0</v>
      </c>
      <c r="AH145" s="397">
        <v>0</v>
      </c>
      <c r="AI145" s="397">
        <v>0</v>
      </c>
      <c r="AJ145" s="397">
        <v>0</v>
      </c>
      <c r="AK145" s="397">
        <v>0</v>
      </c>
      <c r="AL145" s="397">
        <v>0</v>
      </c>
      <c r="AM145" s="397">
        <v>0</v>
      </c>
      <c r="AN145" s="397">
        <v>-2.7499999999999998E-3</v>
      </c>
      <c r="AO145" s="397">
        <v>0</v>
      </c>
      <c r="AP145" s="397">
        <v>0</v>
      </c>
      <c r="AQ145" s="397">
        <v>0</v>
      </c>
      <c r="AR145" s="397">
        <v>0</v>
      </c>
      <c r="AS145" s="397">
        <v>0</v>
      </c>
      <c r="AT145" s="397">
        <v>-3.7599999999999999E-3</v>
      </c>
      <c r="AU145" s="397">
        <v>0</v>
      </c>
      <c r="AV145" s="397">
        <v>0</v>
      </c>
      <c r="AW145" s="397">
        <v>0</v>
      </c>
    </row>
    <row r="146" spans="1:53" ht="15.75" hidden="1" customHeight="1" outlineLevel="1">
      <c r="H146" s="396" t="s">
        <v>2264</v>
      </c>
      <c r="I146" s="396"/>
      <c r="J146" s="397"/>
      <c r="K146" s="397"/>
      <c r="L146" s="397"/>
      <c r="M146" s="397"/>
      <c r="N146" s="397"/>
      <c r="O146" s="397"/>
      <c r="P146" s="397">
        <v>0</v>
      </c>
      <c r="Q146" s="397">
        <v>0</v>
      </c>
      <c r="R146" s="397">
        <v>0</v>
      </c>
      <c r="S146" s="397">
        <v>0</v>
      </c>
      <c r="T146" s="397">
        <v>0</v>
      </c>
      <c r="U146" s="397">
        <v>0</v>
      </c>
      <c r="V146" s="397">
        <v>0</v>
      </c>
      <c r="W146" s="397">
        <v>0</v>
      </c>
      <c r="X146" s="397">
        <v>0</v>
      </c>
      <c r="Y146" s="397">
        <v>0</v>
      </c>
      <c r="Z146" s="397">
        <v>0</v>
      </c>
      <c r="AA146" s="397">
        <v>0</v>
      </c>
      <c r="AB146" s="397">
        <v>0</v>
      </c>
      <c r="AC146" s="397">
        <v>0</v>
      </c>
      <c r="AD146" s="397">
        <v>0</v>
      </c>
      <c r="AE146" s="397">
        <v>-4.7999999999999996E-3</v>
      </c>
      <c r="AF146" s="397">
        <v>0</v>
      </c>
      <c r="AG146" s="397">
        <v>0</v>
      </c>
      <c r="AH146" s="397">
        <v>0</v>
      </c>
      <c r="AI146" s="397">
        <v>0</v>
      </c>
      <c r="AJ146" s="397">
        <v>0</v>
      </c>
      <c r="AK146" s="397">
        <v>0</v>
      </c>
      <c r="AL146" s="397">
        <v>0</v>
      </c>
      <c r="AM146" s="397">
        <v>0</v>
      </c>
      <c r="AN146" s="397">
        <v>0</v>
      </c>
      <c r="AO146" s="397">
        <v>0</v>
      </c>
      <c r="AP146" s="397">
        <v>0</v>
      </c>
      <c r="AQ146" s="397">
        <v>0</v>
      </c>
      <c r="AR146" s="397">
        <v>0</v>
      </c>
      <c r="AS146" s="397">
        <v>0</v>
      </c>
      <c r="AT146" s="397">
        <v>0</v>
      </c>
      <c r="AU146" s="397">
        <v>0</v>
      </c>
      <c r="AV146" s="397">
        <v>0</v>
      </c>
      <c r="AW146" s="397">
        <v>0</v>
      </c>
    </row>
    <row r="147" spans="1:53" ht="15.75" hidden="1" customHeight="1" outlineLevel="1">
      <c r="H147" s="396" t="s">
        <v>2265</v>
      </c>
      <c r="I147" s="396"/>
      <c r="J147" s="397"/>
      <c r="K147" s="397"/>
      <c r="L147" s="397"/>
      <c r="M147" s="397"/>
      <c r="N147" s="397"/>
      <c r="O147" s="397"/>
      <c r="P147" s="397">
        <v>2.12791</v>
      </c>
      <c r="Q147" s="397">
        <v>1.1029900000000001</v>
      </c>
      <c r="R147" s="397">
        <v>1.8130499999999998</v>
      </c>
      <c r="S147" s="397">
        <v>1.41089</v>
      </c>
      <c r="T147" s="397">
        <v>3.8194499999999998</v>
      </c>
      <c r="U147" s="397">
        <v>1.8551000000000002</v>
      </c>
      <c r="V147" s="397">
        <v>3.1224599999999998</v>
      </c>
      <c r="W147" s="397">
        <v>2.7190599999999998</v>
      </c>
      <c r="X147" s="397">
        <v>0.67454999999999998</v>
      </c>
      <c r="Y147" s="397">
        <v>1.19781</v>
      </c>
      <c r="Z147" s="397">
        <v>0.86360999999999999</v>
      </c>
      <c r="AA147" s="397">
        <v>1.2249699999999999</v>
      </c>
      <c r="AB147" s="397">
        <v>1.8706599999999998</v>
      </c>
      <c r="AC147" s="397">
        <v>2.9338699999999998</v>
      </c>
      <c r="AD147" s="397">
        <v>2.38219</v>
      </c>
      <c r="AE147" s="397">
        <v>7.3450400000000009</v>
      </c>
      <c r="AF147" s="397">
        <v>1.7732699999999999</v>
      </c>
      <c r="AG147" s="397">
        <v>1.4605999999999999</v>
      </c>
      <c r="AH147" s="397">
        <v>3.5846999999999989</v>
      </c>
      <c r="AI147" s="397">
        <v>2.8872300000000002</v>
      </c>
      <c r="AJ147" s="397">
        <v>4.6500000000000005E-3</v>
      </c>
      <c r="AK147" s="397">
        <v>1.7556599999999998</v>
      </c>
      <c r="AL147" s="397">
        <v>2.1821999999999999</v>
      </c>
      <c r="AM147" s="397">
        <v>2.5680800000000001</v>
      </c>
      <c r="AN147" s="397">
        <v>1.2874700000000001</v>
      </c>
      <c r="AO147" s="397">
        <v>3.4365700000000006</v>
      </c>
      <c r="AP147" s="397">
        <v>2.64886</v>
      </c>
      <c r="AQ147" s="397">
        <v>0.70125999999999999</v>
      </c>
      <c r="AR147" s="397">
        <v>2.1495100000000003</v>
      </c>
      <c r="AS147" s="397">
        <v>0.50214000000000003</v>
      </c>
      <c r="AT147" s="397">
        <v>2.6487600000000002</v>
      </c>
      <c r="AU147" s="397">
        <v>2.6510400000000001</v>
      </c>
      <c r="AV147" s="397">
        <v>6.5691799999999994</v>
      </c>
      <c r="AW147" s="397">
        <v>2.0834000000000001</v>
      </c>
    </row>
    <row r="148" spans="1:53" ht="15.75" hidden="1" customHeight="1" outlineLevel="1">
      <c r="H148" s="396" t="s">
        <v>2266</v>
      </c>
      <c r="I148" s="396"/>
      <c r="J148" s="397"/>
      <c r="K148" s="397"/>
      <c r="L148" s="397"/>
      <c r="M148" s="397"/>
      <c r="N148" s="397"/>
      <c r="O148" s="397"/>
      <c r="P148" s="397">
        <v>0</v>
      </c>
      <c r="Q148" s="397">
        <v>0</v>
      </c>
      <c r="R148" s="397">
        <v>0</v>
      </c>
      <c r="S148" s="397">
        <v>0</v>
      </c>
      <c r="T148" s="397">
        <v>0</v>
      </c>
      <c r="U148" s="397">
        <v>0</v>
      </c>
      <c r="V148" s="397">
        <v>0</v>
      </c>
      <c r="W148" s="397">
        <v>0</v>
      </c>
      <c r="X148" s="397">
        <v>0</v>
      </c>
      <c r="Y148" s="397">
        <v>0</v>
      </c>
      <c r="Z148" s="397">
        <v>0</v>
      </c>
      <c r="AA148" s="397">
        <v>0</v>
      </c>
      <c r="AB148" s="397">
        <v>0</v>
      </c>
      <c r="AC148" s="397">
        <v>0</v>
      </c>
      <c r="AD148" s="397">
        <v>0</v>
      </c>
      <c r="AE148" s="397">
        <v>0</v>
      </c>
      <c r="AF148" s="397">
        <v>0</v>
      </c>
      <c r="AG148" s="397">
        <v>0</v>
      </c>
      <c r="AH148" s="397">
        <v>0</v>
      </c>
      <c r="AI148" s="397">
        <v>0</v>
      </c>
      <c r="AJ148" s="397">
        <v>0</v>
      </c>
      <c r="AK148" s="397">
        <v>0</v>
      </c>
      <c r="AL148" s="397">
        <v>0</v>
      </c>
      <c r="AM148" s="397">
        <v>0</v>
      </c>
      <c r="AN148" s="397">
        <v>0</v>
      </c>
      <c r="AO148" s="397">
        <v>0</v>
      </c>
      <c r="AP148" s="397">
        <v>0</v>
      </c>
      <c r="AQ148" s="397">
        <v>0</v>
      </c>
      <c r="AR148" s="397">
        <v>0</v>
      </c>
      <c r="AS148" s="397">
        <v>0</v>
      </c>
      <c r="AT148" s="397">
        <v>0</v>
      </c>
      <c r="AU148" s="397">
        <v>0</v>
      </c>
      <c r="AV148" s="397">
        <v>0</v>
      </c>
      <c r="AW148" s="397">
        <v>0</v>
      </c>
    </row>
    <row r="149" spans="1:53" ht="15.75" hidden="1" customHeight="1" outlineLevel="1">
      <c r="H149" s="396" t="s">
        <v>2267</v>
      </c>
      <c r="I149" s="396"/>
      <c r="J149" s="397"/>
      <c r="K149" s="397"/>
      <c r="L149" s="397"/>
      <c r="M149" s="397"/>
      <c r="N149" s="397"/>
      <c r="O149" s="397"/>
      <c r="P149" s="397">
        <v>0.82495999999999992</v>
      </c>
      <c r="Q149" s="397">
        <v>0.42299000000000003</v>
      </c>
      <c r="R149" s="397">
        <v>0.70101000000000002</v>
      </c>
      <c r="S149" s="397">
        <v>0.55376000000000003</v>
      </c>
      <c r="T149" s="397">
        <v>1.4607799999999997</v>
      </c>
      <c r="U149" s="397">
        <v>0.70704</v>
      </c>
      <c r="V149" s="397">
        <v>1.18354</v>
      </c>
      <c r="W149" s="397">
        <v>1.0132100000000002</v>
      </c>
      <c r="X149" s="397">
        <v>0.26527000000000001</v>
      </c>
      <c r="Y149" s="397">
        <v>0.45142000000000015</v>
      </c>
      <c r="Z149" s="397">
        <v>0.32569999999999993</v>
      </c>
      <c r="AA149" s="397">
        <v>0.45894000000000001</v>
      </c>
      <c r="AB149" s="397">
        <v>0.71751999999999982</v>
      </c>
      <c r="AC149" s="397">
        <v>1.1048499999999999</v>
      </c>
      <c r="AD149" s="397">
        <v>0.88576999999999995</v>
      </c>
      <c r="AE149" s="397">
        <v>2.7408200000000003</v>
      </c>
      <c r="AF149" s="397">
        <v>0.63276999999999994</v>
      </c>
      <c r="AG149" s="397">
        <v>0.53947999999999996</v>
      </c>
      <c r="AH149" s="397">
        <v>1.3236700000000001</v>
      </c>
      <c r="AI149" s="397">
        <v>1.0664</v>
      </c>
      <c r="AJ149" s="397">
        <v>1.5200000000000001E-3</v>
      </c>
      <c r="AK149" s="397">
        <v>0.66671999999999998</v>
      </c>
      <c r="AL149" s="397">
        <v>0.83901999999999999</v>
      </c>
      <c r="AM149" s="397">
        <v>0.95609999999999995</v>
      </c>
      <c r="AN149" s="397">
        <v>0.48405000000000004</v>
      </c>
      <c r="AO149" s="397">
        <v>1.3072600000000003</v>
      </c>
      <c r="AP149" s="397">
        <v>0.99426999999999999</v>
      </c>
      <c r="AQ149" s="397">
        <v>0.29810000000000003</v>
      </c>
      <c r="AR149" s="397">
        <v>0.82359999999999989</v>
      </c>
      <c r="AS149" s="397">
        <v>0.19293999999999997</v>
      </c>
      <c r="AT149" s="397">
        <v>1.0206099999999998</v>
      </c>
      <c r="AU149" s="397">
        <v>1.0066299999999999</v>
      </c>
      <c r="AV149" s="397">
        <v>2.4655699999999996</v>
      </c>
      <c r="AW149" s="397">
        <v>2.81555</v>
      </c>
    </row>
    <row r="150" spans="1:53" ht="15.75" hidden="1" customHeight="1" outlineLevel="1">
      <c r="H150" s="396" t="s">
        <v>2268</v>
      </c>
      <c r="I150" s="396"/>
      <c r="J150" s="397"/>
      <c r="K150" s="397"/>
      <c r="L150" s="397"/>
      <c r="M150" s="397"/>
      <c r="N150" s="397"/>
      <c r="O150" s="397"/>
      <c r="P150" s="397">
        <v>0</v>
      </c>
      <c r="Q150" s="397">
        <v>0</v>
      </c>
      <c r="R150" s="397">
        <v>0</v>
      </c>
      <c r="S150" s="397">
        <v>0</v>
      </c>
      <c r="T150" s="397">
        <v>0</v>
      </c>
      <c r="U150" s="397">
        <v>0</v>
      </c>
      <c r="V150" s="397">
        <v>0</v>
      </c>
      <c r="W150" s="397">
        <v>0</v>
      </c>
      <c r="X150" s="397">
        <v>0</v>
      </c>
      <c r="Y150" s="397">
        <v>0</v>
      </c>
      <c r="Z150" s="397">
        <v>0</v>
      </c>
      <c r="AA150" s="397">
        <v>0</v>
      </c>
      <c r="AB150" s="397">
        <v>0</v>
      </c>
      <c r="AC150" s="397">
        <v>0</v>
      </c>
      <c r="AD150" s="397">
        <v>0</v>
      </c>
      <c r="AE150" s="397">
        <v>0</v>
      </c>
      <c r="AF150" s="397">
        <v>0</v>
      </c>
      <c r="AG150" s="397">
        <v>0</v>
      </c>
      <c r="AH150" s="397">
        <v>0</v>
      </c>
      <c r="AI150" s="397">
        <v>0</v>
      </c>
      <c r="AJ150" s="397">
        <v>0</v>
      </c>
      <c r="AK150" s="397">
        <v>0</v>
      </c>
      <c r="AL150" s="397">
        <v>0</v>
      </c>
      <c r="AM150" s="397">
        <v>0</v>
      </c>
      <c r="AN150" s="397">
        <v>0</v>
      </c>
      <c r="AO150" s="397">
        <v>0</v>
      </c>
      <c r="AP150" s="397">
        <v>0</v>
      </c>
      <c r="AQ150" s="397">
        <v>0</v>
      </c>
      <c r="AR150" s="397">
        <v>0</v>
      </c>
      <c r="AS150" s="397">
        <v>0</v>
      </c>
      <c r="AT150" s="397">
        <v>0</v>
      </c>
      <c r="AU150" s="397">
        <v>0</v>
      </c>
      <c r="AV150" s="397">
        <v>0</v>
      </c>
      <c r="AW150" s="397">
        <v>0</v>
      </c>
    </row>
    <row r="151" spans="1:53" ht="15.75" customHeight="1" collapsed="1">
      <c r="A151" s="3" t="s">
        <v>160</v>
      </c>
      <c r="H151" s="399" t="s">
        <v>160</v>
      </c>
      <c r="I151" s="399"/>
      <c r="J151" s="400">
        <f>SUMIFS($P151:$AW151,$P$3:$AW$3,J$4)</f>
        <v>1111.9101799999999</v>
      </c>
      <c r="K151" s="400">
        <f>J151-AE151-AF151</f>
        <v>868.81436999999971</v>
      </c>
      <c r="L151" s="400">
        <f t="shared" ref="L151:N151" si="58">SUMIFS($P151:$AW151,$P$3:$AW$3,L$4)</f>
        <v>513.49667999999997</v>
      </c>
      <c r="M151" s="400">
        <f t="shared" si="58"/>
        <v>271.77003999999999</v>
      </c>
      <c r="N151" s="400">
        <f t="shared" si="58"/>
        <v>177.87777</v>
      </c>
      <c r="O151" s="400"/>
      <c r="P151" s="400">
        <f t="shared" ref="P151:AW151" si="59">SUBTOTAL(9,P143:P150)</f>
        <v>53.887219999999999</v>
      </c>
      <c r="Q151" s="400">
        <f t="shared" si="59"/>
        <v>27.688879999999997</v>
      </c>
      <c r="R151" s="400">
        <f t="shared" si="59"/>
        <v>37.277219999999993</v>
      </c>
      <c r="S151" s="400">
        <f t="shared" si="59"/>
        <v>49.602409999999992</v>
      </c>
      <c r="T151" s="400">
        <f t="shared" si="59"/>
        <v>117.68987000000001</v>
      </c>
      <c r="U151" s="400">
        <f t="shared" si="59"/>
        <v>47.299610000000001</v>
      </c>
      <c r="V151" s="400">
        <f t="shared" si="59"/>
        <v>84.783989999999989</v>
      </c>
      <c r="W151" s="400">
        <f t="shared" si="59"/>
        <v>75.714039999999997</v>
      </c>
      <c r="X151" s="400">
        <f t="shared" si="59"/>
        <v>17.359590000000001</v>
      </c>
      <c r="Y151" s="400">
        <f t="shared" si="59"/>
        <v>30.297069999999998</v>
      </c>
      <c r="Z151" s="400">
        <f t="shared" si="59"/>
        <v>25.171400000000002</v>
      </c>
      <c r="AA151" s="400">
        <f t="shared" si="59"/>
        <v>24.714489999999998</v>
      </c>
      <c r="AB151" s="400">
        <f t="shared" si="59"/>
        <v>68.959239999999994</v>
      </c>
      <c r="AC151" s="400">
        <f t="shared" si="59"/>
        <v>85.622760000000014</v>
      </c>
      <c r="AD151" s="400">
        <f t="shared" si="59"/>
        <v>64.933239999999984</v>
      </c>
      <c r="AE151" s="400">
        <f t="shared" si="59"/>
        <v>197.99231000000006</v>
      </c>
      <c r="AF151" s="400">
        <f t="shared" si="59"/>
        <v>45.103500000000004</v>
      </c>
      <c r="AG151" s="400">
        <f t="shared" si="59"/>
        <v>57.813340000000004</v>
      </c>
      <c r="AH151" s="400">
        <f t="shared" si="59"/>
        <v>94.854900000000001</v>
      </c>
      <c r="AI151" s="400">
        <f t="shared" si="59"/>
        <v>74.207620000000006</v>
      </c>
      <c r="AJ151" s="400">
        <f t="shared" si="59"/>
        <v>6.1700000000000001E-3</v>
      </c>
      <c r="AK151" s="400">
        <f t="shared" si="59"/>
        <v>37.292829999999995</v>
      </c>
      <c r="AL151" s="400">
        <f t="shared" si="59"/>
        <v>53.839209999999994</v>
      </c>
      <c r="AM151" s="400">
        <f t="shared" si="59"/>
        <v>61.298680000000004</v>
      </c>
      <c r="AN151" s="400">
        <f t="shared" si="59"/>
        <v>24.478249999999996</v>
      </c>
      <c r="AO151" s="400">
        <f t="shared" si="59"/>
        <v>81.365050000000011</v>
      </c>
      <c r="AP151" s="400">
        <f t="shared" si="59"/>
        <v>72.003099999999989</v>
      </c>
      <c r="AQ151" s="400">
        <f t="shared" si="59"/>
        <v>7.3681400000000004</v>
      </c>
      <c r="AR151" s="400">
        <f t="shared" si="59"/>
        <v>51.270629999999997</v>
      </c>
      <c r="AS151" s="400">
        <f t="shared" si="59"/>
        <v>19.609840000000002</v>
      </c>
      <c r="AT151" s="400">
        <f t="shared" si="59"/>
        <v>65.151200000000003</v>
      </c>
      <c r="AU151" s="400">
        <f t="shared" si="59"/>
        <v>64.737250000000003</v>
      </c>
      <c r="AV151" s="400">
        <f t="shared" si="59"/>
        <v>159.35960999999998</v>
      </c>
      <c r="AW151" s="400">
        <f t="shared" si="59"/>
        <v>177.87777</v>
      </c>
    </row>
    <row r="152" spans="1:53" ht="15.75" hidden="1" customHeight="1" outlineLevel="1">
      <c r="H152" s="396" t="s">
        <v>2269</v>
      </c>
      <c r="I152" s="396"/>
      <c r="J152" s="397"/>
      <c r="K152" s="397"/>
      <c r="L152" s="397"/>
      <c r="M152" s="397"/>
      <c r="N152" s="397"/>
      <c r="O152" s="397"/>
      <c r="P152" s="397">
        <v>1.2075799999999999</v>
      </c>
      <c r="Q152" s="397">
        <v>0.80504999999999993</v>
      </c>
      <c r="R152" s="397">
        <v>1.0063200000000001</v>
      </c>
      <c r="S152" s="397">
        <v>1.2075799999999999</v>
      </c>
      <c r="T152" s="397">
        <v>1.2075799999999999</v>
      </c>
      <c r="U152" s="397">
        <v>0.60378999999999994</v>
      </c>
      <c r="V152" s="397">
        <v>0.80504999999999993</v>
      </c>
      <c r="W152" s="397">
        <v>1.6101099999999999</v>
      </c>
      <c r="X152" s="397">
        <v>0</v>
      </c>
      <c r="Y152" s="397">
        <v>0.40253</v>
      </c>
      <c r="Z152" s="397">
        <v>0.20125999999999999</v>
      </c>
      <c r="AA152" s="397">
        <v>0.80504999999999993</v>
      </c>
      <c r="AB152" s="397">
        <v>0.53452999999999995</v>
      </c>
      <c r="AC152" s="397">
        <v>0.61908999999999992</v>
      </c>
      <c r="AD152" s="397">
        <v>0.40253</v>
      </c>
      <c r="AE152" s="397">
        <v>0.60378999999999994</v>
      </c>
      <c r="AF152" s="397">
        <v>0</v>
      </c>
      <c r="AG152" s="397">
        <v>28.826540000000005</v>
      </c>
      <c r="AH152" s="397">
        <v>0.40253</v>
      </c>
      <c r="AI152" s="397">
        <v>0.80504999999999993</v>
      </c>
      <c r="AJ152" s="397">
        <v>0</v>
      </c>
      <c r="AK152" s="397">
        <v>0.80504999999999993</v>
      </c>
      <c r="AL152" s="397">
        <v>0.20125999999999999</v>
      </c>
      <c r="AM152" s="397">
        <v>0.20125999999999999</v>
      </c>
      <c r="AN152" s="397">
        <v>0.40253</v>
      </c>
      <c r="AO152" s="397">
        <v>1.0063200000000001</v>
      </c>
      <c r="AP152" s="397">
        <v>0.40253</v>
      </c>
      <c r="AQ152" s="397">
        <v>0</v>
      </c>
      <c r="AR152" s="397">
        <v>0.60378999999999994</v>
      </c>
      <c r="AS152" s="397">
        <v>0</v>
      </c>
      <c r="AT152" s="397">
        <v>1.0063200000000001</v>
      </c>
      <c r="AU152" s="397">
        <v>0.40253</v>
      </c>
      <c r="AV152" s="397">
        <v>1.2075799999999999</v>
      </c>
      <c r="AW152" s="397">
        <v>2.2139000000000002</v>
      </c>
    </row>
    <row r="153" spans="1:53" ht="15.75" hidden="1" customHeight="1" outlineLevel="1">
      <c r="H153" s="396" t="s">
        <v>2270</v>
      </c>
      <c r="I153" s="396"/>
      <c r="J153" s="397"/>
      <c r="K153" s="397"/>
      <c r="L153" s="397"/>
      <c r="M153" s="397"/>
      <c r="N153" s="397"/>
      <c r="O153" s="397"/>
      <c r="P153" s="397">
        <v>0</v>
      </c>
      <c r="Q153" s="397">
        <v>0</v>
      </c>
      <c r="R153" s="397">
        <v>0</v>
      </c>
      <c r="S153" s="397">
        <v>0</v>
      </c>
      <c r="T153" s="397">
        <v>0</v>
      </c>
      <c r="U153" s="397">
        <v>0</v>
      </c>
      <c r="V153" s="397">
        <v>0</v>
      </c>
      <c r="W153" s="397">
        <v>0</v>
      </c>
      <c r="X153" s="397">
        <v>0</v>
      </c>
      <c r="Y153" s="397">
        <v>0</v>
      </c>
      <c r="Z153" s="397">
        <v>0</v>
      </c>
      <c r="AA153" s="397">
        <v>0</v>
      </c>
      <c r="AB153" s="397">
        <v>0</v>
      </c>
      <c r="AC153" s="397">
        <v>0</v>
      </c>
      <c r="AD153" s="397">
        <v>0</v>
      </c>
      <c r="AE153" s="397">
        <v>0</v>
      </c>
      <c r="AF153" s="397">
        <v>0</v>
      </c>
      <c r="AG153" s="397">
        <v>0</v>
      </c>
      <c r="AH153" s="397">
        <v>0</v>
      </c>
      <c r="AI153" s="397">
        <v>0</v>
      </c>
      <c r="AJ153" s="397">
        <v>0</v>
      </c>
      <c r="AK153" s="397">
        <v>0</v>
      </c>
      <c r="AL153" s="397">
        <v>0</v>
      </c>
      <c r="AM153" s="397">
        <v>0</v>
      </c>
      <c r="AN153" s="397">
        <v>0</v>
      </c>
      <c r="AO153" s="397">
        <v>0</v>
      </c>
      <c r="AP153" s="397">
        <v>0</v>
      </c>
      <c r="AQ153" s="397">
        <v>0</v>
      </c>
      <c r="AR153" s="397">
        <v>0</v>
      </c>
      <c r="AS153" s="397">
        <v>0</v>
      </c>
      <c r="AT153" s="397">
        <v>0</v>
      </c>
      <c r="AU153" s="397">
        <v>0</v>
      </c>
      <c r="AV153" s="397">
        <v>0</v>
      </c>
      <c r="AW153" s="397">
        <v>0</v>
      </c>
    </row>
    <row r="154" spans="1:53" ht="15.75" hidden="1" customHeight="1" outlineLevel="1">
      <c r="H154" s="396" t="s">
        <v>2271</v>
      </c>
      <c r="I154" s="396"/>
      <c r="J154" s="397"/>
      <c r="K154" s="397"/>
      <c r="L154" s="397"/>
      <c r="M154" s="397"/>
      <c r="N154" s="397"/>
      <c r="O154" s="397"/>
      <c r="P154" s="397">
        <v>0</v>
      </c>
      <c r="Q154" s="397">
        <v>0</v>
      </c>
      <c r="R154" s="397">
        <v>0</v>
      </c>
      <c r="S154" s="397">
        <v>0</v>
      </c>
      <c r="T154" s="397">
        <v>0</v>
      </c>
      <c r="U154" s="397">
        <v>0</v>
      </c>
      <c r="V154" s="397">
        <v>0</v>
      </c>
      <c r="W154" s="397">
        <v>0</v>
      </c>
      <c r="X154" s="397">
        <v>0</v>
      </c>
      <c r="Y154" s="397">
        <v>0</v>
      </c>
      <c r="Z154" s="397">
        <v>0</v>
      </c>
      <c r="AA154" s="397">
        <v>0</v>
      </c>
      <c r="AB154" s="397">
        <v>0</v>
      </c>
      <c r="AC154" s="397">
        <v>0</v>
      </c>
      <c r="AD154" s="397">
        <v>0</v>
      </c>
      <c r="AE154" s="397">
        <v>3.952</v>
      </c>
      <c r="AF154" s="397">
        <v>0</v>
      </c>
      <c r="AG154" s="397">
        <v>0</v>
      </c>
      <c r="AH154" s="397">
        <v>0.44461000000000001</v>
      </c>
      <c r="AI154" s="397">
        <v>0.67088000000000003</v>
      </c>
      <c r="AJ154" s="397">
        <v>0</v>
      </c>
      <c r="AK154" s="397">
        <v>0.34167999999999998</v>
      </c>
      <c r="AL154" s="397">
        <v>0.32359000000000004</v>
      </c>
      <c r="AM154" s="397">
        <v>0.80918999999999996</v>
      </c>
      <c r="AN154" s="397">
        <v>0.11497</v>
      </c>
      <c r="AO154" s="397">
        <v>3.25787</v>
      </c>
      <c r="AP154" s="397">
        <v>3.4196900000000006</v>
      </c>
      <c r="AQ154" s="397">
        <v>0</v>
      </c>
      <c r="AR154" s="397">
        <v>2.5752700000000002</v>
      </c>
      <c r="AS154" s="397">
        <v>0.75261</v>
      </c>
      <c r="AT154" s="397">
        <v>2.9654600000000002</v>
      </c>
      <c r="AU154" s="397">
        <v>2.1456</v>
      </c>
      <c r="AV154" s="397">
        <v>6.3362600000000002</v>
      </c>
      <c r="AW154" s="397">
        <v>0</v>
      </c>
    </row>
    <row r="155" spans="1:53" ht="15.75" hidden="1" customHeight="1" outlineLevel="1">
      <c r="H155" s="396" t="s">
        <v>2272</v>
      </c>
      <c r="I155" s="396"/>
      <c r="J155" s="397"/>
      <c r="K155" s="397"/>
      <c r="L155" s="397"/>
      <c r="M155" s="397"/>
      <c r="N155" s="397"/>
      <c r="O155" s="397"/>
      <c r="P155" s="397">
        <v>0</v>
      </c>
      <c r="Q155" s="397">
        <v>0</v>
      </c>
      <c r="R155" s="397">
        <v>0</v>
      </c>
      <c r="S155" s="397">
        <v>0</v>
      </c>
      <c r="T155" s="397">
        <v>0</v>
      </c>
      <c r="U155" s="397">
        <v>0</v>
      </c>
      <c r="V155" s="397">
        <v>0</v>
      </c>
      <c r="W155" s="397">
        <v>0</v>
      </c>
      <c r="X155" s="397">
        <v>0</v>
      </c>
      <c r="Y155" s="397">
        <v>0</v>
      </c>
      <c r="Z155" s="397">
        <v>0</v>
      </c>
      <c r="AA155" s="397">
        <v>0</v>
      </c>
      <c r="AB155" s="397">
        <v>0</v>
      </c>
      <c r="AC155" s="397">
        <v>0</v>
      </c>
      <c r="AD155" s="397">
        <v>0</v>
      </c>
      <c r="AE155" s="397">
        <v>0</v>
      </c>
      <c r="AF155" s="397">
        <v>0</v>
      </c>
      <c r="AG155" s="397">
        <v>0</v>
      </c>
      <c r="AH155" s="397">
        <v>0</v>
      </c>
      <c r="AI155" s="397">
        <v>0</v>
      </c>
      <c r="AJ155" s="397">
        <v>0</v>
      </c>
      <c r="AK155" s="397">
        <v>0</v>
      </c>
      <c r="AL155" s="397">
        <v>0</v>
      </c>
      <c r="AM155" s="397">
        <v>0</v>
      </c>
      <c r="AN155" s="397">
        <v>0</v>
      </c>
      <c r="AO155" s="397">
        <v>0</v>
      </c>
      <c r="AP155" s="397">
        <v>0</v>
      </c>
      <c r="AQ155" s="397">
        <v>0</v>
      </c>
      <c r="AR155" s="397">
        <v>0</v>
      </c>
      <c r="AS155" s="397">
        <v>0</v>
      </c>
      <c r="AT155" s="397">
        <v>0</v>
      </c>
      <c r="AU155" s="397">
        <v>0</v>
      </c>
      <c r="AV155" s="397">
        <v>0</v>
      </c>
      <c r="AW155" s="397">
        <v>0</v>
      </c>
    </row>
    <row r="156" spans="1:53" ht="15.75" customHeight="1" collapsed="1">
      <c r="A156" s="3" t="s">
        <v>162</v>
      </c>
      <c r="H156" s="399" t="s">
        <v>162</v>
      </c>
      <c r="I156" s="399"/>
      <c r="J156" s="400">
        <f>SUMIFS($P156:$AW156,$P$3:$AW$3,J$4)</f>
        <v>44.800380000000004</v>
      </c>
      <c r="K156" s="400">
        <f>J156-AE156-AF156</f>
        <v>40.244590000000002</v>
      </c>
      <c r="L156" s="400">
        <f t="shared" ref="L156:N156" si="60">SUMIFS($P156:$AW156,$P$3:$AW$3,L$4)</f>
        <v>26.08183</v>
      </c>
      <c r="M156" s="400">
        <f t="shared" si="60"/>
        <v>4.0466699999999998</v>
      </c>
      <c r="N156" s="400">
        <f t="shared" si="60"/>
        <v>2.2139000000000002</v>
      </c>
      <c r="O156" s="400"/>
      <c r="P156" s="400">
        <f t="shared" ref="P156:AW156" si="61">SUBTOTAL(9,P152:P155)</f>
        <v>1.2075799999999999</v>
      </c>
      <c r="Q156" s="400">
        <f t="shared" si="61"/>
        <v>0.80504999999999993</v>
      </c>
      <c r="R156" s="400">
        <f t="shared" si="61"/>
        <v>1.0063200000000001</v>
      </c>
      <c r="S156" s="400">
        <f t="shared" si="61"/>
        <v>1.2075799999999999</v>
      </c>
      <c r="T156" s="400">
        <f t="shared" si="61"/>
        <v>1.2075799999999999</v>
      </c>
      <c r="U156" s="400">
        <f t="shared" si="61"/>
        <v>0.60378999999999994</v>
      </c>
      <c r="V156" s="400">
        <f t="shared" si="61"/>
        <v>0.80504999999999993</v>
      </c>
      <c r="W156" s="400">
        <f t="shared" si="61"/>
        <v>1.6101099999999999</v>
      </c>
      <c r="X156" s="400">
        <f t="shared" si="61"/>
        <v>0</v>
      </c>
      <c r="Y156" s="400">
        <f t="shared" si="61"/>
        <v>0.40253</v>
      </c>
      <c r="Z156" s="400">
        <f t="shared" si="61"/>
        <v>0.20125999999999999</v>
      </c>
      <c r="AA156" s="400">
        <f t="shared" si="61"/>
        <v>0.80504999999999993</v>
      </c>
      <c r="AB156" s="400">
        <f t="shared" si="61"/>
        <v>0.53452999999999995</v>
      </c>
      <c r="AC156" s="400">
        <f t="shared" si="61"/>
        <v>0.61908999999999992</v>
      </c>
      <c r="AD156" s="400">
        <f t="shared" si="61"/>
        <v>0.40253</v>
      </c>
      <c r="AE156" s="400">
        <f t="shared" si="61"/>
        <v>4.55579</v>
      </c>
      <c r="AF156" s="400">
        <f t="shared" si="61"/>
        <v>0</v>
      </c>
      <c r="AG156" s="400">
        <f t="shared" si="61"/>
        <v>28.826540000000005</v>
      </c>
      <c r="AH156" s="400">
        <f t="shared" si="61"/>
        <v>0.84714</v>
      </c>
      <c r="AI156" s="400">
        <f t="shared" si="61"/>
        <v>1.47593</v>
      </c>
      <c r="AJ156" s="400">
        <f t="shared" si="61"/>
        <v>0</v>
      </c>
      <c r="AK156" s="400">
        <f t="shared" si="61"/>
        <v>1.1467299999999998</v>
      </c>
      <c r="AL156" s="400">
        <f t="shared" si="61"/>
        <v>0.52485000000000004</v>
      </c>
      <c r="AM156" s="400">
        <f t="shared" si="61"/>
        <v>1.0104500000000001</v>
      </c>
      <c r="AN156" s="400">
        <f t="shared" si="61"/>
        <v>0.51749999999999996</v>
      </c>
      <c r="AO156" s="400">
        <f t="shared" si="61"/>
        <v>4.2641900000000001</v>
      </c>
      <c r="AP156" s="400">
        <f t="shared" si="61"/>
        <v>3.8222200000000006</v>
      </c>
      <c r="AQ156" s="400">
        <f t="shared" si="61"/>
        <v>0</v>
      </c>
      <c r="AR156" s="400">
        <f t="shared" si="61"/>
        <v>3.1790600000000002</v>
      </c>
      <c r="AS156" s="400">
        <f t="shared" si="61"/>
        <v>0.75261</v>
      </c>
      <c r="AT156" s="400">
        <f t="shared" si="61"/>
        <v>3.9717800000000003</v>
      </c>
      <c r="AU156" s="400">
        <f t="shared" si="61"/>
        <v>2.54813</v>
      </c>
      <c r="AV156" s="400">
        <f t="shared" si="61"/>
        <v>7.5438400000000003</v>
      </c>
      <c r="AW156" s="400">
        <f t="shared" si="61"/>
        <v>2.2139000000000002</v>
      </c>
    </row>
    <row r="157" spans="1:53" ht="15.75" customHeight="1">
      <c r="H157" s="399"/>
      <c r="I157" s="399"/>
      <c r="J157" s="400"/>
      <c r="K157" s="400"/>
      <c r="L157" s="400"/>
      <c r="M157" s="400"/>
      <c r="N157" s="400"/>
      <c r="O157" s="400"/>
      <c r="P157" s="400"/>
      <c r="Q157" s="400"/>
      <c r="R157" s="400"/>
      <c r="S157" s="400"/>
      <c r="T157" s="400"/>
      <c r="U157" s="400"/>
      <c r="V157" s="400"/>
      <c r="W157" s="400"/>
      <c r="X157" s="400"/>
      <c r="Y157" s="400"/>
      <c r="Z157" s="400"/>
      <c r="AA157" s="400"/>
      <c r="AB157" s="400"/>
      <c r="AC157" s="400"/>
      <c r="AD157" s="400"/>
      <c r="AE157" s="400"/>
      <c r="AF157" s="400"/>
      <c r="AG157" s="400"/>
      <c r="AH157" s="400"/>
      <c r="AI157" s="400"/>
      <c r="AJ157" s="400"/>
      <c r="AK157" s="400"/>
      <c r="AL157" s="400"/>
      <c r="AM157" s="400"/>
      <c r="AN157" s="400"/>
      <c r="AO157" s="400"/>
      <c r="AP157" s="400"/>
      <c r="AQ157" s="400"/>
      <c r="AR157" s="400"/>
      <c r="AS157" s="400"/>
      <c r="AT157" s="400"/>
      <c r="AU157" s="400"/>
      <c r="AV157" s="400"/>
      <c r="AW157" s="400"/>
    </row>
    <row r="158" spans="1:53" ht="15.75" customHeight="1">
      <c r="A158" s="3" t="s">
        <v>2273</v>
      </c>
      <c r="H158" s="402" t="s">
        <v>2274</v>
      </c>
      <c r="I158" s="402"/>
      <c r="J158" s="406">
        <f t="shared" ref="J158:N158" si="62">SUBTOTAL(9,J97:J156)</f>
        <v>10660.206850000002</v>
      </c>
      <c r="K158" s="406">
        <f t="shared" si="62"/>
        <v>8324.9586999999992</v>
      </c>
      <c r="L158" s="406">
        <f t="shared" si="62"/>
        <v>5303.6433999999999</v>
      </c>
      <c r="M158" s="406">
        <f t="shared" si="62"/>
        <v>2678.2928699999998</v>
      </c>
      <c r="N158" s="406">
        <f t="shared" si="62"/>
        <v>1722.92732</v>
      </c>
      <c r="O158" s="407"/>
      <c r="P158" s="406">
        <f t="shared" ref="P158:AW158" si="63">SUBTOTAL(9,P97:P156)</f>
        <v>499.32254999999992</v>
      </c>
      <c r="Q158" s="406">
        <f t="shared" si="63"/>
        <v>249.31825999999998</v>
      </c>
      <c r="R158" s="406">
        <f t="shared" si="63"/>
        <v>400.07904000000002</v>
      </c>
      <c r="S158" s="406">
        <f t="shared" si="63"/>
        <v>437.03735</v>
      </c>
      <c r="T158" s="406">
        <f t="shared" si="63"/>
        <v>1184.2570099999996</v>
      </c>
      <c r="U158" s="406">
        <f t="shared" si="63"/>
        <v>431.58391999999998</v>
      </c>
      <c r="V158" s="406">
        <f t="shared" si="63"/>
        <v>791.10854000000018</v>
      </c>
      <c r="W158" s="406">
        <f t="shared" si="63"/>
        <v>688.80286000000001</v>
      </c>
      <c r="X158" s="406">
        <f t="shared" si="63"/>
        <v>152.40944999999999</v>
      </c>
      <c r="Y158" s="406">
        <f t="shared" si="63"/>
        <v>293.42345000000006</v>
      </c>
      <c r="Z158" s="406">
        <f t="shared" si="63"/>
        <v>236.25245999999999</v>
      </c>
      <c r="AA158" s="406">
        <f t="shared" si="63"/>
        <v>248.70002000000002</v>
      </c>
      <c r="AB158" s="406">
        <f t="shared" si="63"/>
        <v>660.11650000000009</v>
      </c>
      <c r="AC158" s="406">
        <f t="shared" si="63"/>
        <v>841.25198999999986</v>
      </c>
      <c r="AD158" s="406">
        <f t="shared" si="63"/>
        <v>683.65205999999989</v>
      </c>
      <c r="AE158" s="406">
        <f t="shared" si="63"/>
        <v>2034.8997299999996</v>
      </c>
      <c r="AF158" s="406">
        <f t="shared" si="63"/>
        <v>300.34842000000003</v>
      </c>
      <c r="AG158" s="406">
        <f t="shared" si="63"/>
        <v>527.64323999999999</v>
      </c>
      <c r="AH158" s="406">
        <f t="shared" si="63"/>
        <v>950.84108999999989</v>
      </c>
      <c r="AI158" s="406">
        <f t="shared" si="63"/>
        <v>735.52684000000011</v>
      </c>
      <c r="AJ158" s="406">
        <f t="shared" si="63"/>
        <v>0.40973000000000004</v>
      </c>
      <c r="AK158" s="406">
        <f t="shared" si="63"/>
        <v>364.01878999999997</v>
      </c>
      <c r="AL158" s="406">
        <f t="shared" si="63"/>
        <v>492.45995000000011</v>
      </c>
      <c r="AM158" s="406">
        <f t="shared" si="63"/>
        <v>590.76502000000005</v>
      </c>
      <c r="AN158" s="406">
        <f t="shared" si="63"/>
        <v>279.79829000000001</v>
      </c>
      <c r="AO158" s="406">
        <f t="shared" si="63"/>
        <v>797.69060000000025</v>
      </c>
      <c r="AP158" s="406">
        <f t="shared" si="63"/>
        <v>731.45186000000001</v>
      </c>
      <c r="AQ158" s="406">
        <f t="shared" si="63"/>
        <v>92.122979999999998</v>
      </c>
      <c r="AR158" s="406">
        <f t="shared" si="63"/>
        <v>498.14845000000003</v>
      </c>
      <c r="AS158" s="406">
        <f t="shared" si="63"/>
        <v>210.20782</v>
      </c>
      <c r="AT158" s="406">
        <f t="shared" si="63"/>
        <v>632.87316999999996</v>
      </c>
      <c r="AU158" s="406">
        <f t="shared" si="63"/>
        <v>691.86395999999968</v>
      </c>
      <c r="AV158" s="406">
        <f t="shared" si="63"/>
        <v>1741.4075399999999</v>
      </c>
      <c r="AW158" s="406">
        <f t="shared" si="63"/>
        <v>1722.9273199999996</v>
      </c>
    </row>
    <row r="159" spans="1:53" ht="15.75" customHeight="1">
      <c r="A159" s="42"/>
      <c r="B159" s="42"/>
      <c r="C159" s="42"/>
      <c r="D159" s="42"/>
      <c r="E159" s="42"/>
      <c r="F159" s="42"/>
      <c r="G159" s="42"/>
      <c r="H159" s="405" t="s">
        <v>2275</v>
      </c>
      <c r="I159" s="405"/>
      <c r="J159" s="90">
        <f t="shared" ref="J159:N159" si="64">J158/J$57</f>
        <v>0.29406415842346717</v>
      </c>
      <c r="K159" s="90">
        <f t="shared" si="64"/>
        <v>0.29982457888159453</v>
      </c>
      <c r="L159" s="90">
        <f t="shared" si="64"/>
        <v>0.30398548365758354</v>
      </c>
      <c r="M159" s="90">
        <f t="shared" si="64"/>
        <v>0.34176931383500536</v>
      </c>
      <c r="N159" s="90">
        <f t="shared" si="64"/>
        <v>0.24426783864070178</v>
      </c>
      <c r="O159" s="90"/>
      <c r="P159" s="90">
        <f t="shared" ref="P159:AW159" si="65">P158/P$57</f>
        <v>0.24587211040194243</v>
      </c>
      <c r="Q159" s="90">
        <f t="shared" si="65"/>
        <v>0.30534548652449717</v>
      </c>
      <c r="R159" s="90">
        <f t="shared" si="65"/>
        <v>0.23885291293909833</v>
      </c>
      <c r="S159" s="90">
        <f t="shared" si="65"/>
        <v>0.25228208755780479</v>
      </c>
      <c r="T159" s="90">
        <f t="shared" si="65"/>
        <v>0.33004045621300931</v>
      </c>
      <c r="U159" s="90">
        <f t="shared" si="65"/>
        <v>0.21270314554085223</v>
      </c>
      <c r="V159" s="90">
        <f t="shared" si="65"/>
        <v>0.22134951101088476</v>
      </c>
      <c r="W159" s="90">
        <f t="shared" si="65"/>
        <v>0.30524409481870335</v>
      </c>
      <c r="X159" s="90">
        <f t="shared" si="65"/>
        <v>0.2021694997271743</v>
      </c>
      <c r="Y159" s="90">
        <f t="shared" si="65"/>
        <v>0.29686035071034911</v>
      </c>
      <c r="Z159" s="90">
        <f t="shared" si="65"/>
        <v>0.24438544130451412</v>
      </c>
      <c r="AA159" s="90">
        <f t="shared" si="65"/>
        <v>0.33214147040606384</v>
      </c>
      <c r="AB159" s="90">
        <f t="shared" si="65"/>
        <v>0.57141488709700561</v>
      </c>
      <c r="AC159" s="90">
        <f t="shared" si="65"/>
        <v>0.34757261745731749</v>
      </c>
      <c r="AD159" s="90">
        <f t="shared" si="65"/>
        <v>0.31613768395802866</v>
      </c>
      <c r="AE159" s="90">
        <f t="shared" si="65"/>
        <v>0.26405359185385435</v>
      </c>
      <c r="AF159" s="90">
        <f t="shared" si="65"/>
        <v>0.38565109964684918</v>
      </c>
      <c r="AG159" s="90">
        <f t="shared" si="65"/>
        <v>0.60810952708641453</v>
      </c>
      <c r="AH159" s="90">
        <f t="shared" si="65"/>
        <v>0.29687247559632929</v>
      </c>
      <c r="AI159" s="90">
        <f t="shared" si="65"/>
        <v>0.34717163571430992</v>
      </c>
      <c r="AJ159" s="90">
        <f t="shared" si="65"/>
        <v>-5.183189630635277E-3</v>
      </c>
      <c r="AK159" s="90">
        <f t="shared" si="65"/>
        <v>0.46695141108254523</v>
      </c>
      <c r="AL159" s="90">
        <f t="shared" si="65"/>
        <v>0.28713945536101398</v>
      </c>
      <c r="AM159" s="90">
        <f t="shared" si="65"/>
        <v>0.35482753729954952</v>
      </c>
      <c r="AN159" s="90">
        <f t="shared" si="65"/>
        <v>0.50579442758281989</v>
      </c>
      <c r="AO159" s="90">
        <f t="shared" si="65"/>
        <v>0.32302665833917327</v>
      </c>
      <c r="AP159" s="90">
        <f t="shared" si="65"/>
        <v>0.36882880745895863</v>
      </c>
      <c r="AQ159" s="90">
        <f t="shared" si="65"/>
        <v>0.18862944806437784</v>
      </c>
      <c r="AR159" s="90">
        <f t="shared" si="65"/>
        <v>0.36302966531847414</v>
      </c>
      <c r="AS159" s="90">
        <f t="shared" si="65"/>
        <v>0.29165944540397259</v>
      </c>
      <c r="AT159" s="90">
        <f t="shared" si="65"/>
        <v>0.36648411366758787</v>
      </c>
      <c r="AU159" s="90">
        <f t="shared" si="65"/>
        <v>0.2612797213847971</v>
      </c>
      <c r="AV159" s="90">
        <f t="shared" si="65"/>
        <v>0.26681531221349586</v>
      </c>
      <c r="AW159" s="90">
        <f t="shared" si="65"/>
        <v>0.24426783864070173</v>
      </c>
      <c r="AX159" s="42"/>
      <c r="AY159" s="42"/>
      <c r="AZ159" s="42"/>
      <c r="BA159" s="42"/>
    </row>
    <row r="160" spans="1:53" ht="15.75" customHeight="1">
      <c r="H160" s="405"/>
      <c r="I160" s="405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</row>
    <row r="161" spans="1:49" ht="15.75" hidden="1" customHeight="1" outlineLevel="1">
      <c r="H161" s="396" t="s">
        <v>2276</v>
      </c>
      <c r="I161" s="396"/>
      <c r="J161" s="397"/>
      <c r="K161" s="397"/>
      <c r="L161" s="397"/>
      <c r="M161" s="397"/>
      <c r="N161" s="397"/>
      <c r="O161" s="397"/>
      <c r="P161" s="397">
        <v>94.381450000000015</v>
      </c>
      <c r="Q161" s="397">
        <v>83.255880000000005</v>
      </c>
      <c r="R161" s="397">
        <v>89.150790000000015</v>
      </c>
      <c r="S161" s="397">
        <v>94.19941</v>
      </c>
      <c r="T161" s="397">
        <v>90.665149999999983</v>
      </c>
      <c r="U161" s="397">
        <v>87.33471999999999</v>
      </c>
      <c r="V161" s="397">
        <v>90.584819999999993</v>
      </c>
      <c r="W161" s="397">
        <v>89.215440000000001</v>
      </c>
      <c r="X161" s="397">
        <v>66.790549999999996</v>
      </c>
      <c r="Y161" s="397">
        <v>87.674250000000001</v>
      </c>
      <c r="Z161" s="397">
        <v>88.48272</v>
      </c>
      <c r="AA161" s="397">
        <v>87.115809999999996</v>
      </c>
      <c r="AB161" s="397">
        <v>84.707950000000011</v>
      </c>
      <c r="AC161" s="397">
        <v>96.853940000000009</v>
      </c>
      <c r="AD161" s="397">
        <v>92.721730000000008</v>
      </c>
      <c r="AE161" s="397">
        <v>90.093180000000004</v>
      </c>
      <c r="AF161" s="397">
        <v>97.58135</v>
      </c>
      <c r="AG161" s="397">
        <v>90.549590000000009</v>
      </c>
      <c r="AH161" s="397">
        <v>123.85075999999998</v>
      </c>
      <c r="AI161" s="397">
        <v>121.29376000000001</v>
      </c>
      <c r="AJ161" s="397">
        <v>118.24798</v>
      </c>
      <c r="AK161" s="397">
        <v>115.41938</v>
      </c>
      <c r="AL161" s="397">
        <v>119.43648000000002</v>
      </c>
      <c r="AM161" s="397">
        <v>124.81847</v>
      </c>
      <c r="AN161" s="397">
        <v>114.22881</v>
      </c>
      <c r="AO161" s="397">
        <v>108.32884000000001</v>
      </c>
      <c r="AP161" s="397">
        <v>108.33259999999999</v>
      </c>
      <c r="AQ161" s="397">
        <v>36.089660000000002</v>
      </c>
      <c r="AR161" s="397">
        <v>99.823660000000004</v>
      </c>
      <c r="AS161" s="397">
        <v>93.983699999999999</v>
      </c>
      <c r="AT161" s="397">
        <v>117.73857</v>
      </c>
      <c r="AU161" s="397">
        <v>130.31625</v>
      </c>
      <c r="AV161" s="397">
        <v>137.98709999999997</v>
      </c>
      <c r="AW161" s="397">
        <v>126.3511</v>
      </c>
    </row>
    <row r="162" spans="1:49" ht="15.75" hidden="1" customHeight="1" outlineLevel="1">
      <c r="H162" s="396" t="s">
        <v>2277</v>
      </c>
      <c r="I162" s="396"/>
      <c r="J162" s="397"/>
      <c r="K162" s="397"/>
      <c r="L162" s="397"/>
      <c r="M162" s="397"/>
      <c r="N162" s="397"/>
      <c r="O162" s="397"/>
      <c r="P162" s="397">
        <v>4.4152500000000003</v>
      </c>
      <c r="Q162" s="397">
        <v>3.5190699999999997</v>
      </c>
      <c r="R162" s="397">
        <v>4.4388300000000003</v>
      </c>
      <c r="S162" s="397">
        <v>4.2330699999999997</v>
      </c>
      <c r="T162" s="397">
        <v>3.6657999999999999</v>
      </c>
      <c r="U162" s="397">
        <v>3.5422799999999999</v>
      </c>
      <c r="V162" s="397">
        <v>3.7583800000000003</v>
      </c>
      <c r="W162" s="397">
        <v>3.8290100000000002</v>
      </c>
      <c r="X162" s="397">
        <v>2.6891800000000003</v>
      </c>
      <c r="Y162" s="397">
        <v>3.6099399999999999</v>
      </c>
      <c r="Z162" s="397">
        <v>3.4742300000000004</v>
      </c>
      <c r="AA162" s="397">
        <v>3.75631</v>
      </c>
      <c r="AB162" s="397">
        <v>3.3984099999999997</v>
      </c>
      <c r="AC162" s="397">
        <v>3.7311899999999998</v>
      </c>
      <c r="AD162" s="397">
        <v>3.6114000000000002</v>
      </c>
      <c r="AE162" s="397">
        <v>5.9835899999999995</v>
      </c>
      <c r="AF162" s="397">
        <v>12.00787</v>
      </c>
      <c r="AG162" s="397">
        <v>3.5495199999999993</v>
      </c>
      <c r="AH162" s="397">
        <v>4.4823899999999997</v>
      </c>
      <c r="AI162" s="397">
        <v>3.6517900000000001</v>
      </c>
      <c r="AJ162" s="397">
        <v>3.56846</v>
      </c>
      <c r="AK162" s="397">
        <v>3.4076500000000003</v>
      </c>
      <c r="AL162" s="397">
        <v>3.7587700000000002</v>
      </c>
      <c r="AM162" s="397">
        <v>3.7942399999999998</v>
      </c>
      <c r="AN162" s="397">
        <v>5.5537199999999993</v>
      </c>
      <c r="AO162" s="397">
        <v>3.8672900000000001</v>
      </c>
      <c r="AP162" s="397">
        <v>4.0839999999999996</v>
      </c>
      <c r="AQ162" s="397">
        <v>1.53302</v>
      </c>
      <c r="AR162" s="397">
        <v>3.4815600000000004</v>
      </c>
      <c r="AS162" s="397">
        <v>4.4091199999999997</v>
      </c>
      <c r="AT162" s="397">
        <v>3.9558599999999995</v>
      </c>
      <c r="AU162" s="397">
        <v>6.5671800000000005</v>
      </c>
      <c r="AV162" s="397">
        <v>5.4626599999999996</v>
      </c>
      <c r="AW162" s="397">
        <v>6.5908700000000007</v>
      </c>
    </row>
    <row r="163" spans="1:49" ht="15.75" hidden="1" customHeight="1" outlineLevel="1">
      <c r="H163" s="396" t="s">
        <v>2278</v>
      </c>
      <c r="I163" s="396"/>
      <c r="J163" s="397"/>
      <c r="K163" s="397"/>
      <c r="L163" s="397"/>
      <c r="M163" s="397"/>
      <c r="N163" s="397"/>
      <c r="O163" s="397"/>
      <c r="P163" s="397">
        <v>7.3740000000000014E-2</v>
      </c>
      <c r="Q163" s="397">
        <v>3.8660000000000007E-2</v>
      </c>
      <c r="R163" s="397">
        <v>3.5619999999999999E-2</v>
      </c>
      <c r="S163" s="397">
        <v>2.5669999999999998E-2</v>
      </c>
      <c r="T163" s="397">
        <v>0.28682000000000002</v>
      </c>
      <c r="U163" s="397">
        <v>4.4829999999999995E-2</v>
      </c>
      <c r="V163" s="397">
        <v>0.12465999999999998</v>
      </c>
      <c r="W163" s="397">
        <v>0.10704999999999998</v>
      </c>
      <c r="X163" s="397">
        <v>0</v>
      </c>
      <c r="Y163" s="397">
        <v>4.0149999999999998E-2</v>
      </c>
      <c r="Z163" s="397">
        <v>2.1720000000000003E-2</v>
      </c>
      <c r="AA163" s="397">
        <v>1.8919999999999999E-2</v>
      </c>
      <c r="AB163" s="397">
        <v>0.16720999999999997</v>
      </c>
      <c r="AC163" s="397">
        <v>0.18299000000000001</v>
      </c>
      <c r="AD163" s="397">
        <v>0.13294999999999998</v>
      </c>
      <c r="AE163" s="397">
        <v>0.81998000000000004</v>
      </c>
      <c r="AF163" s="397">
        <v>4.3099999999999992E-2</v>
      </c>
      <c r="AG163" s="397">
        <v>5.5170000000000004E-2</v>
      </c>
      <c r="AH163" s="397">
        <v>0.88190000000000013</v>
      </c>
      <c r="AI163" s="397">
        <v>0.86324000000000001</v>
      </c>
      <c r="AJ163" s="397">
        <v>0</v>
      </c>
      <c r="AK163" s="397">
        <v>0.34433999999999992</v>
      </c>
      <c r="AL163" s="397">
        <v>0.30351000000000006</v>
      </c>
      <c r="AM163" s="397">
        <v>0.23896999999999999</v>
      </c>
      <c r="AN163" s="397">
        <v>0.16996</v>
      </c>
      <c r="AO163" s="397">
        <v>0.21601999999999999</v>
      </c>
      <c r="AP163" s="397">
        <v>0.2235</v>
      </c>
      <c r="AQ163" s="397">
        <v>0.19600000000000001</v>
      </c>
      <c r="AR163" s="397">
        <v>6.0160000000000005E-2</v>
      </c>
      <c r="AS163" s="397">
        <v>0.58935000000000004</v>
      </c>
      <c r="AT163" s="397">
        <v>0.73611000000000004</v>
      </c>
      <c r="AU163" s="397">
        <v>16.19304</v>
      </c>
      <c r="AV163" s="397">
        <v>1.37202</v>
      </c>
      <c r="AW163" s="397">
        <v>0.49857999999999997</v>
      </c>
    </row>
    <row r="164" spans="1:49" ht="15.75" hidden="1" customHeight="1" outlineLevel="1">
      <c r="H164" s="396" t="s">
        <v>2279</v>
      </c>
      <c r="I164" s="396"/>
      <c r="J164" s="397"/>
      <c r="K164" s="397"/>
      <c r="L164" s="397"/>
      <c r="M164" s="397"/>
      <c r="N164" s="397"/>
      <c r="O164" s="397"/>
      <c r="P164" s="397">
        <v>0</v>
      </c>
      <c r="Q164" s="397">
        <v>0</v>
      </c>
      <c r="R164" s="397">
        <v>0</v>
      </c>
      <c r="S164" s="397">
        <v>0</v>
      </c>
      <c r="T164" s="397">
        <v>0</v>
      </c>
      <c r="U164" s="397">
        <v>0</v>
      </c>
      <c r="V164" s="397">
        <v>0</v>
      </c>
      <c r="W164" s="397">
        <v>0</v>
      </c>
      <c r="X164" s="397">
        <v>0</v>
      </c>
      <c r="Y164" s="397">
        <v>0</v>
      </c>
      <c r="Z164" s="397">
        <v>0</v>
      </c>
      <c r="AA164" s="397">
        <v>0</v>
      </c>
      <c r="AB164" s="397">
        <v>0</v>
      </c>
      <c r="AC164" s="397">
        <v>0</v>
      </c>
      <c r="AD164" s="397">
        <v>0</v>
      </c>
      <c r="AE164" s="397">
        <v>0</v>
      </c>
      <c r="AF164" s="397">
        <v>0</v>
      </c>
      <c r="AG164" s="397">
        <v>0</v>
      </c>
      <c r="AH164" s="397">
        <v>0</v>
      </c>
      <c r="AI164" s="397">
        <v>0</v>
      </c>
      <c r="AJ164" s="397">
        <v>0</v>
      </c>
      <c r="AK164" s="397">
        <v>0</v>
      </c>
      <c r="AL164" s="397">
        <v>0</v>
      </c>
      <c r="AM164" s="397">
        <v>0</v>
      </c>
      <c r="AN164" s="397">
        <v>0</v>
      </c>
      <c r="AO164" s="397">
        <v>0</v>
      </c>
      <c r="AP164" s="397">
        <v>0</v>
      </c>
      <c r="AQ164" s="397">
        <v>0</v>
      </c>
      <c r="AR164" s="397">
        <v>0</v>
      </c>
      <c r="AS164" s="397">
        <v>0</v>
      </c>
      <c r="AT164" s="397">
        <v>0</v>
      </c>
      <c r="AU164" s="397">
        <v>0</v>
      </c>
      <c r="AV164" s="397">
        <v>0</v>
      </c>
      <c r="AW164" s="397">
        <v>0</v>
      </c>
    </row>
    <row r="165" spans="1:49" ht="15.75" customHeight="1" collapsed="1">
      <c r="A165" s="3" t="s">
        <v>165</v>
      </c>
      <c r="H165" s="399" t="s">
        <v>165</v>
      </c>
      <c r="I165" s="399"/>
      <c r="J165" s="400">
        <f>SUMIFS($P165:$AW165,$P$3:$AW$3,J$4)</f>
        <v>1680.7913000000001</v>
      </c>
      <c r="K165" s="400">
        <f>J165-AE165-AF165</f>
        <v>1474.26223</v>
      </c>
      <c r="L165" s="400">
        <f t="shared" ref="L165:N165" si="66">SUMIFS($P165:$AW165,$P$3:$AW$3,L$4)</f>
        <v>847.72858999999994</v>
      </c>
      <c r="M165" s="400">
        <f t="shared" si="66"/>
        <v>742.50579000000005</v>
      </c>
      <c r="N165" s="400">
        <f t="shared" si="66"/>
        <v>133.44055</v>
      </c>
      <c r="O165" s="400"/>
      <c r="P165" s="400">
        <f t="shared" ref="P165:AW165" si="67">SUBTOTAL(9,P161:P164)</f>
        <v>98.870440000000016</v>
      </c>
      <c r="Q165" s="400">
        <f t="shared" si="67"/>
        <v>86.813609999999997</v>
      </c>
      <c r="R165" s="400">
        <f t="shared" si="67"/>
        <v>93.625240000000005</v>
      </c>
      <c r="S165" s="400">
        <f t="shared" si="67"/>
        <v>98.458150000000003</v>
      </c>
      <c r="T165" s="400">
        <f t="shared" si="67"/>
        <v>94.617769999999993</v>
      </c>
      <c r="U165" s="400">
        <f t="shared" si="67"/>
        <v>90.92183</v>
      </c>
      <c r="V165" s="400">
        <f t="shared" si="67"/>
        <v>94.467860000000002</v>
      </c>
      <c r="W165" s="400">
        <f t="shared" si="67"/>
        <v>93.151499999999999</v>
      </c>
      <c r="X165" s="400">
        <f t="shared" si="67"/>
        <v>69.479729999999989</v>
      </c>
      <c r="Y165" s="400">
        <f t="shared" si="67"/>
        <v>91.324339999999992</v>
      </c>
      <c r="Z165" s="400">
        <f t="shared" si="67"/>
        <v>91.978670000000008</v>
      </c>
      <c r="AA165" s="400">
        <f t="shared" si="67"/>
        <v>90.89103999999999</v>
      </c>
      <c r="AB165" s="400">
        <f t="shared" si="67"/>
        <v>88.273570000000007</v>
      </c>
      <c r="AC165" s="400">
        <f t="shared" si="67"/>
        <v>100.76812000000001</v>
      </c>
      <c r="AD165" s="400">
        <f t="shared" si="67"/>
        <v>96.466080000000005</v>
      </c>
      <c r="AE165" s="400">
        <f t="shared" si="67"/>
        <v>96.896750000000011</v>
      </c>
      <c r="AF165" s="400">
        <f t="shared" si="67"/>
        <v>109.63231999999999</v>
      </c>
      <c r="AG165" s="400">
        <f t="shared" si="67"/>
        <v>94.154280000000014</v>
      </c>
      <c r="AH165" s="400">
        <f t="shared" si="67"/>
        <v>129.21504999999999</v>
      </c>
      <c r="AI165" s="400">
        <f t="shared" si="67"/>
        <v>125.80879000000002</v>
      </c>
      <c r="AJ165" s="400">
        <f t="shared" si="67"/>
        <v>121.81644</v>
      </c>
      <c r="AK165" s="400">
        <f t="shared" si="67"/>
        <v>119.17137000000001</v>
      </c>
      <c r="AL165" s="400">
        <f t="shared" si="67"/>
        <v>123.49876000000002</v>
      </c>
      <c r="AM165" s="400">
        <f t="shared" si="67"/>
        <v>128.85167999999999</v>
      </c>
      <c r="AN165" s="400">
        <f t="shared" si="67"/>
        <v>119.95249</v>
      </c>
      <c r="AO165" s="400">
        <f t="shared" si="67"/>
        <v>112.41215000000001</v>
      </c>
      <c r="AP165" s="400">
        <f t="shared" si="67"/>
        <v>112.64009999999999</v>
      </c>
      <c r="AQ165" s="400">
        <f t="shared" si="67"/>
        <v>37.818680000000001</v>
      </c>
      <c r="AR165" s="400">
        <f t="shared" si="67"/>
        <v>103.36538</v>
      </c>
      <c r="AS165" s="400">
        <f t="shared" si="67"/>
        <v>98.982169999999996</v>
      </c>
      <c r="AT165" s="400">
        <f t="shared" si="67"/>
        <v>122.43053999999999</v>
      </c>
      <c r="AU165" s="400">
        <f t="shared" si="67"/>
        <v>153.07647</v>
      </c>
      <c r="AV165" s="400">
        <f t="shared" si="67"/>
        <v>144.82177999999996</v>
      </c>
      <c r="AW165" s="400">
        <f t="shared" si="67"/>
        <v>133.44055</v>
      </c>
    </row>
    <row r="166" spans="1:49" ht="15.75" hidden="1" customHeight="1" outlineLevel="1">
      <c r="H166" s="396" t="s">
        <v>2280</v>
      </c>
      <c r="I166" s="396"/>
      <c r="J166" s="397"/>
      <c r="K166" s="397"/>
      <c r="L166" s="397"/>
      <c r="M166" s="397"/>
      <c r="N166" s="397"/>
      <c r="O166" s="397"/>
      <c r="P166" s="397">
        <v>2.60005</v>
      </c>
      <c r="Q166" s="397">
        <v>17.106150000000003</v>
      </c>
      <c r="R166" s="397">
        <v>45.839859999999994</v>
      </c>
      <c r="S166" s="397">
        <v>27.189510000000002</v>
      </c>
      <c r="T166" s="397">
        <v>10.179690000000001</v>
      </c>
      <c r="U166" s="397">
        <v>30.765970000000003</v>
      </c>
      <c r="V166" s="397">
        <v>10.293470000000001</v>
      </c>
      <c r="W166" s="397">
        <v>10.275599999999999</v>
      </c>
      <c r="X166" s="397">
        <v>33.743029999999997</v>
      </c>
      <c r="Y166" s="397">
        <v>14.883499999999998</v>
      </c>
      <c r="Z166" s="397">
        <v>30.109920000000002</v>
      </c>
      <c r="AA166" s="397">
        <v>13.794909999999998</v>
      </c>
      <c r="AB166" s="397">
        <v>7.0094399999999997</v>
      </c>
      <c r="AC166" s="397">
        <v>54.51292999999999</v>
      </c>
      <c r="AD166" s="397">
        <v>39.635769999999987</v>
      </c>
      <c r="AE166" s="397">
        <v>82.983829999999983</v>
      </c>
      <c r="AF166" s="397">
        <v>49.759620000000005</v>
      </c>
      <c r="AG166" s="397">
        <v>25.92332</v>
      </c>
      <c r="AH166" s="397">
        <v>92.606749999999991</v>
      </c>
      <c r="AI166" s="397">
        <v>27.258080000000003</v>
      </c>
      <c r="AJ166" s="397">
        <v>8.5062799999999985</v>
      </c>
      <c r="AK166" s="397">
        <v>27.919300000000003</v>
      </c>
      <c r="AL166" s="397">
        <v>21.829879999999999</v>
      </c>
      <c r="AM166" s="397">
        <v>69.640100000000004</v>
      </c>
      <c r="AN166" s="397">
        <v>30.337979999999998</v>
      </c>
      <c r="AO166" s="397">
        <v>36.82752</v>
      </c>
      <c r="AP166" s="397">
        <v>24.359440000000003</v>
      </c>
      <c r="AQ166" s="397">
        <v>21.556939999999997</v>
      </c>
      <c r="AR166" s="397">
        <v>42.170010000000005</v>
      </c>
      <c r="AS166" s="397">
        <v>30.446289999999998</v>
      </c>
      <c r="AT166" s="397">
        <v>40.114089999999997</v>
      </c>
      <c r="AU166" s="397">
        <v>39.312270000000005</v>
      </c>
      <c r="AV166" s="397">
        <v>99.743679999999998</v>
      </c>
      <c r="AW166" s="397">
        <v>10.723000000000001</v>
      </c>
    </row>
    <row r="167" spans="1:49" ht="15.75" hidden="1" customHeight="1" outlineLevel="1">
      <c r="H167" s="396" t="s">
        <v>2281</v>
      </c>
      <c r="I167" s="396"/>
      <c r="J167" s="397"/>
      <c r="K167" s="397"/>
      <c r="L167" s="397"/>
      <c r="M167" s="397"/>
      <c r="N167" s="397"/>
      <c r="O167" s="397"/>
      <c r="P167" s="397">
        <v>23.192950000000003</v>
      </c>
      <c r="Q167" s="397">
        <v>8.5199800000000003</v>
      </c>
      <c r="R167" s="397">
        <v>21.11673</v>
      </c>
      <c r="S167" s="397">
        <v>19.55331</v>
      </c>
      <c r="T167" s="397">
        <v>46.951980000000006</v>
      </c>
      <c r="U167" s="397">
        <v>16.737599999999997</v>
      </c>
      <c r="V167" s="397">
        <v>36.478490000000001</v>
      </c>
      <c r="W167" s="397">
        <v>14.586490000000001</v>
      </c>
      <c r="X167" s="397">
        <v>17.976710000000001</v>
      </c>
      <c r="Y167" s="397">
        <v>10.772009999999998</v>
      </c>
      <c r="Z167" s="397">
        <v>9.7937700000000003</v>
      </c>
      <c r="AA167" s="397">
        <v>10.45027</v>
      </c>
      <c r="AB167" s="397">
        <v>26.249129999999997</v>
      </c>
      <c r="AC167" s="397">
        <v>41.187060000000002</v>
      </c>
      <c r="AD167" s="397">
        <v>18.871629999999996</v>
      </c>
      <c r="AE167" s="397">
        <v>169.69457999999997</v>
      </c>
      <c r="AF167" s="397">
        <v>6.4782599999999997</v>
      </c>
      <c r="AG167" s="397">
        <v>34.716560000000001</v>
      </c>
      <c r="AH167" s="397">
        <v>107.45077999999999</v>
      </c>
      <c r="AI167" s="397">
        <v>30.417850000000001</v>
      </c>
      <c r="AJ167" s="397">
        <v>0.40495999999999999</v>
      </c>
      <c r="AK167" s="397">
        <v>23.760070000000002</v>
      </c>
      <c r="AL167" s="397">
        <v>24.438479999999998</v>
      </c>
      <c r="AM167" s="397">
        <v>41.195279999999997</v>
      </c>
      <c r="AN167" s="397">
        <v>51.737550000000006</v>
      </c>
      <c r="AO167" s="397">
        <v>82.028840000000002</v>
      </c>
      <c r="AP167" s="397">
        <v>67.862819999999999</v>
      </c>
      <c r="AQ167" s="397">
        <v>10.71368</v>
      </c>
      <c r="AR167" s="397">
        <v>63.872920000000008</v>
      </c>
      <c r="AS167" s="397">
        <v>41.173839999999998</v>
      </c>
      <c r="AT167" s="397">
        <v>47.459990000000005</v>
      </c>
      <c r="AU167" s="397">
        <v>81.134149999999991</v>
      </c>
      <c r="AV167" s="397">
        <v>89.527399999999986</v>
      </c>
      <c r="AW167" s="397">
        <v>38.363729999999997</v>
      </c>
    </row>
    <row r="168" spans="1:49" ht="15.75" hidden="1" customHeight="1" outlineLevel="1">
      <c r="H168" s="396" t="s">
        <v>2282</v>
      </c>
      <c r="I168" s="396"/>
      <c r="J168" s="397"/>
      <c r="K168" s="397"/>
      <c r="L168" s="397"/>
      <c r="M168" s="397"/>
      <c r="N168" s="397"/>
      <c r="O168" s="397"/>
      <c r="P168" s="397">
        <v>4.3493099999999991</v>
      </c>
      <c r="Q168" s="397">
        <v>1.3735599999999999</v>
      </c>
      <c r="R168" s="397">
        <v>4.9697299999999993</v>
      </c>
      <c r="S168" s="397">
        <v>4.5155000000000003</v>
      </c>
      <c r="T168" s="397">
        <v>4.9315800000000003</v>
      </c>
      <c r="U168" s="397">
        <v>8.0804599999999986</v>
      </c>
      <c r="V168" s="397">
        <v>10.357759999999999</v>
      </c>
      <c r="W168" s="397">
        <v>3.6970699999999996</v>
      </c>
      <c r="X168" s="397">
        <v>0</v>
      </c>
      <c r="Y168" s="397">
        <v>4.3597599999999996</v>
      </c>
      <c r="Z168" s="397">
        <v>2.67157</v>
      </c>
      <c r="AA168" s="397">
        <v>3.13558</v>
      </c>
      <c r="AB168" s="397">
        <v>2.5170500000000002</v>
      </c>
      <c r="AC168" s="397">
        <v>3.5130400000000002</v>
      </c>
      <c r="AD168" s="397">
        <v>2.50251</v>
      </c>
      <c r="AE168" s="397">
        <v>19.134790000000002</v>
      </c>
      <c r="AF168" s="397">
        <v>6.8177399999999997</v>
      </c>
      <c r="AG168" s="397">
        <v>2.4033100000000003</v>
      </c>
      <c r="AH168" s="397">
        <v>11.983499999999999</v>
      </c>
      <c r="AI168" s="397">
        <v>8.0301600000000004</v>
      </c>
      <c r="AJ168" s="397">
        <v>0</v>
      </c>
      <c r="AK168" s="397">
        <v>5.5854399999999993</v>
      </c>
      <c r="AL168" s="397">
        <v>5.9525999999999994</v>
      </c>
      <c r="AM168" s="397">
        <v>14.798439999999999</v>
      </c>
      <c r="AN168" s="397">
        <v>3.5086200000000001</v>
      </c>
      <c r="AO168" s="397">
        <v>8.0195000000000007</v>
      </c>
      <c r="AP168" s="397">
        <v>5.4718299999999989</v>
      </c>
      <c r="AQ168" s="397">
        <v>0.52722999999999998</v>
      </c>
      <c r="AR168" s="397">
        <v>7.2972900000000003</v>
      </c>
      <c r="AS168" s="397">
        <v>2.2338100000000001</v>
      </c>
      <c r="AT168" s="397">
        <v>7.2766100000000007</v>
      </c>
      <c r="AU168" s="397">
        <v>9.8048100000000016</v>
      </c>
      <c r="AV168" s="397">
        <v>24.025230000000004</v>
      </c>
      <c r="AW168" s="397">
        <v>3.07694</v>
      </c>
    </row>
    <row r="169" spans="1:49" ht="15.75" hidden="1" customHeight="1" outlineLevel="1">
      <c r="H169" s="396" t="s">
        <v>2283</v>
      </c>
      <c r="I169" s="396"/>
      <c r="J169" s="397"/>
      <c r="K169" s="397"/>
      <c r="L169" s="397"/>
      <c r="M169" s="397"/>
      <c r="N169" s="397"/>
      <c r="O169" s="397"/>
      <c r="P169" s="397">
        <v>4.50753</v>
      </c>
      <c r="Q169" s="397">
        <v>2.415</v>
      </c>
      <c r="R169" s="397">
        <v>1.5954699999999997</v>
      </c>
      <c r="S169" s="397">
        <v>3.6966700000000001</v>
      </c>
      <c r="T169" s="397">
        <v>3.5311100000000004</v>
      </c>
      <c r="U169" s="397">
        <v>5.7759999999999999E-2</v>
      </c>
      <c r="V169" s="397">
        <v>0.79581999999999997</v>
      </c>
      <c r="W169" s="397">
        <v>0.11105</v>
      </c>
      <c r="X169" s="397">
        <v>0</v>
      </c>
      <c r="Y169" s="397">
        <v>4.6579999999999996E-2</v>
      </c>
      <c r="Z169" s="397">
        <v>1.02948</v>
      </c>
      <c r="AA169" s="397">
        <v>1.2199999999999999E-2</v>
      </c>
      <c r="AB169" s="397">
        <v>1.13601</v>
      </c>
      <c r="AC169" s="397">
        <v>3.5908999999999995</v>
      </c>
      <c r="AD169" s="397">
        <v>4.9262800000000002</v>
      </c>
      <c r="AE169" s="397">
        <v>4.5590200000000003</v>
      </c>
      <c r="AF169" s="397">
        <v>0.98333999999999999</v>
      </c>
      <c r="AG169" s="397">
        <v>1.04179</v>
      </c>
      <c r="AH169" s="397">
        <v>14.446780000000002</v>
      </c>
      <c r="AI169" s="397">
        <v>0.63857999999999993</v>
      </c>
      <c r="AJ169" s="397">
        <v>2.4879999999999999E-2</v>
      </c>
      <c r="AK169" s="397">
        <v>9.3459999999999988E-2</v>
      </c>
      <c r="AL169" s="397">
        <v>1.1061400000000001</v>
      </c>
      <c r="AM169" s="397">
        <v>2.9212899999999999</v>
      </c>
      <c r="AN169" s="397">
        <v>5.4943500000000007</v>
      </c>
      <c r="AO169" s="397">
        <v>7.7215199999999999</v>
      </c>
      <c r="AP169" s="397">
        <v>14.724539999999998</v>
      </c>
      <c r="AQ169" s="397">
        <v>4.8999999999999998E-4</v>
      </c>
      <c r="AR169" s="397">
        <v>0.68474000000000013</v>
      </c>
      <c r="AS169" s="397">
        <v>0.69350000000000001</v>
      </c>
      <c r="AT169" s="397">
        <v>1.4420000000000002</v>
      </c>
      <c r="AU169" s="397">
        <v>3.9902899999999999</v>
      </c>
      <c r="AV169" s="397">
        <v>5.8829599999999997</v>
      </c>
      <c r="AW169" s="397">
        <v>4.4194599999999999</v>
      </c>
    </row>
    <row r="170" spans="1:49" ht="15.75" hidden="1" customHeight="1" outlineLevel="1">
      <c r="H170" s="396" t="s">
        <v>2284</v>
      </c>
      <c r="I170" s="396"/>
      <c r="J170" s="397"/>
      <c r="K170" s="397"/>
      <c r="L170" s="397"/>
      <c r="M170" s="397"/>
      <c r="N170" s="397"/>
      <c r="O170" s="397"/>
      <c r="P170" s="397">
        <v>1.2115799999999999</v>
      </c>
      <c r="Q170" s="397">
        <v>1.4754900000000002</v>
      </c>
      <c r="R170" s="397">
        <v>2.5613300000000003</v>
      </c>
      <c r="S170" s="397">
        <v>6.6197600000000003</v>
      </c>
      <c r="T170" s="397">
        <v>2.3915500000000005</v>
      </c>
      <c r="U170" s="397">
        <v>1.6292499999999996</v>
      </c>
      <c r="V170" s="397">
        <v>2.8176100000000006</v>
      </c>
      <c r="W170" s="397">
        <v>1.5198</v>
      </c>
      <c r="X170" s="397">
        <v>0</v>
      </c>
      <c r="Y170" s="397">
        <v>0.86247000000000007</v>
      </c>
      <c r="Z170" s="397">
        <v>1.36392</v>
      </c>
      <c r="AA170" s="397">
        <v>0.86597999999999986</v>
      </c>
      <c r="AB170" s="397">
        <v>0.98260000000000003</v>
      </c>
      <c r="AC170" s="397">
        <v>3.3306799999999996</v>
      </c>
      <c r="AD170" s="397">
        <v>2.48319</v>
      </c>
      <c r="AE170" s="397">
        <v>3.6933199999999995</v>
      </c>
      <c r="AF170" s="397">
        <v>3.0742999999999996</v>
      </c>
      <c r="AG170" s="397">
        <v>1.8811800000000001</v>
      </c>
      <c r="AH170" s="397">
        <v>9.2955500000000004</v>
      </c>
      <c r="AI170" s="397">
        <v>2.8783999999999996</v>
      </c>
      <c r="AJ170" s="397">
        <v>0</v>
      </c>
      <c r="AK170" s="397">
        <v>2.0005200000000003</v>
      </c>
      <c r="AL170" s="397">
        <v>2.5330799999999996</v>
      </c>
      <c r="AM170" s="397">
        <v>4.0009199999999998</v>
      </c>
      <c r="AN170" s="397">
        <v>8.1154600000000006</v>
      </c>
      <c r="AO170" s="397">
        <v>3.4744000000000002</v>
      </c>
      <c r="AP170" s="397">
        <v>2.6574700000000004</v>
      </c>
      <c r="AQ170" s="397">
        <v>0.29769000000000001</v>
      </c>
      <c r="AR170" s="397">
        <v>4.8183900000000008</v>
      </c>
      <c r="AS170" s="397">
        <v>2.3404199999999999</v>
      </c>
      <c r="AT170" s="397">
        <v>3.580169999999999</v>
      </c>
      <c r="AU170" s="397">
        <v>4.4752200000000002</v>
      </c>
      <c r="AV170" s="397">
        <v>24.884340000000005</v>
      </c>
      <c r="AW170" s="397">
        <v>5.0960000000000001</v>
      </c>
    </row>
    <row r="171" spans="1:49" ht="15.75" hidden="1" customHeight="1" outlineLevel="1">
      <c r="H171" s="396" t="s">
        <v>2285</v>
      </c>
      <c r="I171" s="396"/>
      <c r="J171" s="397"/>
      <c r="K171" s="397"/>
      <c r="L171" s="397"/>
      <c r="M171" s="397"/>
      <c r="N171" s="397"/>
      <c r="O171" s="397"/>
      <c r="P171" s="397">
        <v>6.5366600000000004</v>
      </c>
      <c r="Q171" s="397">
        <v>2.4499499999999999</v>
      </c>
      <c r="R171" s="397">
        <v>6.0033599999999989</v>
      </c>
      <c r="S171" s="397">
        <v>5.96279</v>
      </c>
      <c r="T171" s="397">
        <v>11.323550000000001</v>
      </c>
      <c r="U171" s="397">
        <v>3.5892199999999996</v>
      </c>
      <c r="V171" s="397">
        <v>8.1704799999999995</v>
      </c>
      <c r="W171" s="397">
        <v>5.1045100000000012</v>
      </c>
      <c r="X171" s="397">
        <v>0</v>
      </c>
      <c r="Y171" s="397">
        <v>3.6225099999999997</v>
      </c>
      <c r="Z171" s="397">
        <v>3.7267999999999999</v>
      </c>
      <c r="AA171" s="397">
        <v>2.8085100000000001</v>
      </c>
      <c r="AB171" s="397">
        <v>5.8742900000000002</v>
      </c>
      <c r="AC171" s="397">
        <v>6.7488199999999985</v>
      </c>
      <c r="AD171" s="397">
        <v>4.1427800000000001</v>
      </c>
      <c r="AE171" s="397">
        <v>22.104589999999998</v>
      </c>
      <c r="AF171" s="397">
        <v>11.244189999999998</v>
      </c>
      <c r="AG171" s="397">
        <v>5.4556200000000015</v>
      </c>
      <c r="AH171" s="397">
        <v>10.413530000000002</v>
      </c>
      <c r="AI171" s="397">
        <v>4.6750600000000002</v>
      </c>
      <c r="AJ171" s="397">
        <v>2.7289999999999998E-2</v>
      </c>
      <c r="AK171" s="397">
        <v>3.6177900000000003</v>
      </c>
      <c r="AL171" s="397">
        <v>5.37941</v>
      </c>
      <c r="AM171" s="397">
        <v>4.8630100000000001</v>
      </c>
      <c r="AN171" s="397">
        <v>5.3697600000000003</v>
      </c>
      <c r="AO171" s="397">
        <v>8.8880500000000016</v>
      </c>
      <c r="AP171" s="397">
        <v>8.8709199999999981</v>
      </c>
      <c r="AQ171" s="397">
        <v>1.696</v>
      </c>
      <c r="AR171" s="397">
        <v>8.0854499999999998</v>
      </c>
      <c r="AS171" s="397">
        <v>6.6939199999999994</v>
      </c>
      <c r="AT171" s="397">
        <v>6.0400400000000003</v>
      </c>
      <c r="AU171" s="397">
        <v>13.777369999999999</v>
      </c>
      <c r="AV171" s="397">
        <v>19.602760000000004</v>
      </c>
      <c r="AW171" s="397">
        <v>17.796669999999999</v>
      </c>
    </row>
    <row r="172" spans="1:49" ht="15.75" hidden="1" customHeight="1" outlineLevel="1">
      <c r="H172" s="396" t="s">
        <v>2286</v>
      </c>
      <c r="I172" s="396"/>
      <c r="J172" s="397"/>
      <c r="K172" s="397"/>
      <c r="L172" s="397"/>
      <c r="M172" s="397"/>
      <c r="N172" s="397"/>
      <c r="O172" s="397"/>
      <c r="P172" s="397">
        <v>0</v>
      </c>
      <c r="Q172" s="397">
        <v>0</v>
      </c>
      <c r="R172" s="397">
        <v>0</v>
      </c>
      <c r="S172" s="397">
        <v>0</v>
      </c>
      <c r="T172" s="397">
        <v>0</v>
      </c>
      <c r="U172" s="397">
        <v>0</v>
      </c>
      <c r="V172" s="397">
        <v>0</v>
      </c>
      <c r="W172" s="397">
        <v>0</v>
      </c>
      <c r="X172" s="397">
        <v>0</v>
      </c>
      <c r="Y172" s="397">
        <v>0</v>
      </c>
      <c r="Z172" s="397">
        <v>0</v>
      </c>
      <c r="AA172" s="397">
        <v>0</v>
      </c>
      <c r="AB172" s="397">
        <v>0</v>
      </c>
      <c r="AC172" s="397">
        <v>0</v>
      </c>
      <c r="AD172" s="397">
        <v>0</v>
      </c>
      <c r="AE172" s="397">
        <v>3.8536999999999999</v>
      </c>
      <c r="AF172" s="397">
        <v>0</v>
      </c>
      <c r="AG172" s="397">
        <v>1.2989999999999999</v>
      </c>
      <c r="AH172" s="397">
        <v>0</v>
      </c>
      <c r="AI172" s="397">
        <v>0</v>
      </c>
      <c r="AJ172" s="397">
        <v>0</v>
      </c>
      <c r="AK172" s="397">
        <v>0</v>
      </c>
      <c r="AL172" s="397">
        <v>0</v>
      </c>
      <c r="AM172" s="397">
        <v>0</v>
      </c>
      <c r="AN172" s="397">
        <v>0</v>
      </c>
      <c r="AO172" s="397">
        <v>0</v>
      </c>
      <c r="AP172" s="397">
        <v>0</v>
      </c>
      <c r="AQ172" s="397">
        <v>0</v>
      </c>
      <c r="AR172" s="397">
        <v>0</v>
      </c>
      <c r="AS172" s="397">
        <v>0</v>
      </c>
      <c r="AT172" s="397">
        <v>0</v>
      </c>
      <c r="AU172" s="397">
        <v>0</v>
      </c>
      <c r="AV172" s="397">
        <v>0</v>
      </c>
      <c r="AW172" s="397">
        <v>0</v>
      </c>
    </row>
    <row r="173" spans="1:49" ht="15.75" customHeight="1" collapsed="1">
      <c r="A173" s="3" t="s">
        <v>166</v>
      </c>
      <c r="H173" s="399" t="s">
        <v>166</v>
      </c>
      <c r="I173" s="399"/>
      <c r="J173" s="400">
        <f>SUMIFS($P173:$AW173,$P$3:$AW$3,J$4)</f>
        <v>1322.0857499999997</v>
      </c>
      <c r="K173" s="400">
        <f>J173-AE173-AF173</f>
        <v>937.7044699999999</v>
      </c>
      <c r="L173" s="400">
        <f t="shared" ref="L173:N173" si="68">SUMIFS($P173:$AW173,$P$3:$AW$3,L$4)</f>
        <v>1003.49081</v>
      </c>
      <c r="M173" s="400">
        <f t="shared" si="68"/>
        <v>621.35923000000003</v>
      </c>
      <c r="N173" s="400">
        <f t="shared" si="68"/>
        <v>79.475799999999992</v>
      </c>
      <c r="O173" s="400"/>
      <c r="P173" s="400">
        <f t="shared" ref="P173:AW173" si="69">SUBTOTAL(9,P166:P172)</f>
        <v>42.39808</v>
      </c>
      <c r="Q173" s="400">
        <f t="shared" si="69"/>
        <v>33.340130000000002</v>
      </c>
      <c r="R173" s="400">
        <f t="shared" si="69"/>
        <v>82.086479999999995</v>
      </c>
      <c r="S173" s="400">
        <f t="shared" si="69"/>
        <v>67.537540000000007</v>
      </c>
      <c r="T173" s="400">
        <f t="shared" si="69"/>
        <v>79.309460000000001</v>
      </c>
      <c r="U173" s="400">
        <f t="shared" si="69"/>
        <v>60.860259999999997</v>
      </c>
      <c r="V173" s="400">
        <f t="shared" si="69"/>
        <v>68.913629999999998</v>
      </c>
      <c r="W173" s="400">
        <f t="shared" si="69"/>
        <v>35.294520000000006</v>
      </c>
      <c r="X173" s="400">
        <f t="shared" si="69"/>
        <v>51.719740000000002</v>
      </c>
      <c r="Y173" s="400">
        <f t="shared" si="69"/>
        <v>34.546829999999993</v>
      </c>
      <c r="Z173" s="400">
        <f t="shared" si="69"/>
        <v>48.695460000000004</v>
      </c>
      <c r="AA173" s="400">
        <f t="shared" si="69"/>
        <v>31.067450000000001</v>
      </c>
      <c r="AB173" s="400">
        <f t="shared" si="69"/>
        <v>43.768519999999995</v>
      </c>
      <c r="AC173" s="400">
        <f t="shared" si="69"/>
        <v>112.88342999999999</v>
      </c>
      <c r="AD173" s="400">
        <f t="shared" si="69"/>
        <v>72.562159999999977</v>
      </c>
      <c r="AE173" s="400">
        <f t="shared" si="69"/>
        <v>306.02382999999986</v>
      </c>
      <c r="AF173" s="400">
        <f t="shared" si="69"/>
        <v>78.35745</v>
      </c>
      <c r="AG173" s="400">
        <f t="shared" si="69"/>
        <v>72.720780000000005</v>
      </c>
      <c r="AH173" s="400">
        <f t="shared" si="69"/>
        <v>246.19688999999997</v>
      </c>
      <c r="AI173" s="400">
        <f t="shared" si="69"/>
        <v>73.898130000000009</v>
      </c>
      <c r="AJ173" s="400">
        <f t="shared" si="69"/>
        <v>8.9634099999999997</v>
      </c>
      <c r="AK173" s="400">
        <f t="shared" si="69"/>
        <v>62.976580000000006</v>
      </c>
      <c r="AL173" s="400">
        <f t="shared" si="69"/>
        <v>61.23959</v>
      </c>
      <c r="AM173" s="400">
        <f t="shared" si="69"/>
        <v>137.41904000000002</v>
      </c>
      <c r="AN173" s="400">
        <f t="shared" si="69"/>
        <v>104.56371999999999</v>
      </c>
      <c r="AO173" s="400">
        <f t="shared" si="69"/>
        <v>146.95982999999998</v>
      </c>
      <c r="AP173" s="400">
        <f t="shared" si="69"/>
        <v>123.94702000000001</v>
      </c>
      <c r="AQ173" s="400">
        <f t="shared" si="69"/>
        <v>34.792029999999997</v>
      </c>
      <c r="AR173" s="400">
        <f t="shared" si="69"/>
        <v>126.92880000000001</v>
      </c>
      <c r="AS173" s="400">
        <f t="shared" si="69"/>
        <v>83.581779999999995</v>
      </c>
      <c r="AT173" s="400">
        <f t="shared" si="69"/>
        <v>105.91290000000002</v>
      </c>
      <c r="AU173" s="400">
        <f t="shared" si="69"/>
        <v>152.49410999999998</v>
      </c>
      <c r="AV173" s="400">
        <f t="shared" si="69"/>
        <v>263.66636999999997</v>
      </c>
      <c r="AW173" s="400">
        <f t="shared" si="69"/>
        <v>79.475799999999992</v>
      </c>
    </row>
    <row r="174" spans="1:49" ht="15.75" hidden="1" customHeight="1" outlineLevel="1">
      <c r="H174" s="396" t="s">
        <v>2287</v>
      </c>
      <c r="I174" s="396"/>
      <c r="J174" s="397"/>
      <c r="K174" s="397"/>
      <c r="L174" s="397"/>
      <c r="M174" s="397"/>
      <c r="N174" s="397"/>
      <c r="O174" s="397"/>
      <c r="P174" s="397">
        <v>30.136260000000004</v>
      </c>
      <c r="Q174" s="397">
        <v>13.332699999999999</v>
      </c>
      <c r="R174" s="397">
        <v>28.562980000000003</v>
      </c>
      <c r="S174" s="397">
        <v>35.466920000000002</v>
      </c>
      <c r="T174" s="397">
        <v>31.402930000000005</v>
      </c>
      <c r="U174" s="397">
        <v>28.318280000000001</v>
      </c>
      <c r="V174" s="397">
        <v>17.595250000000004</v>
      </c>
      <c r="W174" s="397">
        <v>23.456259999999993</v>
      </c>
      <c r="X174" s="397">
        <v>15.718830000000002</v>
      </c>
      <c r="Y174" s="397">
        <v>11.13998</v>
      </c>
      <c r="Z174" s="397">
        <v>18.347799999999999</v>
      </c>
      <c r="AA174" s="397">
        <v>16.99672</v>
      </c>
      <c r="AB174" s="397">
        <v>26.012910000000002</v>
      </c>
      <c r="AC174" s="397">
        <v>62.10255999999999</v>
      </c>
      <c r="AD174" s="397">
        <v>21.843150000000001</v>
      </c>
      <c r="AE174" s="397">
        <v>98.966049999999981</v>
      </c>
      <c r="AF174" s="397">
        <v>50.064</v>
      </c>
      <c r="AG174" s="397">
        <v>19.097090000000001</v>
      </c>
      <c r="AH174" s="397">
        <v>41.978349999999999</v>
      </c>
      <c r="AI174" s="397">
        <v>12.65775</v>
      </c>
      <c r="AJ174" s="397">
        <v>5.9538899999999995</v>
      </c>
      <c r="AK174" s="397">
        <v>7.2228899999999996</v>
      </c>
      <c r="AL174" s="397">
        <v>12.158530000000003</v>
      </c>
      <c r="AM174" s="397">
        <v>23.305150000000001</v>
      </c>
      <c r="AN174" s="397">
        <v>29.235159999999997</v>
      </c>
      <c r="AO174" s="397">
        <v>49.715170000000001</v>
      </c>
      <c r="AP174" s="397">
        <v>35.621649999999995</v>
      </c>
      <c r="AQ174" s="397">
        <v>5.7891199999999996</v>
      </c>
      <c r="AR174" s="397">
        <v>65.574770000000001</v>
      </c>
      <c r="AS174" s="397">
        <v>17.65081</v>
      </c>
      <c r="AT174" s="397">
        <v>29.590120000000002</v>
      </c>
      <c r="AU174" s="397">
        <v>48.744489999999999</v>
      </c>
      <c r="AV174" s="397">
        <v>50.696359999999999</v>
      </c>
      <c r="AW174" s="397">
        <v>76.669080000000008</v>
      </c>
    </row>
    <row r="175" spans="1:49" ht="15.75" hidden="1" customHeight="1" outlineLevel="1">
      <c r="H175" s="396" t="s">
        <v>2288</v>
      </c>
      <c r="I175" s="396"/>
      <c r="J175" s="397"/>
      <c r="K175" s="397"/>
      <c r="L175" s="397"/>
      <c r="M175" s="397"/>
      <c r="N175" s="397"/>
      <c r="O175" s="397"/>
      <c r="P175" s="397">
        <v>3.6346599999999998</v>
      </c>
      <c r="Q175" s="397">
        <v>5.7424499999999998</v>
      </c>
      <c r="R175" s="397">
        <v>13.314270000000002</v>
      </c>
      <c r="S175" s="397">
        <v>32.724080000000001</v>
      </c>
      <c r="T175" s="397">
        <v>15.28636</v>
      </c>
      <c r="U175" s="397">
        <v>21.235710000000005</v>
      </c>
      <c r="V175" s="397">
        <v>13.559709999999997</v>
      </c>
      <c r="W175" s="397">
        <v>3.6096700000000004</v>
      </c>
      <c r="X175" s="397">
        <v>3.0040500000000003</v>
      </c>
      <c r="Y175" s="397">
        <v>8.3122799999999994</v>
      </c>
      <c r="Z175" s="397">
        <v>8.0792599999999997</v>
      </c>
      <c r="AA175" s="397">
        <v>4.9182700000000006</v>
      </c>
      <c r="AB175" s="397">
        <v>4.78355</v>
      </c>
      <c r="AC175" s="397">
        <v>3.7446200000000003</v>
      </c>
      <c r="AD175" s="397">
        <v>1.4149999999999999E-2</v>
      </c>
      <c r="AE175" s="397">
        <v>96.250559999999993</v>
      </c>
      <c r="AF175" s="397">
        <v>59.169410000000006</v>
      </c>
      <c r="AG175" s="397">
        <v>19.15532</v>
      </c>
      <c r="AH175" s="397">
        <v>15.563330000000001</v>
      </c>
      <c r="AI175" s="397">
        <v>29.450020000000002</v>
      </c>
      <c r="AJ175" s="397">
        <v>24.606529999999999</v>
      </c>
      <c r="AK175" s="397">
        <v>10.423959999999999</v>
      </c>
      <c r="AL175" s="397">
        <v>2.7731800000000004</v>
      </c>
      <c r="AM175" s="397">
        <v>9.2125000000000004</v>
      </c>
      <c r="AN175" s="397">
        <v>7.7860500000000004</v>
      </c>
      <c r="AO175" s="397">
        <v>11.679309999999999</v>
      </c>
      <c r="AP175" s="397">
        <v>15.436650000000002</v>
      </c>
      <c r="AQ175" s="397">
        <v>0.49301999999999996</v>
      </c>
      <c r="AR175" s="397">
        <v>12.13843</v>
      </c>
      <c r="AS175" s="397">
        <v>12.72353</v>
      </c>
      <c r="AT175" s="397">
        <v>2.17</v>
      </c>
      <c r="AU175" s="397">
        <v>7.5289700000000002</v>
      </c>
      <c r="AV175" s="397">
        <v>3.4646500000000002</v>
      </c>
      <c r="AW175" s="397">
        <v>11.158340000000001</v>
      </c>
    </row>
    <row r="176" spans="1:49" ht="15.75" hidden="1" customHeight="1" outlineLevel="1">
      <c r="H176" s="396" t="s">
        <v>2289</v>
      </c>
      <c r="I176" s="396"/>
      <c r="J176" s="397"/>
      <c r="K176" s="397"/>
      <c r="L176" s="397"/>
      <c r="M176" s="397"/>
      <c r="N176" s="397"/>
      <c r="O176" s="397"/>
      <c r="P176" s="397">
        <v>8.9996799999999997</v>
      </c>
      <c r="Q176" s="397">
        <v>4.7767300000000006</v>
      </c>
      <c r="R176" s="397">
        <v>5.5858199999999991</v>
      </c>
      <c r="S176" s="397">
        <v>5.0516699999999997</v>
      </c>
      <c r="T176" s="397">
        <v>9.0029599999999999</v>
      </c>
      <c r="U176" s="397">
        <v>6.6950500000000002</v>
      </c>
      <c r="V176" s="397">
        <v>4.4949200000000005</v>
      </c>
      <c r="W176" s="397">
        <v>6.6279899999999996</v>
      </c>
      <c r="X176" s="397">
        <v>1.8893900000000001</v>
      </c>
      <c r="Y176" s="397">
        <v>4.3729300000000002</v>
      </c>
      <c r="Z176" s="397">
        <v>4.8074100000000008</v>
      </c>
      <c r="AA176" s="397">
        <v>4.9417200000000001</v>
      </c>
      <c r="AB176" s="397">
        <v>4.9236899999999988</v>
      </c>
      <c r="AC176" s="397">
        <v>6.0590400000000013</v>
      </c>
      <c r="AD176" s="397">
        <v>5.9305999999999992</v>
      </c>
      <c r="AE176" s="397">
        <v>18.562489999999997</v>
      </c>
      <c r="AF176" s="397">
        <v>11.831970000000002</v>
      </c>
      <c r="AG176" s="397">
        <v>9.1812699999999996</v>
      </c>
      <c r="AH176" s="397">
        <v>24.806800000000003</v>
      </c>
      <c r="AI176" s="397">
        <v>5.5002900000000006</v>
      </c>
      <c r="AJ176" s="397">
        <v>4.3541800000000004</v>
      </c>
      <c r="AK176" s="397">
        <v>6.1989100000000006</v>
      </c>
      <c r="AL176" s="397">
        <v>6.4387099999999995</v>
      </c>
      <c r="AM176" s="397">
        <v>9.2356300000000005</v>
      </c>
      <c r="AN176" s="397">
        <v>5.0272000000000006</v>
      </c>
      <c r="AO176" s="397">
        <v>8.5925700000000003</v>
      </c>
      <c r="AP176" s="397">
        <v>7.0075699999999994</v>
      </c>
      <c r="AQ176" s="397">
        <v>0.89618999999999993</v>
      </c>
      <c r="AR176" s="397">
        <v>7.3189800000000007</v>
      </c>
      <c r="AS176" s="397">
        <v>4.2978199999999998</v>
      </c>
      <c r="AT176" s="397">
        <v>7.2793400000000004</v>
      </c>
      <c r="AU176" s="397">
        <v>11.21185</v>
      </c>
      <c r="AV176" s="397">
        <v>13.577529999999999</v>
      </c>
      <c r="AW176" s="397">
        <v>11.915040000000001</v>
      </c>
    </row>
    <row r="177" spans="1:49" ht="15.75" hidden="1" customHeight="1" outlineLevel="1">
      <c r="H177" s="396" t="s">
        <v>2290</v>
      </c>
      <c r="I177" s="396"/>
      <c r="J177" s="397"/>
      <c r="K177" s="397"/>
      <c r="L177" s="397"/>
      <c r="M177" s="397"/>
      <c r="N177" s="397"/>
      <c r="O177" s="397"/>
      <c r="P177" s="397">
        <v>5.9139900000000019</v>
      </c>
      <c r="Q177" s="397">
        <v>2.3109000000000002</v>
      </c>
      <c r="R177" s="397">
        <v>3.9409999999999994E-2</v>
      </c>
      <c r="S177" s="397">
        <v>4.8138500000000004</v>
      </c>
      <c r="T177" s="397">
        <v>7.8411800000000005</v>
      </c>
      <c r="U177" s="397">
        <v>4.7154299999999996</v>
      </c>
      <c r="V177" s="397">
        <v>2.3275200000000003</v>
      </c>
      <c r="W177" s="397">
        <v>0.16907</v>
      </c>
      <c r="X177" s="397">
        <v>0</v>
      </c>
      <c r="Y177" s="397">
        <v>5.3500900000000007</v>
      </c>
      <c r="Z177" s="397">
        <v>5.0638900000000016</v>
      </c>
      <c r="AA177" s="397">
        <v>2.0348600000000006</v>
      </c>
      <c r="AB177" s="397">
        <v>3.7806099999999998</v>
      </c>
      <c r="AC177" s="397">
        <v>19.96123</v>
      </c>
      <c r="AD177" s="397">
        <v>2.5484499999999999</v>
      </c>
      <c r="AE177" s="397">
        <v>8.1501400000000004</v>
      </c>
      <c r="AF177" s="397">
        <v>15.303439999999998</v>
      </c>
      <c r="AG177" s="397">
        <v>2.4875199999999995</v>
      </c>
      <c r="AH177" s="397">
        <v>34.967260000000003</v>
      </c>
      <c r="AI177" s="397">
        <v>7.0228299999999999</v>
      </c>
      <c r="AJ177" s="397">
        <v>0</v>
      </c>
      <c r="AK177" s="397">
        <v>5.5247800000000007</v>
      </c>
      <c r="AL177" s="397">
        <v>5.3628499999999999</v>
      </c>
      <c r="AM177" s="397">
        <v>7.3149700000000033</v>
      </c>
      <c r="AN177" s="397">
        <v>7.1831300000000011</v>
      </c>
      <c r="AO177" s="397">
        <v>4.5827299999999997</v>
      </c>
      <c r="AP177" s="397">
        <v>9.9863999999999997</v>
      </c>
      <c r="AQ177" s="397">
        <v>0.80632000000000004</v>
      </c>
      <c r="AR177" s="397">
        <v>9.3059600000000007</v>
      </c>
      <c r="AS177" s="397">
        <v>2.7822400000000003</v>
      </c>
      <c r="AT177" s="397">
        <v>6.6958300000000017</v>
      </c>
      <c r="AU177" s="397">
        <v>6.8710000000000004</v>
      </c>
      <c r="AV177" s="397">
        <v>13.346780000000003</v>
      </c>
      <c r="AW177" s="397">
        <v>5.9317199999999994</v>
      </c>
    </row>
    <row r="178" spans="1:49" ht="15.75" hidden="1" customHeight="1" outlineLevel="1">
      <c r="H178" s="396" t="s">
        <v>2291</v>
      </c>
      <c r="I178" s="396"/>
      <c r="J178" s="397"/>
      <c r="K178" s="397"/>
      <c r="L178" s="397"/>
      <c r="M178" s="397"/>
      <c r="N178" s="397"/>
      <c r="O178" s="397"/>
      <c r="P178" s="397">
        <v>7.1515199999999997</v>
      </c>
      <c r="Q178" s="397">
        <v>4.1894200000000001</v>
      </c>
      <c r="R178" s="397">
        <v>1.1871599999999998</v>
      </c>
      <c r="S178" s="397">
        <v>7.6272099999999989</v>
      </c>
      <c r="T178" s="397">
        <v>5.864139999999999</v>
      </c>
      <c r="U178" s="397">
        <v>5.0676600000000001</v>
      </c>
      <c r="V178" s="397">
        <v>2.0114100000000001</v>
      </c>
      <c r="W178" s="397">
        <v>0.34972000000000003</v>
      </c>
      <c r="X178" s="397">
        <v>0</v>
      </c>
      <c r="Y178" s="397">
        <v>3.3445399999999998</v>
      </c>
      <c r="Z178" s="397">
        <v>7.016799999999999</v>
      </c>
      <c r="AA178" s="397">
        <v>3.4599999999999999E-2</v>
      </c>
      <c r="AB178" s="397">
        <v>6.6171699999999998</v>
      </c>
      <c r="AC178" s="397">
        <v>9.5650899999999996</v>
      </c>
      <c r="AD178" s="397">
        <v>8.333120000000001</v>
      </c>
      <c r="AE178" s="397">
        <v>6.5522099999999996</v>
      </c>
      <c r="AF178" s="397">
        <v>6.0409499999999996</v>
      </c>
      <c r="AG178" s="397">
        <v>8.2037199999999988</v>
      </c>
      <c r="AH178" s="397">
        <v>14.84497</v>
      </c>
      <c r="AI178" s="397">
        <v>2.5176400000000005</v>
      </c>
      <c r="AJ178" s="397">
        <v>0</v>
      </c>
      <c r="AK178" s="397">
        <v>2.2476700000000003</v>
      </c>
      <c r="AL178" s="397">
        <v>2.5794200000000003</v>
      </c>
      <c r="AM178" s="397">
        <v>6.2821199999999999</v>
      </c>
      <c r="AN178" s="397">
        <v>2.1743899999999998</v>
      </c>
      <c r="AO178" s="397">
        <v>2.2277099999999996</v>
      </c>
      <c r="AP178" s="397">
        <v>5.5718500000000004</v>
      </c>
      <c r="AQ178" s="397">
        <v>0.44430000000000003</v>
      </c>
      <c r="AR178" s="397">
        <v>2.1105800000000001</v>
      </c>
      <c r="AS178" s="397">
        <v>0</v>
      </c>
      <c r="AT178" s="397">
        <v>0.17236000000000001</v>
      </c>
      <c r="AU178" s="397">
        <v>0</v>
      </c>
      <c r="AV178" s="397">
        <v>1.1631199999999999</v>
      </c>
      <c r="AW178" s="397">
        <v>9.2190599999999989</v>
      </c>
    </row>
    <row r="179" spans="1:49" ht="15.75" customHeight="1" collapsed="1">
      <c r="A179" s="3" t="s">
        <v>169</v>
      </c>
      <c r="H179" s="399" t="s">
        <v>169</v>
      </c>
      <c r="I179" s="399"/>
      <c r="J179" s="400">
        <f>SUMIFS($P179:$AW179,$P$3:$AW$3,J$4)</f>
        <v>1170.8024</v>
      </c>
      <c r="K179" s="400">
        <f>J179-AE179-AF179</f>
        <v>799.91118000000006</v>
      </c>
      <c r="L179" s="400">
        <f t="shared" ref="L179:N179" si="70">SUMIFS($P179:$AW179,$P$3:$AW$3,L$4)</f>
        <v>486.83713</v>
      </c>
      <c r="M179" s="400">
        <f t="shared" si="70"/>
        <v>334.76251000000002</v>
      </c>
      <c r="N179" s="400">
        <f t="shared" si="70"/>
        <v>114.89324000000001</v>
      </c>
      <c r="O179" s="400"/>
      <c r="P179" s="400">
        <f t="shared" ref="P179:AW179" si="71">SUBTOTAL(9,P174:P178)</f>
        <v>55.836109999999998</v>
      </c>
      <c r="Q179" s="400">
        <f t="shared" si="71"/>
        <v>30.352200000000003</v>
      </c>
      <c r="R179" s="400">
        <f t="shared" si="71"/>
        <v>48.689639999999997</v>
      </c>
      <c r="S179" s="400">
        <f t="shared" si="71"/>
        <v>85.683730000000011</v>
      </c>
      <c r="T179" s="400">
        <f t="shared" si="71"/>
        <v>69.397570000000002</v>
      </c>
      <c r="U179" s="400">
        <f t="shared" si="71"/>
        <v>66.032130000000009</v>
      </c>
      <c r="V179" s="400">
        <f t="shared" si="71"/>
        <v>39.988810000000001</v>
      </c>
      <c r="W179" s="400">
        <f t="shared" si="71"/>
        <v>34.212709999999987</v>
      </c>
      <c r="X179" s="400">
        <f t="shared" si="71"/>
        <v>20.612270000000002</v>
      </c>
      <c r="Y179" s="400">
        <f t="shared" si="71"/>
        <v>32.519820000000003</v>
      </c>
      <c r="Z179" s="400">
        <f t="shared" si="71"/>
        <v>43.315159999999999</v>
      </c>
      <c r="AA179" s="400">
        <f t="shared" si="71"/>
        <v>28.926170000000003</v>
      </c>
      <c r="AB179" s="400">
        <f t="shared" si="71"/>
        <v>46.117930000000008</v>
      </c>
      <c r="AC179" s="400">
        <f t="shared" si="71"/>
        <v>101.43253999999999</v>
      </c>
      <c r="AD179" s="400">
        <f t="shared" si="71"/>
        <v>38.669470000000004</v>
      </c>
      <c r="AE179" s="400">
        <f t="shared" si="71"/>
        <v>228.48144999999997</v>
      </c>
      <c r="AF179" s="400">
        <f t="shared" si="71"/>
        <v>142.40977000000001</v>
      </c>
      <c r="AG179" s="400">
        <f t="shared" si="71"/>
        <v>58.124919999999989</v>
      </c>
      <c r="AH179" s="400">
        <f t="shared" si="71"/>
        <v>132.16070999999999</v>
      </c>
      <c r="AI179" s="400">
        <f t="shared" si="71"/>
        <v>57.148530000000001</v>
      </c>
      <c r="AJ179" s="400">
        <f t="shared" si="71"/>
        <v>34.9146</v>
      </c>
      <c r="AK179" s="400">
        <f t="shared" si="71"/>
        <v>31.618210000000001</v>
      </c>
      <c r="AL179" s="400">
        <f t="shared" si="71"/>
        <v>29.312690000000003</v>
      </c>
      <c r="AM179" s="400">
        <f t="shared" si="71"/>
        <v>55.350370000000005</v>
      </c>
      <c r="AN179" s="400">
        <f t="shared" si="71"/>
        <v>51.405929999999998</v>
      </c>
      <c r="AO179" s="400">
        <f t="shared" si="71"/>
        <v>76.797489999999996</v>
      </c>
      <c r="AP179" s="400">
        <f t="shared" si="71"/>
        <v>73.624119999999991</v>
      </c>
      <c r="AQ179" s="400">
        <f t="shared" si="71"/>
        <v>8.4289499999999986</v>
      </c>
      <c r="AR179" s="400">
        <f t="shared" si="71"/>
        <v>96.448719999999994</v>
      </c>
      <c r="AS179" s="400">
        <f t="shared" si="71"/>
        <v>37.4544</v>
      </c>
      <c r="AT179" s="400">
        <f t="shared" si="71"/>
        <v>45.907649999999997</v>
      </c>
      <c r="AU179" s="400">
        <f t="shared" si="71"/>
        <v>74.356309999999993</v>
      </c>
      <c r="AV179" s="400">
        <f t="shared" si="71"/>
        <v>82.248440000000002</v>
      </c>
      <c r="AW179" s="400">
        <f t="shared" si="71"/>
        <v>114.89324000000001</v>
      </c>
    </row>
    <row r="180" spans="1:49" ht="15.75" hidden="1" customHeight="1" outlineLevel="1">
      <c r="H180" s="396" t="s">
        <v>2292</v>
      </c>
      <c r="I180" s="396"/>
      <c r="J180" s="397"/>
      <c r="K180" s="397"/>
      <c r="L180" s="397"/>
      <c r="M180" s="397"/>
      <c r="N180" s="397"/>
      <c r="O180" s="397"/>
      <c r="P180" s="397">
        <v>10.09591</v>
      </c>
      <c r="Q180" s="397">
        <v>6.20716</v>
      </c>
      <c r="R180" s="397">
        <v>6.5008699999999999</v>
      </c>
      <c r="S180" s="397">
        <v>12.44862</v>
      </c>
      <c r="T180" s="397">
        <v>18.273489999999999</v>
      </c>
      <c r="U180" s="397">
        <v>11.940110000000001</v>
      </c>
      <c r="V180" s="397">
        <v>21.039729999999999</v>
      </c>
      <c r="W180" s="397">
        <v>10.031519999999999</v>
      </c>
      <c r="X180" s="397">
        <v>10.182450000000001</v>
      </c>
      <c r="Y180" s="397">
        <v>6.4526000000000003</v>
      </c>
      <c r="Z180" s="397">
        <v>7.81107</v>
      </c>
      <c r="AA180" s="397">
        <v>5.675650000000001</v>
      </c>
      <c r="AB180" s="397">
        <v>8.0171399999999995</v>
      </c>
      <c r="AC180" s="397">
        <v>13.75117</v>
      </c>
      <c r="AD180" s="397">
        <v>11.282210000000001</v>
      </c>
      <c r="AE180" s="397">
        <v>40.687239999999996</v>
      </c>
      <c r="AF180" s="397">
        <v>14.200869999999998</v>
      </c>
      <c r="AG180" s="397">
        <v>10.900569999999997</v>
      </c>
      <c r="AH180" s="397">
        <v>17.99258</v>
      </c>
      <c r="AI180" s="397">
        <v>11.020769999999999</v>
      </c>
      <c r="AJ180" s="397">
        <v>0.35125000000000001</v>
      </c>
      <c r="AK180" s="397">
        <v>4.6842499999999996</v>
      </c>
      <c r="AL180" s="397">
        <v>10.18852</v>
      </c>
      <c r="AM180" s="397">
        <v>11.775420000000002</v>
      </c>
      <c r="AN180" s="397">
        <v>7.7196100000000012</v>
      </c>
      <c r="AO180" s="397">
        <v>18.260669999999998</v>
      </c>
      <c r="AP180" s="397">
        <v>17.20243</v>
      </c>
      <c r="AQ180" s="397">
        <v>2.39656</v>
      </c>
      <c r="AR180" s="397">
        <v>9.8422200000000011</v>
      </c>
      <c r="AS180" s="397">
        <v>12.508769999999995</v>
      </c>
      <c r="AT180" s="397">
        <v>12.551409999999999</v>
      </c>
      <c r="AU180" s="397">
        <v>24.983669999999996</v>
      </c>
      <c r="AV180" s="397">
        <v>47.264620000000001</v>
      </c>
      <c r="AW180" s="397">
        <v>44.073060000000005</v>
      </c>
    </row>
    <row r="181" spans="1:49" ht="15.75" hidden="1" customHeight="1" outlineLevel="1">
      <c r="H181" s="396" t="s">
        <v>1274</v>
      </c>
      <c r="I181" s="396"/>
      <c r="J181" s="397"/>
      <c r="K181" s="397"/>
      <c r="L181" s="397"/>
      <c r="M181" s="397"/>
      <c r="N181" s="397"/>
      <c r="O181" s="397"/>
      <c r="P181" s="397">
        <v>1.7245899999999996</v>
      </c>
      <c r="Q181" s="397">
        <v>0.30113000000000006</v>
      </c>
      <c r="R181" s="397">
        <v>0.52622999999999998</v>
      </c>
      <c r="S181" s="397">
        <v>0.57938000000000001</v>
      </c>
      <c r="T181" s="397">
        <v>2.5615699999999997</v>
      </c>
      <c r="U181" s="397">
        <v>0.80706999999999995</v>
      </c>
      <c r="V181" s="397">
        <v>1.1711800000000001</v>
      </c>
      <c r="W181" s="397">
        <v>0.68181999999999998</v>
      </c>
      <c r="X181" s="397">
        <v>0.65492000000000006</v>
      </c>
      <c r="Y181" s="397">
        <v>0.93996000000000002</v>
      </c>
      <c r="Z181" s="397">
        <v>0.24618000000000001</v>
      </c>
      <c r="AA181" s="397">
        <v>0.80776999999999999</v>
      </c>
      <c r="AB181" s="397">
        <v>0.71635000000000015</v>
      </c>
      <c r="AC181" s="397">
        <v>1.5438799999999999</v>
      </c>
      <c r="AD181" s="397">
        <v>1.2111099999999999</v>
      </c>
      <c r="AE181" s="397">
        <v>5.1582299999999996</v>
      </c>
      <c r="AF181" s="397">
        <v>4.3444599999999998</v>
      </c>
      <c r="AG181" s="397">
        <v>1.2766400000000002</v>
      </c>
      <c r="AH181" s="397">
        <v>3.0221300000000002</v>
      </c>
      <c r="AI181" s="397">
        <v>1.5249599999999999</v>
      </c>
      <c r="AJ181" s="397">
        <v>0.45655000000000007</v>
      </c>
      <c r="AK181" s="397">
        <v>0.90243000000000007</v>
      </c>
      <c r="AL181" s="397">
        <v>1.50461</v>
      </c>
      <c r="AM181" s="397">
        <v>2.0298499999999997</v>
      </c>
      <c r="AN181" s="397">
        <v>2.1234500000000001</v>
      </c>
      <c r="AO181" s="397">
        <v>2.33419</v>
      </c>
      <c r="AP181" s="397">
        <v>2.3727799999999997</v>
      </c>
      <c r="AQ181" s="397">
        <v>0.16833000000000001</v>
      </c>
      <c r="AR181" s="397">
        <v>6.1291600000000006</v>
      </c>
      <c r="AS181" s="397">
        <v>0.51878999999999997</v>
      </c>
      <c r="AT181" s="397">
        <v>0.82577000000000012</v>
      </c>
      <c r="AU181" s="397">
        <v>1.6503099999999999</v>
      </c>
      <c r="AV181" s="397">
        <v>3.1883700000000004</v>
      </c>
      <c r="AW181" s="397">
        <v>3.3958400000000002</v>
      </c>
    </row>
    <row r="182" spans="1:49" ht="15.75" hidden="1" customHeight="1" outlineLevel="1">
      <c r="H182" s="396" t="s">
        <v>2293</v>
      </c>
      <c r="I182" s="396"/>
      <c r="J182" s="397"/>
      <c r="K182" s="397"/>
      <c r="L182" s="397"/>
      <c r="M182" s="397"/>
      <c r="N182" s="397"/>
      <c r="O182" s="397"/>
      <c r="P182" s="397">
        <v>2.129E-2</v>
      </c>
      <c r="Q182" s="397">
        <v>7.77E-3</v>
      </c>
      <c r="R182" s="397">
        <v>9.75E-3</v>
      </c>
      <c r="S182" s="397">
        <v>9.859999999999999E-3</v>
      </c>
      <c r="T182" s="397">
        <v>3.4390000000000004E-2</v>
      </c>
      <c r="U182" s="397">
        <v>1.093E-2</v>
      </c>
      <c r="V182" s="397">
        <v>2.571E-2</v>
      </c>
      <c r="W182" s="397">
        <v>2.1069999999999998E-2</v>
      </c>
      <c r="X182" s="397">
        <v>0</v>
      </c>
      <c r="Y182" s="397">
        <v>6.7099999999999998E-3</v>
      </c>
      <c r="Z182" s="397">
        <v>2.3700000000000001E-3</v>
      </c>
      <c r="AA182" s="397">
        <v>6.9499999999999996E-3</v>
      </c>
      <c r="AB182" s="397">
        <v>1.1280000000000002E-2</v>
      </c>
      <c r="AC182" s="397">
        <v>3.1310000000000004E-2</v>
      </c>
      <c r="AD182" s="397">
        <v>1.704E-2</v>
      </c>
      <c r="AE182" s="397">
        <v>0.12013</v>
      </c>
      <c r="AF182" s="397">
        <v>1.7090000000000001E-2</v>
      </c>
      <c r="AG182" s="397">
        <v>7.6500000000000005E-3</v>
      </c>
      <c r="AH182" s="397">
        <v>0.27109</v>
      </c>
      <c r="AI182" s="397">
        <v>0.50693999999999995</v>
      </c>
      <c r="AJ182" s="397">
        <v>0</v>
      </c>
      <c r="AK182" s="397">
        <v>3.9259999999999996E-2</v>
      </c>
      <c r="AL182" s="397">
        <v>0.33982999999999997</v>
      </c>
      <c r="AM182" s="397">
        <v>0.18321999999999999</v>
      </c>
      <c r="AN182" s="397">
        <v>0.18684000000000001</v>
      </c>
      <c r="AO182" s="397">
        <v>6.4829999999999999E-2</v>
      </c>
      <c r="AP182" s="397">
        <v>1.1319999999999998E-2</v>
      </c>
      <c r="AQ182" s="397">
        <v>0</v>
      </c>
      <c r="AR182" s="397">
        <v>2.0119999999999999E-2</v>
      </c>
      <c r="AS182" s="397">
        <v>3.3070000000000002E-2</v>
      </c>
      <c r="AT182" s="397">
        <v>1.504E-2</v>
      </c>
      <c r="AU182" s="397">
        <v>2.103E-2</v>
      </c>
      <c r="AV182" s="397">
        <v>6.0819999999999999E-2</v>
      </c>
      <c r="AW182" s="397">
        <v>1.20669</v>
      </c>
    </row>
    <row r="183" spans="1:49" ht="15.75" customHeight="1" collapsed="1">
      <c r="A183" s="3" t="s">
        <v>170</v>
      </c>
      <c r="H183" s="399" t="s">
        <v>170</v>
      </c>
      <c r="I183" s="399"/>
      <c r="J183" s="400">
        <f>SUMIFS($P183:$AW183,$P$3:$AW$3,J$4)</f>
        <v>251.11214999999999</v>
      </c>
      <c r="K183" s="400">
        <f>J183-AE183-AF183</f>
        <v>186.58412999999999</v>
      </c>
      <c r="L183" s="400">
        <f t="shared" ref="L183:N183" si="72">SUMIFS($P183:$AW183,$P$3:$AW$3,L$4)</f>
        <v>159.85938999999999</v>
      </c>
      <c r="M183" s="400">
        <f t="shared" si="72"/>
        <v>63.770889999999994</v>
      </c>
      <c r="N183" s="400">
        <f t="shared" si="72"/>
        <v>48.675590000000007</v>
      </c>
      <c r="O183" s="400"/>
      <c r="P183" s="400">
        <f t="shared" ref="P183:AW183" si="73">SUBTOTAL(9,P180:P182)</f>
        <v>11.84179</v>
      </c>
      <c r="Q183" s="400">
        <f t="shared" si="73"/>
        <v>6.5160599999999995</v>
      </c>
      <c r="R183" s="400">
        <f t="shared" si="73"/>
        <v>7.0368500000000003</v>
      </c>
      <c r="S183" s="400">
        <f t="shared" si="73"/>
        <v>13.03786</v>
      </c>
      <c r="T183" s="400">
        <f t="shared" si="73"/>
        <v>20.869449999999997</v>
      </c>
      <c r="U183" s="400">
        <f t="shared" si="73"/>
        <v>12.75811</v>
      </c>
      <c r="V183" s="400">
        <f t="shared" si="73"/>
        <v>22.236619999999998</v>
      </c>
      <c r="W183" s="400">
        <f t="shared" si="73"/>
        <v>10.734409999999999</v>
      </c>
      <c r="X183" s="400">
        <f t="shared" si="73"/>
        <v>10.837370000000002</v>
      </c>
      <c r="Y183" s="400">
        <f t="shared" si="73"/>
        <v>7.3992700000000005</v>
      </c>
      <c r="Z183" s="400">
        <f t="shared" si="73"/>
        <v>8.0596200000000007</v>
      </c>
      <c r="AA183" s="400">
        <f t="shared" si="73"/>
        <v>6.4903700000000004</v>
      </c>
      <c r="AB183" s="400">
        <f t="shared" si="73"/>
        <v>8.744769999999999</v>
      </c>
      <c r="AC183" s="400">
        <f t="shared" si="73"/>
        <v>15.326359999999999</v>
      </c>
      <c r="AD183" s="400">
        <f t="shared" si="73"/>
        <v>12.51036</v>
      </c>
      <c r="AE183" s="400">
        <f t="shared" si="73"/>
        <v>45.965599999999995</v>
      </c>
      <c r="AF183" s="400">
        <f t="shared" si="73"/>
        <v>18.562419999999999</v>
      </c>
      <c r="AG183" s="400">
        <f t="shared" si="73"/>
        <v>12.184859999999997</v>
      </c>
      <c r="AH183" s="400">
        <f t="shared" si="73"/>
        <v>21.285800000000002</v>
      </c>
      <c r="AI183" s="400">
        <f t="shared" si="73"/>
        <v>13.052669999999999</v>
      </c>
      <c r="AJ183" s="400">
        <f t="shared" si="73"/>
        <v>0.80780000000000007</v>
      </c>
      <c r="AK183" s="400">
        <f t="shared" si="73"/>
        <v>5.6259399999999991</v>
      </c>
      <c r="AL183" s="400">
        <f t="shared" si="73"/>
        <v>12.032959999999999</v>
      </c>
      <c r="AM183" s="400">
        <f t="shared" si="73"/>
        <v>13.988490000000002</v>
      </c>
      <c r="AN183" s="400">
        <f t="shared" si="73"/>
        <v>10.029900000000001</v>
      </c>
      <c r="AO183" s="400">
        <f t="shared" si="73"/>
        <v>20.659689999999998</v>
      </c>
      <c r="AP183" s="400">
        <f t="shared" si="73"/>
        <v>19.58653</v>
      </c>
      <c r="AQ183" s="400">
        <f t="shared" si="73"/>
        <v>2.5648900000000001</v>
      </c>
      <c r="AR183" s="400">
        <f t="shared" si="73"/>
        <v>15.991500000000002</v>
      </c>
      <c r="AS183" s="400">
        <f t="shared" si="73"/>
        <v>13.060629999999994</v>
      </c>
      <c r="AT183" s="400">
        <f t="shared" si="73"/>
        <v>13.39222</v>
      </c>
      <c r="AU183" s="400">
        <f t="shared" si="73"/>
        <v>26.655009999999997</v>
      </c>
      <c r="AV183" s="400">
        <f t="shared" si="73"/>
        <v>50.513809999999999</v>
      </c>
      <c r="AW183" s="400">
        <f t="shared" si="73"/>
        <v>48.675590000000007</v>
      </c>
    </row>
    <row r="184" spans="1:49" ht="15.75" hidden="1" customHeight="1" outlineLevel="1">
      <c r="H184" s="396" t="s">
        <v>2294</v>
      </c>
      <c r="I184" s="396"/>
      <c r="J184" s="397"/>
      <c r="K184" s="397"/>
      <c r="L184" s="397"/>
      <c r="M184" s="397"/>
      <c r="N184" s="397"/>
      <c r="O184" s="397"/>
      <c r="P184" s="397">
        <v>1.2603</v>
      </c>
      <c r="Q184" s="397">
        <v>1.2784200000000001</v>
      </c>
      <c r="R184" s="397">
        <v>1.0723100000000001</v>
      </c>
      <c r="S184" s="397">
        <v>0.89231999999999989</v>
      </c>
      <c r="T184" s="397">
        <v>1.0136800000000001</v>
      </c>
      <c r="U184" s="397">
        <v>1.2862199999999999</v>
      </c>
      <c r="V184" s="397">
        <v>1.3418899999999998</v>
      </c>
      <c r="W184" s="397">
        <v>1.1755599999999999</v>
      </c>
      <c r="X184" s="397">
        <v>0</v>
      </c>
      <c r="Y184" s="397">
        <v>1.0186500000000001</v>
      </c>
      <c r="Z184" s="397">
        <v>0.99336999999999986</v>
      </c>
      <c r="AA184" s="397">
        <v>0.91024000000000005</v>
      </c>
      <c r="AB184" s="397">
        <v>0.73892000000000002</v>
      </c>
      <c r="AC184" s="397">
        <v>1.2229399999999999</v>
      </c>
      <c r="AD184" s="397">
        <v>1.2719099999999999</v>
      </c>
      <c r="AE184" s="397">
        <v>2.4994699999999996</v>
      </c>
      <c r="AF184" s="397">
        <v>1.2616800000000001</v>
      </c>
      <c r="AG184" s="397">
        <v>1.2567600000000003</v>
      </c>
      <c r="AH184" s="397">
        <v>3.1380599999999998</v>
      </c>
      <c r="AI184" s="397">
        <v>1.7692599999999998</v>
      </c>
      <c r="AJ184" s="397">
        <v>0.55252000000000001</v>
      </c>
      <c r="AK184" s="397">
        <v>1.6459299999999999</v>
      </c>
      <c r="AL184" s="397">
        <v>2.3778699999999997</v>
      </c>
      <c r="AM184" s="397">
        <v>2.60684</v>
      </c>
      <c r="AN184" s="397">
        <v>1.29203</v>
      </c>
      <c r="AO184" s="397">
        <v>1.0178499999999999</v>
      </c>
      <c r="AP184" s="397">
        <v>1.6563400000000001</v>
      </c>
      <c r="AQ184" s="397">
        <v>0.57380999999999993</v>
      </c>
      <c r="AR184" s="397">
        <v>1.3481399999999999</v>
      </c>
      <c r="AS184" s="397">
        <v>1.0722799999999999</v>
      </c>
      <c r="AT184" s="397">
        <v>1.64808</v>
      </c>
      <c r="AU184" s="397">
        <v>1.78373</v>
      </c>
      <c r="AV184" s="397">
        <v>3.2255499999999997</v>
      </c>
      <c r="AW184" s="397">
        <v>7.4565900000000003</v>
      </c>
    </row>
    <row r="185" spans="1:49" ht="15.75" hidden="1" customHeight="1" outlineLevel="1">
      <c r="H185" s="396" t="s">
        <v>2295</v>
      </c>
      <c r="I185" s="396"/>
      <c r="J185" s="397"/>
      <c r="K185" s="397"/>
      <c r="L185" s="397"/>
      <c r="M185" s="397"/>
      <c r="N185" s="397"/>
      <c r="O185" s="397"/>
      <c r="P185" s="397">
        <v>0</v>
      </c>
      <c r="Q185" s="397">
        <v>0</v>
      </c>
      <c r="R185" s="397">
        <v>0</v>
      </c>
      <c r="S185" s="397">
        <v>0</v>
      </c>
      <c r="T185" s="397">
        <v>0</v>
      </c>
      <c r="U185" s="397">
        <v>0</v>
      </c>
      <c r="V185" s="397">
        <v>0</v>
      </c>
      <c r="W185" s="397">
        <v>0</v>
      </c>
      <c r="X185" s="397">
        <v>0</v>
      </c>
      <c r="Y185" s="397">
        <v>0</v>
      </c>
      <c r="Z185" s="397">
        <v>9.7300000000000008E-3</v>
      </c>
      <c r="AA185" s="397">
        <v>0</v>
      </c>
      <c r="AB185" s="397">
        <v>0</v>
      </c>
      <c r="AC185" s="397">
        <v>0</v>
      </c>
      <c r="AD185" s="397">
        <v>0.23566000000000001</v>
      </c>
      <c r="AE185" s="397">
        <v>0.16177</v>
      </c>
      <c r="AF185" s="397">
        <v>0</v>
      </c>
      <c r="AG185" s="397">
        <v>9.9129999999999996E-2</v>
      </c>
      <c r="AH185" s="397">
        <v>0</v>
      </c>
      <c r="AI185" s="397">
        <v>0</v>
      </c>
      <c r="AJ185" s="397">
        <v>0</v>
      </c>
      <c r="AK185" s="397">
        <v>0</v>
      </c>
      <c r="AL185" s="397">
        <v>0</v>
      </c>
      <c r="AM185" s="397">
        <v>0</v>
      </c>
      <c r="AN185" s="397">
        <v>0</v>
      </c>
      <c r="AO185" s="397">
        <v>0</v>
      </c>
      <c r="AP185" s="397">
        <v>0</v>
      </c>
      <c r="AQ185" s="397">
        <v>0</v>
      </c>
      <c r="AR185" s="397">
        <v>0</v>
      </c>
      <c r="AS185" s="397">
        <v>0</v>
      </c>
      <c r="AT185" s="397">
        <v>0</v>
      </c>
      <c r="AU185" s="397">
        <v>0</v>
      </c>
      <c r="AV185" s="397">
        <v>0</v>
      </c>
      <c r="AW185" s="397">
        <v>0</v>
      </c>
    </row>
    <row r="186" spans="1:49" ht="15.75" customHeight="1" collapsed="1">
      <c r="A186" s="3" t="s">
        <v>171</v>
      </c>
      <c r="H186" s="399" t="s">
        <v>171</v>
      </c>
      <c r="I186" s="399"/>
      <c r="J186" s="400">
        <f>SUMIFS($P186:$AW186,$P$3:$AW$3,J$4)</f>
        <v>21.00093</v>
      </c>
      <c r="K186" s="400">
        <f>J186-AE186-AF186</f>
        <v>17.078009999999999</v>
      </c>
      <c r="L186" s="400">
        <f t="shared" ref="L186:N186" si="74">SUMIFS($P186:$AW186,$P$3:$AW$3,L$4)</f>
        <v>11.75197</v>
      </c>
      <c r="M186" s="400">
        <f t="shared" si="74"/>
        <v>11.613250000000001</v>
      </c>
      <c r="N186" s="400">
        <f t="shared" si="74"/>
        <v>7.4565900000000003</v>
      </c>
      <c r="O186" s="400"/>
      <c r="P186" s="400">
        <f t="shared" ref="P186:AW186" si="75">SUBTOTAL(9,P184:P185)</f>
        <v>1.2603</v>
      </c>
      <c r="Q186" s="400">
        <f t="shared" si="75"/>
        <v>1.2784200000000001</v>
      </c>
      <c r="R186" s="400">
        <f t="shared" si="75"/>
        <v>1.0723100000000001</v>
      </c>
      <c r="S186" s="400">
        <f t="shared" si="75"/>
        <v>0.89231999999999989</v>
      </c>
      <c r="T186" s="400">
        <f t="shared" si="75"/>
        <v>1.0136800000000001</v>
      </c>
      <c r="U186" s="400">
        <f t="shared" si="75"/>
        <v>1.2862199999999999</v>
      </c>
      <c r="V186" s="400">
        <f t="shared" si="75"/>
        <v>1.3418899999999998</v>
      </c>
      <c r="W186" s="400">
        <f t="shared" si="75"/>
        <v>1.1755599999999999</v>
      </c>
      <c r="X186" s="400">
        <f t="shared" si="75"/>
        <v>0</v>
      </c>
      <c r="Y186" s="400">
        <f t="shared" si="75"/>
        <v>1.0186500000000001</v>
      </c>
      <c r="Z186" s="400">
        <f t="shared" si="75"/>
        <v>1.0030999999999999</v>
      </c>
      <c r="AA186" s="400">
        <f t="shared" si="75"/>
        <v>0.91024000000000005</v>
      </c>
      <c r="AB186" s="400">
        <f t="shared" si="75"/>
        <v>0.73892000000000002</v>
      </c>
      <c r="AC186" s="400">
        <f t="shared" si="75"/>
        <v>1.2229399999999999</v>
      </c>
      <c r="AD186" s="400">
        <f t="shared" si="75"/>
        <v>1.5075699999999999</v>
      </c>
      <c r="AE186" s="400">
        <f t="shared" si="75"/>
        <v>2.6612399999999998</v>
      </c>
      <c r="AF186" s="400">
        <f t="shared" si="75"/>
        <v>1.2616800000000001</v>
      </c>
      <c r="AG186" s="400">
        <f t="shared" si="75"/>
        <v>1.3558900000000003</v>
      </c>
      <c r="AH186" s="400">
        <f t="shared" si="75"/>
        <v>3.1380599999999998</v>
      </c>
      <c r="AI186" s="400">
        <f t="shared" si="75"/>
        <v>1.7692599999999998</v>
      </c>
      <c r="AJ186" s="400">
        <f t="shared" si="75"/>
        <v>0.55252000000000001</v>
      </c>
      <c r="AK186" s="400">
        <f t="shared" si="75"/>
        <v>1.6459299999999999</v>
      </c>
      <c r="AL186" s="400">
        <f t="shared" si="75"/>
        <v>2.3778699999999997</v>
      </c>
      <c r="AM186" s="400">
        <f t="shared" si="75"/>
        <v>2.60684</v>
      </c>
      <c r="AN186" s="400">
        <f t="shared" si="75"/>
        <v>1.29203</v>
      </c>
      <c r="AO186" s="400">
        <f t="shared" si="75"/>
        <v>1.0178499999999999</v>
      </c>
      <c r="AP186" s="400">
        <f t="shared" si="75"/>
        <v>1.6563400000000001</v>
      </c>
      <c r="AQ186" s="400">
        <f t="shared" si="75"/>
        <v>0.57380999999999993</v>
      </c>
      <c r="AR186" s="400">
        <f t="shared" si="75"/>
        <v>1.3481399999999999</v>
      </c>
      <c r="AS186" s="400">
        <f t="shared" si="75"/>
        <v>1.0722799999999999</v>
      </c>
      <c r="AT186" s="400">
        <f t="shared" si="75"/>
        <v>1.64808</v>
      </c>
      <c r="AU186" s="400">
        <f t="shared" si="75"/>
        <v>1.78373</v>
      </c>
      <c r="AV186" s="400">
        <f t="shared" si="75"/>
        <v>3.2255499999999997</v>
      </c>
      <c r="AW186" s="400">
        <f t="shared" si="75"/>
        <v>7.4565900000000003</v>
      </c>
    </row>
    <row r="187" spans="1:49" ht="15.75" hidden="1" customHeight="1" outlineLevel="1">
      <c r="H187" s="396" t="s">
        <v>2296</v>
      </c>
      <c r="I187" s="396"/>
      <c r="J187" s="397"/>
      <c r="K187" s="397"/>
      <c r="L187" s="397"/>
      <c r="M187" s="397"/>
      <c r="N187" s="397"/>
      <c r="O187" s="397"/>
      <c r="P187" s="397">
        <v>5.6592000000000002</v>
      </c>
      <c r="Q187" s="397">
        <v>1.58158</v>
      </c>
      <c r="R187" s="397">
        <v>4.7493500000000006</v>
      </c>
      <c r="S187" s="397">
        <v>1.98132</v>
      </c>
      <c r="T187" s="397">
        <v>6.0460599999999998</v>
      </c>
      <c r="U187" s="397">
        <v>3.0711499999999998</v>
      </c>
      <c r="V187" s="397">
        <v>10.96529</v>
      </c>
      <c r="W187" s="397">
        <v>4.1513700000000009</v>
      </c>
      <c r="X187" s="397">
        <v>0</v>
      </c>
      <c r="Y187" s="397">
        <v>2.6731800000000003</v>
      </c>
      <c r="Z187" s="397">
        <v>0.93665999999999983</v>
      </c>
      <c r="AA187" s="397">
        <v>2.0736400000000001</v>
      </c>
      <c r="AB187" s="397">
        <v>2.1133299999999995</v>
      </c>
      <c r="AC187" s="397">
        <v>3.7613400000000001</v>
      </c>
      <c r="AD187" s="397">
        <v>2.20038</v>
      </c>
      <c r="AE187" s="397">
        <v>20.368919999999999</v>
      </c>
      <c r="AF187" s="397">
        <v>0.76488</v>
      </c>
      <c r="AG187" s="397">
        <v>1.0453800000000002</v>
      </c>
      <c r="AH187" s="397">
        <v>1.5428000000000002</v>
      </c>
      <c r="AI187" s="397">
        <v>1.5367000000000002</v>
      </c>
      <c r="AJ187" s="397">
        <v>0</v>
      </c>
      <c r="AK187" s="397">
        <v>0.53725000000000001</v>
      </c>
      <c r="AL187" s="397">
        <v>0.66434000000000004</v>
      </c>
      <c r="AM187" s="397">
        <v>0.48055000000000009</v>
      </c>
      <c r="AN187" s="397">
        <v>0.23506000000000002</v>
      </c>
      <c r="AO187" s="397">
        <v>1.28382</v>
      </c>
      <c r="AP187" s="397">
        <v>1.0685500000000001</v>
      </c>
      <c r="AQ187" s="397">
        <v>3.2000000000000003E-4</v>
      </c>
      <c r="AR187" s="397">
        <v>0.73602000000000001</v>
      </c>
      <c r="AS187" s="397">
        <v>0.19006999999999999</v>
      </c>
      <c r="AT187" s="397">
        <v>1.0256400000000001</v>
      </c>
      <c r="AU187" s="397">
        <v>1.1449800000000001</v>
      </c>
      <c r="AV187" s="397">
        <v>4.2269600000000001</v>
      </c>
      <c r="AW187" s="397">
        <v>0.56818999999999997</v>
      </c>
    </row>
    <row r="188" spans="1:49" ht="15.75" hidden="1" customHeight="1" outlineLevel="1">
      <c r="H188" s="396" t="s">
        <v>2297</v>
      </c>
      <c r="I188" s="396"/>
      <c r="J188" s="397"/>
      <c r="K188" s="397"/>
      <c r="L188" s="397"/>
      <c r="M188" s="397"/>
      <c r="N188" s="397"/>
      <c r="O188" s="397"/>
      <c r="P188" s="397">
        <v>2.56318</v>
      </c>
      <c r="Q188" s="397">
        <v>1.0543199999999999</v>
      </c>
      <c r="R188" s="397">
        <v>1.9983599999999999</v>
      </c>
      <c r="S188" s="397">
        <v>1.65194</v>
      </c>
      <c r="T188" s="397">
        <v>3.77257</v>
      </c>
      <c r="U188" s="397">
        <v>2.0833399999999997</v>
      </c>
      <c r="V188" s="397">
        <v>4.2033900000000006</v>
      </c>
      <c r="W188" s="397">
        <v>2.2661199999999999</v>
      </c>
      <c r="X188" s="397">
        <v>0</v>
      </c>
      <c r="Y188" s="397">
        <v>1.3868399999999999</v>
      </c>
      <c r="Z188" s="397">
        <v>0.89025999999999994</v>
      </c>
      <c r="AA188" s="397">
        <v>0.99763000000000013</v>
      </c>
      <c r="AB188" s="397">
        <v>1.6255800000000002</v>
      </c>
      <c r="AC188" s="397">
        <v>2.6396500000000001</v>
      </c>
      <c r="AD188" s="397">
        <v>2.3468200000000001</v>
      </c>
      <c r="AE188" s="397">
        <v>9.0346700000000002</v>
      </c>
      <c r="AF188" s="397">
        <v>1.4015900000000001</v>
      </c>
      <c r="AG188" s="397">
        <v>1.2517799999999997</v>
      </c>
      <c r="AH188" s="397">
        <v>7.7289200000000013</v>
      </c>
      <c r="AI188" s="397">
        <v>5.8089099999999982</v>
      </c>
      <c r="AJ188" s="397">
        <v>0</v>
      </c>
      <c r="AK188" s="397">
        <v>2.8857499999999998</v>
      </c>
      <c r="AL188" s="397">
        <v>3.6615700000000002</v>
      </c>
      <c r="AM188" s="397">
        <v>4.4285599999999992</v>
      </c>
      <c r="AN188" s="397">
        <v>1.8454099999999996</v>
      </c>
      <c r="AO188" s="397">
        <v>4.2134099999999988</v>
      </c>
      <c r="AP188" s="397">
        <v>3.5138200000000008</v>
      </c>
      <c r="AQ188" s="397">
        <v>4.1540000000000001E-2</v>
      </c>
      <c r="AR188" s="397">
        <v>2.5853299999999999</v>
      </c>
      <c r="AS188" s="397">
        <v>0.91583999999999988</v>
      </c>
      <c r="AT188" s="397">
        <v>3.3185799999999994</v>
      </c>
      <c r="AU188" s="397">
        <v>4.43492</v>
      </c>
      <c r="AV188" s="397">
        <v>11.058769999999999</v>
      </c>
      <c r="AW188" s="397">
        <v>1.73403</v>
      </c>
    </row>
    <row r="189" spans="1:49" ht="15.75" hidden="1" customHeight="1" outlineLevel="1">
      <c r="H189" s="396" t="s">
        <v>2298</v>
      </c>
      <c r="I189" s="396"/>
      <c r="J189" s="397"/>
      <c r="K189" s="397"/>
      <c r="L189" s="397"/>
      <c r="M189" s="397"/>
      <c r="N189" s="397"/>
      <c r="O189" s="397"/>
      <c r="P189" s="397">
        <v>0.56498000000000004</v>
      </c>
      <c r="Q189" s="397">
        <v>0.44056000000000001</v>
      </c>
      <c r="R189" s="397">
        <v>0.39429999999999993</v>
      </c>
      <c r="S189" s="397">
        <v>0.86429000000000011</v>
      </c>
      <c r="T189" s="397">
        <v>0.93054000000000003</v>
      </c>
      <c r="U189" s="397">
        <v>1.0109999999999999</v>
      </c>
      <c r="V189" s="397">
        <v>0.99228000000000005</v>
      </c>
      <c r="W189" s="397">
        <v>1.1255899999999999</v>
      </c>
      <c r="X189" s="397">
        <v>0</v>
      </c>
      <c r="Y189" s="397">
        <v>0.28981999999999991</v>
      </c>
      <c r="Z189" s="397">
        <v>0.46325999999999995</v>
      </c>
      <c r="AA189" s="397">
        <v>0.21632999999999999</v>
      </c>
      <c r="AB189" s="397">
        <v>0.31219999999999992</v>
      </c>
      <c r="AC189" s="397">
        <v>0.64481000000000011</v>
      </c>
      <c r="AD189" s="397">
        <v>0.59984000000000004</v>
      </c>
      <c r="AE189" s="397">
        <v>2.8045600000000004</v>
      </c>
      <c r="AF189" s="397">
        <v>0.14473</v>
      </c>
      <c r="AG189" s="397">
        <v>0.25596000000000002</v>
      </c>
      <c r="AH189" s="397">
        <v>0.27301999999999998</v>
      </c>
      <c r="AI189" s="397">
        <v>0.23188999999999996</v>
      </c>
      <c r="AJ189" s="397">
        <v>0.17852999999999999</v>
      </c>
      <c r="AK189" s="397">
        <v>0.13969999999999999</v>
      </c>
      <c r="AL189" s="397">
        <v>0.18085000000000001</v>
      </c>
      <c r="AM189" s="397">
        <v>0.22456000000000001</v>
      </c>
      <c r="AN189" s="397">
        <v>0.12162999999999999</v>
      </c>
      <c r="AO189" s="397">
        <v>0.33963000000000004</v>
      </c>
      <c r="AP189" s="397">
        <v>0.26824999999999999</v>
      </c>
      <c r="AQ189" s="397">
        <v>1.6000000000000001E-4</v>
      </c>
      <c r="AR189" s="397">
        <v>0.24010000000000001</v>
      </c>
      <c r="AS189" s="397">
        <v>3.465E-2</v>
      </c>
      <c r="AT189" s="397">
        <v>0.31118000000000001</v>
      </c>
      <c r="AU189" s="397">
        <v>0.32807999999999993</v>
      </c>
      <c r="AV189" s="397">
        <v>0.81197000000000008</v>
      </c>
      <c r="AW189" s="397">
        <v>7.9239999999999991E-2</v>
      </c>
    </row>
    <row r="190" spans="1:49" ht="15.75" hidden="1" customHeight="1" outlineLevel="1">
      <c r="H190" s="396" t="s">
        <v>354</v>
      </c>
      <c r="I190" s="396"/>
      <c r="J190" s="397"/>
      <c r="K190" s="397"/>
      <c r="L190" s="397"/>
      <c r="M190" s="397"/>
      <c r="N190" s="397"/>
      <c r="O190" s="397"/>
      <c r="P190" s="397">
        <v>0</v>
      </c>
      <c r="Q190" s="397">
        <v>0</v>
      </c>
      <c r="R190" s="397">
        <v>0</v>
      </c>
      <c r="S190" s="397">
        <v>0</v>
      </c>
      <c r="T190" s="397">
        <v>0</v>
      </c>
      <c r="U190" s="397">
        <v>0</v>
      </c>
      <c r="V190" s="397">
        <v>0</v>
      </c>
      <c r="W190" s="397">
        <v>0</v>
      </c>
      <c r="X190" s="397">
        <v>0</v>
      </c>
      <c r="Y190" s="397">
        <v>0</v>
      </c>
      <c r="Z190" s="397">
        <v>0</v>
      </c>
      <c r="AA190" s="397">
        <v>0</v>
      </c>
      <c r="AB190" s="397">
        <v>0</v>
      </c>
      <c r="AC190" s="397">
        <v>0</v>
      </c>
      <c r="AD190" s="397">
        <v>0</v>
      </c>
      <c r="AE190" s="397">
        <v>0</v>
      </c>
      <c r="AF190" s="397">
        <v>0</v>
      </c>
      <c r="AG190" s="397">
        <v>0</v>
      </c>
      <c r="AH190" s="397">
        <v>0</v>
      </c>
      <c r="AI190" s="397">
        <v>0</v>
      </c>
      <c r="AJ190" s="397">
        <v>0</v>
      </c>
      <c r="AK190" s="397">
        <v>0</v>
      </c>
      <c r="AL190" s="397">
        <v>0</v>
      </c>
      <c r="AM190" s="397">
        <v>0</v>
      </c>
      <c r="AN190" s="397">
        <v>0</v>
      </c>
      <c r="AO190" s="397">
        <v>0</v>
      </c>
      <c r="AP190" s="397">
        <v>0</v>
      </c>
      <c r="AQ190" s="397">
        <v>0</v>
      </c>
      <c r="AR190" s="397">
        <v>0</v>
      </c>
      <c r="AS190" s="397">
        <v>0</v>
      </c>
      <c r="AT190" s="397">
        <v>0</v>
      </c>
      <c r="AU190" s="397">
        <v>0</v>
      </c>
      <c r="AV190" s="397">
        <v>0</v>
      </c>
      <c r="AW190" s="397">
        <v>0</v>
      </c>
    </row>
    <row r="191" spans="1:49" ht="15.75" customHeight="1" collapsed="1">
      <c r="A191" s="3" t="s">
        <v>172</v>
      </c>
      <c r="H191" s="399" t="s">
        <v>172</v>
      </c>
      <c r="I191" s="399"/>
      <c r="J191" s="400">
        <f>SUMIFS($P191:$AW191,$P$3:$AW$3,J$4)</f>
        <v>127.36612</v>
      </c>
      <c r="K191" s="400">
        <f>J191-AE191-AF191</f>
        <v>92.846769999999992</v>
      </c>
      <c r="L191" s="400">
        <f t="shared" ref="L191:N191" si="76">SUMIFS($P191:$AW191,$P$3:$AW$3,L$4)</f>
        <v>42.050569999999993</v>
      </c>
      <c r="M191" s="400">
        <f t="shared" si="76"/>
        <v>25.128500000000003</v>
      </c>
      <c r="N191" s="400">
        <f t="shared" si="76"/>
        <v>2.3814600000000001</v>
      </c>
      <c r="O191" s="400"/>
      <c r="P191" s="400">
        <f t="shared" ref="P191:AW191" si="77">SUBTOTAL(9,P187:P190)</f>
        <v>8.7873600000000014</v>
      </c>
      <c r="Q191" s="400">
        <f t="shared" si="77"/>
        <v>3.07646</v>
      </c>
      <c r="R191" s="400">
        <f t="shared" si="77"/>
        <v>7.1420100000000009</v>
      </c>
      <c r="S191" s="400">
        <f t="shared" si="77"/>
        <v>4.4975500000000004</v>
      </c>
      <c r="T191" s="400">
        <f t="shared" si="77"/>
        <v>10.749169999999999</v>
      </c>
      <c r="U191" s="400">
        <f t="shared" si="77"/>
        <v>6.1654899999999992</v>
      </c>
      <c r="V191" s="400">
        <f t="shared" si="77"/>
        <v>16.160959999999999</v>
      </c>
      <c r="W191" s="400">
        <f t="shared" si="77"/>
        <v>7.5430800000000007</v>
      </c>
      <c r="X191" s="400">
        <f t="shared" si="77"/>
        <v>0</v>
      </c>
      <c r="Y191" s="400">
        <f t="shared" si="77"/>
        <v>4.3498399999999995</v>
      </c>
      <c r="Z191" s="400">
        <f t="shared" si="77"/>
        <v>2.2901799999999999</v>
      </c>
      <c r="AA191" s="400">
        <f t="shared" si="77"/>
        <v>3.2876000000000003</v>
      </c>
      <c r="AB191" s="400">
        <f t="shared" si="77"/>
        <v>4.0511099999999995</v>
      </c>
      <c r="AC191" s="400">
        <f t="shared" si="77"/>
        <v>7.0457999999999998</v>
      </c>
      <c r="AD191" s="400">
        <f t="shared" si="77"/>
        <v>5.1470400000000005</v>
      </c>
      <c r="AE191" s="400">
        <f t="shared" si="77"/>
        <v>32.208150000000003</v>
      </c>
      <c r="AF191" s="400">
        <f t="shared" si="77"/>
        <v>2.3112000000000004</v>
      </c>
      <c r="AG191" s="400">
        <f t="shared" si="77"/>
        <v>2.5531199999999998</v>
      </c>
      <c r="AH191" s="400">
        <f t="shared" si="77"/>
        <v>9.5447400000000027</v>
      </c>
      <c r="AI191" s="400">
        <f t="shared" si="77"/>
        <v>7.5774999999999988</v>
      </c>
      <c r="AJ191" s="400">
        <f t="shared" si="77"/>
        <v>0.17852999999999999</v>
      </c>
      <c r="AK191" s="400">
        <f t="shared" si="77"/>
        <v>3.5627</v>
      </c>
      <c r="AL191" s="400">
        <f t="shared" si="77"/>
        <v>4.5067600000000008</v>
      </c>
      <c r="AM191" s="400">
        <f t="shared" si="77"/>
        <v>5.1336699999999995</v>
      </c>
      <c r="AN191" s="400">
        <f t="shared" si="77"/>
        <v>2.2020999999999997</v>
      </c>
      <c r="AO191" s="400">
        <f t="shared" si="77"/>
        <v>5.8368599999999979</v>
      </c>
      <c r="AP191" s="400">
        <f t="shared" si="77"/>
        <v>4.850620000000001</v>
      </c>
      <c r="AQ191" s="400">
        <f t="shared" si="77"/>
        <v>4.2020000000000002E-2</v>
      </c>
      <c r="AR191" s="400">
        <f t="shared" si="77"/>
        <v>3.5614499999999998</v>
      </c>
      <c r="AS191" s="400">
        <f t="shared" si="77"/>
        <v>1.14056</v>
      </c>
      <c r="AT191" s="400">
        <f t="shared" si="77"/>
        <v>4.6554000000000002</v>
      </c>
      <c r="AU191" s="400">
        <f t="shared" si="77"/>
        <v>5.9079800000000002</v>
      </c>
      <c r="AV191" s="400">
        <f t="shared" si="77"/>
        <v>16.0977</v>
      </c>
      <c r="AW191" s="400">
        <f t="shared" si="77"/>
        <v>2.3814600000000001</v>
      </c>
    </row>
    <row r="192" spans="1:49" ht="15.75" hidden="1" customHeight="1" outlineLevel="1">
      <c r="H192" s="396" t="s">
        <v>2299</v>
      </c>
      <c r="I192" s="396"/>
      <c r="J192" s="397"/>
      <c r="K192" s="397"/>
      <c r="L192" s="397"/>
      <c r="M192" s="397"/>
      <c r="N192" s="397"/>
      <c r="O192" s="397"/>
      <c r="P192" s="397">
        <v>0.1043</v>
      </c>
      <c r="Q192" s="397">
        <v>0</v>
      </c>
      <c r="R192" s="397">
        <v>0</v>
      </c>
      <c r="S192" s="397">
        <v>0</v>
      </c>
      <c r="T192" s="397">
        <v>9.3569999999999987E-2</v>
      </c>
      <c r="U192" s="397">
        <v>0</v>
      </c>
      <c r="V192" s="397">
        <v>0</v>
      </c>
      <c r="W192" s="397">
        <v>0</v>
      </c>
      <c r="X192" s="397">
        <v>0</v>
      </c>
      <c r="Y192" s="397">
        <v>0</v>
      </c>
      <c r="Z192" s="397">
        <v>0</v>
      </c>
      <c r="AA192" s="397">
        <v>0</v>
      </c>
      <c r="AB192" s="397">
        <v>1.0240000000000001E-2</v>
      </c>
      <c r="AC192" s="397">
        <v>0</v>
      </c>
      <c r="AD192" s="397">
        <v>0.22153999999999999</v>
      </c>
      <c r="AE192" s="397">
        <v>0.2</v>
      </c>
      <c r="AF192" s="397">
        <v>0</v>
      </c>
      <c r="AG192" s="397">
        <v>0</v>
      </c>
      <c r="AH192" s="397">
        <v>0</v>
      </c>
      <c r="AI192" s="397">
        <v>2.29E-2</v>
      </c>
      <c r="AJ192" s="397">
        <v>0</v>
      </c>
      <c r="AK192" s="397">
        <v>3.6229999999999998E-2</v>
      </c>
      <c r="AL192" s="397">
        <v>0</v>
      </c>
      <c r="AM192" s="397">
        <v>0.26402999999999999</v>
      </c>
      <c r="AN192" s="397">
        <v>0</v>
      </c>
      <c r="AO192" s="397">
        <v>0</v>
      </c>
      <c r="AP192" s="397">
        <v>0</v>
      </c>
      <c r="AQ192" s="397">
        <v>0</v>
      </c>
      <c r="AR192" s="397">
        <v>0</v>
      </c>
      <c r="AS192" s="397">
        <v>0.15772999999999998</v>
      </c>
      <c r="AT192" s="397">
        <v>0</v>
      </c>
      <c r="AU192" s="397">
        <v>0</v>
      </c>
      <c r="AV192" s="397">
        <v>0</v>
      </c>
      <c r="AW192" s="397">
        <v>0.1976</v>
      </c>
    </row>
    <row r="193" spans="1:49" ht="15.75" hidden="1" customHeight="1" outlineLevel="1">
      <c r="H193" s="396" t="s">
        <v>2300</v>
      </c>
      <c r="I193" s="396"/>
      <c r="J193" s="397"/>
      <c r="K193" s="397"/>
      <c r="L193" s="397"/>
      <c r="M193" s="397"/>
      <c r="N193" s="397"/>
      <c r="O193" s="397"/>
      <c r="P193" s="397">
        <v>0</v>
      </c>
      <c r="Q193" s="397">
        <v>0</v>
      </c>
      <c r="R193" s="397">
        <v>0</v>
      </c>
      <c r="S193" s="397">
        <v>0</v>
      </c>
      <c r="T193" s="397">
        <v>0</v>
      </c>
      <c r="U193" s="397">
        <v>0</v>
      </c>
      <c r="V193" s="397">
        <v>0</v>
      </c>
      <c r="W193" s="397">
        <v>0</v>
      </c>
      <c r="X193" s="397">
        <v>0</v>
      </c>
      <c r="Y193" s="397">
        <v>0</v>
      </c>
      <c r="Z193" s="397">
        <v>0</v>
      </c>
      <c r="AA193" s="397">
        <v>0</v>
      </c>
      <c r="AB193" s="397">
        <v>0</v>
      </c>
      <c r="AC193" s="397">
        <v>0</v>
      </c>
      <c r="AD193" s="397">
        <v>0</v>
      </c>
      <c r="AE193" s="397">
        <v>0</v>
      </c>
      <c r="AF193" s="397">
        <v>0</v>
      </c>
      <c r="AG193" s="397">
        <v>0</v>
      </c>
      <c r="AH193" s="397">
        <v>0</v>
      </c>
      <c r="AI193" s="397">
        <v>0</v>
      </c>
      <c r="AJ193" s="397">
        <v>0</v>
      </c>
      <c r="AK193" s="397">
        <v>0</v>
      </c>
      <c r="AL193" s="397">
        <v>0</v>
      </c>
      <c r="AM193" s="397">
        <v>0</v>
      </c>
      <c r="AN193" s="397">
        <v>0</v>
      </c>
      <c r="AO193" s="397">
        <v>0</v>
      </c>
      <c r="AP193" s="397">
        <v>0</v>
      </c>
      <c r="AQ193" s="397">
        <v>0</v>
      </c>
      <c r="AR193" s="397">
        <v>0</v>
      </c>
      <c r="AS193" s="397">
        <v>0</v>
      </c>
      <c r="AT193" s="397">
        <v>0</v>
      </c>
      <c r="AU193" s="397">
        <v>0</v>
      </c>
      <c r="AV193" s="397">
        <v>0</v>
      </c>
      <c r="AW193" s="397">
        <v>0</v>
      </c>
    </row>
    <row r="194" spans="1:49" ht="15.75" hidden="1" customHeight="1" outlineLevel="1">
      <c r="H194" s="396" t="s">
        <v>2301</v>
      </c>
      <c r="I194" s="396"/>
      <c r="J194" s="397"/>
      <c r="K194" s="397"/>
      <c r="L194" s="397"/>
      <c r="M194" s="397"/>
      <c r="N194" s="397"/>
      <c r="O194" s="397"/>
      <c r="P194" s="397">
        <v>0</v>
      </c>
      <c r="Q194" s="397">
        <v>0</v>
      </c>
      <c r="R194" s="397">
        <v>0</v>
      </c>
      <c r="S194" s="397">
        <v>0</v>
      </c>
      <c r="T194" s="397">
        <v>0</v>
      </c>
      <c r="U194" s="397">
        <v>0</v>
      </c>
      <c r="V194" s="397">
        <v>0</v>
      </c>
      <c r="W194" s="397">
        <v>0</v>
      </c>
      <c r="X194" s="397">
        <v>0</v>
      </c>
      <c r="Y194" s="397">
        <v>0</v>
      </c>
      <c r="Z194" s="397">
        <v>0</v>
      </c>
      <c r="AA194" s="397">
        <v>0</v>
      </c>
      <c r="AB194" s="397">
        <v>0</v>
      </c>
      <c r="AC194" s="397">
        <v>0</v>
      </c>
      <c r="AD194" s="397">
        <v>0</v>
      </c>
      <c r="AE194" s="397">
        <v>0</v>
      </c>
      <c r="AF194" s="397">
        <v>0</v>
      </c>
      <c r="AG194" s="397">
        <v>0</v>
      </c>
      <c r="AH194" s="397">
        <v>0</v>
      </c>
      <c r="AI194" s="397">
        <v>0</v>
      </c>
      <c r="AJ194" s="397">
        <v>0</v>
      </c>
      <c r="AK194" s="397">
        <v>0</v>
      </c>
      <c r="AL194" s="397">
        <v>0</v>
      </c>
      <c r="AM194" s="397">
        <v>0</v>
      </c>
      <c r="AN194" s="397">
        <v>0</v>
      </c>
      <c r="AO194" s="397">
        <v>0</v>
      </c>
      <c r="AP194" s="397">
        <v>0</v>
      </c>
      <c r="AQ194" s="397">
        <v>0</v>
      </c>
      <c r="AR194" s="397">
        <v>0</v>
      </c>
      <c r="AS194" s="397">
        <v>0</v>
      </c>
      <c r="AT194" s="397">
        <v>0</v>
      </c>
      <c r="AU194" s="397">
        <v>0</v>
      </c>
      <c r="AV194" s="397">
        <v>0</v>
      </c>
      <c r="AW194" s="397">
        <v>0</v>
      </c>
    </row>
    <row r="195" spans="1:49" ht="15.75" hidden="1" customHeight="1" outlineLevel="1">
      <c r="H195" s="396" t="s">
        <v>2302</v>
      </c>
      <c r="I195" s="396"/>
      <c r="J195" s="397"/>
      <c r="K195" s="397"/>
      <c r="L195" s="397"/>
      <c r="M195" s="397"/>
      <c r="N195" s="397"/>
      <c r="O195" s="397"/>
      <c r="P195" s="397">
        <v>0</v>
      </c>
      <c r="Q195" s="397">
        <v>0</v>
      </c>
      <c r="R195" s="397">
        <v>0</v>
      </c>
      <c r="S195" s="397">
        <v>0</v>
      </c>
      <c r="T195" s="397">
        <v>0</v>
      </c>
      <c r="U195" s="397">
        <v>0</v>
      </c>
      <c r="V195" s="397">
        <v>0</v>
      </c>
      <c r="W195" s="397">
        <v>0</v>
      </c>
      <c r="X195" s="397">
        <v>0</v>
      </c>
      <c r="Y195" s="397">
        <v>0</v>
      </c>
      <c r="Z195" s="397">
        <v>0</v>
      </c>
      <c r="AA195" s="397">
        <v>0</v>
      </c>
      <c r="AB195" s="397">
        <v>0</v>
      </c>
      <c r="AC195" s="397">
        <v>0</v>
      </c>
      <c r="AD195" s="397">
        <v>0</v>
      </c>
      <c r="AE195" s="397">
        <v>0</v>
      </c>
      <c r="AF195" s="397">
        <v>0</v>
      </c>
      <c r="AG195" s="397">
        <v>0</v>
      </c>
      <c r="AH195" s="397">
        <v>0</v>
      </c>
      <c r="AI195" s="397">
        <v>0</v>
      </c>
      <c r="AJ195" s="397">
        <v>0</v>
      </c>
      <c r="AK195" s="397">
        <v>0</v>
      </c>
      <c r="AL195" s="397">
        <v>0</v>
      </c>
      <c r="AM195" s="397">
        <v>0</v>
      </c>
      <c r="AN195" s="397">
        <v>0</v>
      </c>
      <c r="AO195" s="397">
        <v>0.19169999999999998</v>
      </c>
      <c r="AP195" s="397">
        <v>3.6600000000000001E-3</v>
      </c>
      <c r="AQ195" s="397">
        <v>0</v>
      </c>
      <c r="AR195" s="397">
        <v>2.0299999999999997E-3</v>
      </c>
      <c r="AS195" s="397">
        <v>1.48E-3</v>
      </c>
      <c r="AT195" s="397">
        <v>4.3699999999999998E-3</v>
      </c>
      <c r="AU195" s="397">
        <v>7.4000000000000003E-3</v>
      </c>
      <c r="AV195" s="397">
        <v>1.141E-2</v>
      </c>
      <c r="AW195" s="397">
        <v>0</v>
      </c>
    </row>
    <row r="196" spans="1:49" ht="15.75" hidden="1" customHeight="1" outlineLevel="1">
      <c r="H196" s="396" t="s">
        <v>2303</v>
      </c>
      <c r="I196" s="396"/>
      <c r="J196" s="397"/>
      <c r="K196" s="397"/>
      <c r="L196" s="397"/>
      <c r="M196" s="397"/>
      <c r="N196" s="397"/>
      <c r="O196" s="397"/>
      <c r="P196" s="397">
        <v>0</v>
      </c>
      <c r="Q196" s="397">
        <v>0</v>
      </c>
      <c r="R196" s="397">
        <v>0</v>
      </c>
      <c r="S196" s="397">
        <v>0</v>
      </c>
      <c r="T196" s="397">
        <v>0</v>
      </c>
      <c r="U196" s="397">
        <v>0</v>
      </c>
      <c r="V196" s="397">
        <v>0</v>
      </c>
      <c r="W196" s="397">
        <v>0</v>
      </c>
      <c r="X196" s="397">
        <v>0</v>
      </c>
      <c r="Y196" s="397">
        <v>0</v>
      </c>
      <c r="Z196" s="397">
        <v>0</v>
      </c>
      <c r="AA196" s="397">
        <v>0</v>
      </c>
      <c r="AB196" s="397">
        <v>0</v>
      </c>
      <c r="AC196" s="397">
        <v>0</v>
      </c>
      <c r="AD196" s="397">
        <v>0</v>
      </c>
      <c r="AE196" s="397">
        <v>0</v>
      </c>
      <c r="AF196" s="397">
        <v>0</v>
      </c>
      <c r="AG196" s="397">
        <v>0</v>
      </c>
      <c r="AH196" s="397">
        <v>0</v>
      </c>
      <c r="AI196" s="397">
        <v>0</v>
      </c>
      <c r="AJ196" s="397">
        <v>0</v>
      </c>
      <c r="AK196" s="397">
        <v>0</v>
      </c>
      <c r="AL196" s="397">
        <v>0</v>
      </c>
      <c r="AM196" s="397">
        <v>0</v>
      </c>
      <c r="AN196" s="397">
        <v>0</v>
      </c>
      <c r="AO196" s="397">
        <v>0</v>
      </c>
      <c r="AP196" s="397">
        <v>0</v>
      </c>
      <c r="AQ196" s="397">
        <v>0</v>
      </c>
      <c r="AR196" s="397">
        <v>0</v>
      </c>
      <c r="AS196" s="397">
        <v>0</v>
      </c>
      <c r="AT196" s="397">
        <v>0</v>
      </c>
      <c r="AU196" s="397">
        <v>0</v>
      </c>
      <c r="AV196" s="397">
        <v>0</v>
      </c>
      <c r="AW196" s="397">
        <v>0</v>
      </c>
    </row>
    <row r="197" spans="1:49" ht="15.75" customHeight="1" collapsed="1">
      <c r="A197" s="3" t="s">
        <v>173</v>
      </c>
      <c r="H197" s="399" t="s">
        <v>173</v>
      </c>
      <c r="I197" s="399"/>
      <c r="J197" s="400">
        <f>SUMIFS($P197:$AW197,$P$3:$AW$3,J$4)</f>
        <v>0.62965000000000004</v>
      </c>
      <c r="K197" s="400">
        <f>J197-AE197-AF197</f>
        <v>0.42965000000000003</v>
      </c>
      <c r="L197" s="400">
        <f t="shared" ref="L197:N197" si="78">SUMIFS($P197:$AW197,$P$3:$AW$3,L$4)</f>
        <v>0.37977999999999995</v>
      </c>
      <c r="M197" s="400">
        <f t="shared" si="78"/>
        <v>0.30025999999999997</v>
      </c>
      <c r="N197" s="400">
        <f t="shared" si="78"/>
        <v>0.1976</v>
      </c>
      <c r="O197" s="400"/>
      <c r="P197" s="400">
        <f t="shared" ref="P197:AW197" si="79">SUBTOTAL(9,P192:P196)</f>
        <v>0.1043</v>
      </c>
      <c r="Q197" s="400">
        <f t="shared" si="79"/>
        <v>0</v>
      </c>
      <c r="R197" s="400">
        <f t="shared" si="79"/>
        <v>0</v>
      </c>
      <c r="S197" s="400">
        <f t="shared" si="79"/>
        <v>0</v>
      </c>
      <c r="T197" s="400">
        <f t="shared" si="79"/>
        <v>9.3569999999999987E-2</v>
      </c>
      <c r="U197" s="400">
        <f t="shared" si="79"/>
        <v>0</v>
      </c>
      <c r="V197" s="400">
        <f t="shared" si="79"/>
        <v>0</v>
      </c>
      <c r="W197" s="400">
        <f t="shared" si="79"/>
        <v>0</v>
      </c>
      <c r="X197" s="400">
        <f t="shared" si="79"/>
        <v>0</v>
      </c>
      <c r="Y197" s="400">
        <f t="shared" si="79"/>
        <v>0</v>
      </c>
      <c r="Z197" s="400">
        <f t="shared" si="79"/>
        <v>0</v>
      </c>
      <c r="AA197" s="400">
        <f t="shared" si="79"/>
        <v>0</v>
      </c>
      <c r="AB197" s="400">
        <f t="shared" si="79"/>
        <v>1.0240000000000001E-2</v>
      </c>
      <c r="AC197" s="400">
        <f t="shared" si="79"/>
        <v>0</v>
      </c>
      <c r="AD197" s="400">
        <f t="shared" si="79"/>
        <v>0.22153999999999999</v>
      </c>
      <c r="AE197" s="400">
        <f t="shared" si="79"/>
        <v>0.2</v>
      </c>
      <c r="AF197" s="400">
        <f t="shared" si="79"/>
        <v>0</v>
      </c>
      <c r="AG197" s="400">
        <f t="shared" si="79"/>
        <v>0</v>
      </c>
      <c r="AH197" s="400">
        <f t="shared" si="79"/>
        <v>0</v>
      </c>
      <c r="AI197" s="400">
        <f t="shared" si="79"/>
        <v>2.29E-2</v>
      </c>
      <c r="AJ197" s="400">
        <f t="shared" si="79"/>
        <v>0</v>
      </c>
      <c r="AK197" s="400">
        <f t="shared" si="79"/>
        <v>3.6229999999999998E-2</v>
      </c>
      <c r="AL197" s="400">
        <f t="shared" si="79"/>
        <v>0</v>
      </c>
      <c r="AM197" s="400">
        <f t="shared" si="79"/>
        <v>0.26402999999999999</v>
      </c>
      <c r="AN197" s="400">
        <f t="shared" si="79"/>
        <v>0</v>
      </c>
      <c r="AO197" s="400">
        <f t="shared" si="79"/>
        <v>0.19169999999999998</v>
      </c>
      <c r="AP197" s="400">
        <f t="shared" si="79"/>
        <v>3.6600000000000001E-3</v>
      </c>
      <c r="AQ197" s="400">
        <f t="shared" si="79"/>
        <v>0</v>
      </c>
      <c r="AR197" s="400">
        <f t="shared" si="79"/>
        <v>2.0299999999999997E-3</v>
      </c>
      <c r="AS197" s="400">
        <f t="shared" si="79"/>
        <v>0.15920999999999999</v>
      </c>
      <c r="AT197" s="400">
        <f t="shared" si="79"/>
        <v>4.3699999999999998E-3</v>
      </c>
      <c r="AU197" s="400">
        <f t="shared" si="79"/>
        <v>7.4000000000000003E-3</v>
      </c>
      <c r="AV197" s="400">
        <f t="shared" si="79"/>
        <v>1.141E-2</v>
      </c>
      <c r="AW197" s="400">
        <f t="shared" si="79"/>
        <v>0.1976</v>
      </c>
    </row>
    <row r="198" spans="1:49" ht="15.75" hidden="1" customHeight="1" outlineLevel="1">
      <c r="H198" s="396" t="s">
        <v>2304</v>
      </c>
      <c r="I198" s="396"/>
      <c r="J198" s="397"/>
      <c r="K198" s="397"/>
      <c r="L198" s="397"/>
      <c r="M198" s="397"/>
      <c r="N198" s="397"/>
      <c r="O198" s="397"/>
      <c r="P198" s="397">
        <v>56.482249999999993</v>
      </c>
      <c r="Q198" s="397">
        <v>28.883790000000001</v>
      </c>
      <c r="R198" s="397">
        <v>71.483239999999995</v>
      </c>
      <c r="S198" s="397">
        <v>112.45168000000002</v>
      </c>
      <c r="T198" s="397">
        <v>80.136030000000005</v>
      </c>
      <c r="U198" s="397">
        <v>87.051860000000005</v>
      </c>
      <c r="V198" s="397">
        <v>80.752020000000002</v>
      </c>
      <c r="W198" s="397">
        <v>66.993110000000001</v>
      </c>
      <c r="X198" s="397">
        <v>0</v>
      </c>
      <c r="Y198" s="397">
        <v>32.141510000000004</v>
      </c>
      <c r="Z198" s="397">
        <v>52.807220000000001</v>
      </c>
      <c r="AA198" s="397">
        <v>43.052690000000013</v>
      </c>
      <c r="AB198" s="397">
        <v>51.838620000000013</v>
      </c>
      <c r="AC198" s="397">
        <v>88.336880000000008</v>
      </c>
      <c r="AD198" s="397">
        <v>33.482800000000012</v>
      </c>
      <c r="AE198" s="397">
        <v>146.12821000000002</v>
      </c>
      <c r="AF198" s="397">
        <v>0</v>
      </c>
      <c r="AG198" s="397">
        <v>31.057159999999996</v>
      </c>
      <c r="AH198" s="397">
        <v>106.92043000000002</v>
      </c>
      <c r="AI198" s="397">
        <v>32.677489999999999</v>
      </c>
      <c r="AJ198" s="397">
        <v>62.756130000000013</v>
      </c>
      <c r="AK198" s="397">
        <v>15.006960000000001</v>
      </c>
      <c r="AL198" s="397">
        <v>1.9681600000000004</v>
      </c>
      <c r="AM198" s="397">
        <v>46.291369999999993</v>
      </c>
      <c r="AN198" s="397">
        <v>20.852130000000002</v>
      </c>
      <c r="AO198" s="397">
        <v>121.05365999999999</v>
      </c>
      <c r="AP198" s="397">
        <v>169.05902999999998</v>
      </c>
      <c r="AQ198" s="397">
        <v>33.013280000000002</v>
      </c>
      <c r="AR198" s="397">
        <v>50.840649999999997</v>
      </c>
      <c r="AS198" s="397">
        <v>49.509879999999995</v>
      </c>
      <c r="AT198" s="397">
        <v>62.997470000000007</v>
      </c>
      <c r="AU198" s="397">
        <v>118.06152999999999</v>
      </c>
      <c r="AV198" s="397">
        <v>138.17867000000001</v>
      </c>
      <c r="AW198" s="397">
        <v>61.86045</v>
      </c>
    </row>
    <row r="199" spans="1:49" ht="15.75" hidden="1" customHeight="1" outlineLevel="1">
      <c r="H199" s="396" t="s">
        <v>2305</v>
      </c>
      <c r="I199" s="396"/>
      <c r="J199" s="397"/>
      <c r="K199" s="397"/>
      <c r="L199" s="397"/>
      <c r="M199" s="397"/>
      <c r="N199" s="397"/>
      <c r="O199" s="397"/>
      <c r="P199" s="397">
        <v>0</v>
      </c>
      <c r="Q199" s="397">
        <v>0</v>
      </c>
      <c r="R199" s="397">
        <v>0</v>
      </c>
      <c r="S199" s="397">
        <v>0</v>
      </c>
      <c r="T199" s="397">
        <v>0</v>
      </c>
      <c r="U199" s="397">
        <v>0</v>
      </c>
      <c r="V199" s="397">
        <v>0</v>
      </c>
      <c r="W199" s="397">
        <v>0</v>
      </c>
      <c r="X199" s="397">
        <v>0</v>
      </c>
      <c r="Y199" s="397">
        <v>0</v>
      </c>
      <c r="Z199" s="397">
        <v>0</v>
      </c>
      <c r="AA199" s="397">
        <v>0</v>
      </c>
      <c r="AB199" s="397">
        <v>0</v>
      </c>
      <c r="AC199" s="397">
        <v>0</v>
      </c>
      <c r="AD199" s="397">
        <v>0</v>
      </c>
      <c r="AE199" s="397">
        <v>0</v>
      </c>
      <c r="AF199" s="397">
        <v>0</v>
      </c>
      <c r="AG199" s="397">
        <v>0</v>
      </c>
      <c r="AH199" s="397">
        <v>0</v>
      </c>
      <c r="AI199" s="397">
        <v>0</v>
      </c>
      <c r="AJ199" s="397">
        <v>0</v>
      </c>
      <c r="AK199" s="397">
        <v>0</v>
      </c>
      <c r="AL199" s="397">
        <v>0</v>
      </c>
      <c r="AM199" s="397">
        <v>0</v>
      </c>
      <c r="AN199" s="397">
        <v>0</v>
      </c>
      <c r="AO199" s="397">
        <v>0</v>
      </c>
      <c r="AP199" s="397">
        <v>0</v>
      </c>
      <c r="AQ199" s="397">
        <v>0</v>
      </c>
      <c r="AR199" s="397">
        <v>0</v>
      </c>
      <c r="AS199" s="397">
        <v>0</v>
      </c>
      <c r="AT199" s="397">
        <v>0</v>
      </c>
      <c r="AU199" s="397">
        <v>0</v>
      </c>
      <c r="AV199" s="397">
        <v>0</v>
      </c>
      <c r="AW199" s="397">
        <v>0.65500000000000003</v>
      </c>
    </row>
    <row r="200" spans="1:49" ht="15.75" hidden="1" customHeight="1" outlineLevel="1">
      <c r="H200" s="396" t="s">
        <v>2306</v>
      </c>
      <c r="I200" s="396"/>
      <c r="J200" s="397"/>
      <c r="K200" s="397"/>
      <c r="L200" s="397"/>
      <c r="M200" s="397"/>
      <c r="N200" s="397"/>
      <c r="O200" s="397"/>
      <c r="P200" s="397">
        <v>16.797689999999999</v>
      </c>
      <c r="Q200" s="397">
        <v>5.5869199999999992</v>
      </c>
      <c r="R200" s="397">
        <v>14.163450000000001</v>
      </c>
      <c r="S200" s="397">
        <v>14.35679</v>
      </c>
      <c r="T200" s="397">
        <v>26.079600000000003</v>
      </c>
      <c r="U200" s="397">
        <v>17.833200000000001</v>
      </c>
      <c r="V200" s="397">
        <v>30.015060000000005</v>
      </c>
      <c r="W200" s="397">
        <v>17.003459999999997</v>
      </c>
      <c r="X200" s="397">
        <v>5.5276999999999994</v>
      </c>
      <c r="Y200" s="397">
        <v>8.6522300000000012</v>
      </c>
      <c r="Z200" s="397">
        <v>8.6383700000000001</v>
      </c>
      <c r="AA200" s="397">
        <v>5.7899899999999995</v>
      </c>
      <c r="AB200" s="397">
        <v>12.70032</v>
      </c>
      <c r="AC200" s="397">
        <v>21.488869999999999</v>
      </c>
      <c r="AD200" s="397">
        <v>19.626950000000001</v>
      </c>
      <c r="AE200" s="397">
        <v>49.622740000000007</v>
      </c>
      <c r="AF200" s="397">
        <v>6.9494400000000009</v>
      </c>
      <c r="AG200" s="397">
        <v>6.0377400000000003</v>
      </c>
      <c r="AH200" s="397">
        <v>26.076329999999999</v>
      </c>
      <c r="AI200" s="397">
        <v>17.059829999999998</v>
      </c>
      <c r="AJ200" s="397">
        <v>0</v>
      </c>
      <c r="AK200" s="397">
        <v>7.6669100000000006</v>
      </c>
      <c r="AL200" s="397">
        <v>15.797089999999999</v>
      </c>
      <c r="AM200" s="397">
        <v>15.45022</v>
      </c>
      <c r="AN200" s="397">
        <v>4.9457100000000001</v>
      </c>
      <c r="AO200" s="397">
        <v>21.215160000000001</v>
      </c>
      <c r="AP200" s="397">
        <v>19.181060000000002</v>
      </c>
      <c r="AQ200" s="397">
        <v>10.67609</v>
      </c>
      <c r="AR200" s="397">
        <v>13.25451</v>
      </c>
      <c r="AS200" s="397">
        <v>6.9823000000000004</v>
      </c>
      <c r="AT200" s="397">
        <v>16.563759999999998</v>
      </c>
      <c r="AU200" s="397">
        <v>22.529870000000003</v>
      </c>
      <c r="AV200" s="397">
        <v>52.537470000000006</v>
      </c>
      <c r="AW200" s="397">
        <v>0</v>
      </c>
    </row>
    <row r="201" spans="1:49" ht="15.75" hidden="1" customHeight="1" outlineLevel="1">
      <c r="H201" s="396" t="s">
        <v>2307</v>
      </c>
      <c r="I201" s="396"/>
      <c r="J201" s="397"/>
      <c r="K201" s="397"/>
      <c r="L201" s="397"/>
      <c r="M201" s="397"/>
      <c r="N201" s="397"/>
      <c r="O201" s="397"/>
      <c r="P201" s="397">
        <v>0</v>
      </c>
      <c r="Q201" s="397">
        <v>0</v>
      </c>
      <c r="R201" s="397">
        <v>0</v>
      </c>
      <c r="S201" s="397">
        <v>0</v>
      </c>
      <c r="T201" s="397">
        <v>0</v>
      </c>
      <c r="U201" s="397">
        <v>0</v>
      </c>
      <c r="V201" s="397">
        <v>0</v>
      </c>
      <c r="W201" s="397">
        <v>0</v>
      </c>
      <c r="X201" s="397">
        <v>0</v>
      </c>
      <c r="Y201" s="397">
        <v>0</v>
      </c>
      <c r="Z201" s="397">
        <v>0</v>
      </c>
      <c r="AA201" s="397">
        <v>0</v>
      </c>
      <c r="AB201" s="397">
        <v>0</v>
      </c>
      <c r="AC201" s="397">
        <v>0</v>
      </c>
      <c r="AD201" s="397">
        <v>0</v>
      </c>
      <c r="AE201" s="397">
        <v>0</v>
      </c>
      <c r="AF201" s="397">
        <v>0</v>
      </c>
      <c r="AG201" s="397">
        <v>0</v>
      </c>
      <c r="AH201" s="397">
        <v>0</v>
      </c>
      <c r="AI201" s="397">
        <v>0</v>
      </c>
      <c r="AJ201" s="397">
        <v>0</v>
      </c>
      <c r="AK201" s="397">
        <v>0</v>
      </c>
      <c r="AL201" s="397">
        <v>0</v>
      </c>
      <c r="AM201" s="397">
        <v>0</v>
      </c>
      <c r="AN201" s="397">
        <v>0</v>
      </c>
      <c r="AO201" s="397">
        <v>0</v>
      </c>
      <c r="AP201" s="397">
        <v>0</v>
      </c>
      <c r="AQ201" s="397">
        <v>0</v>
      </c>
      <c r="AR201" s="397">
        <v>0</v>
      </c>
      <c r="AS201" s="397">
        <v>0</v>
      </c>
      <c r="AT201" s="397">
        <v>0</v>
      </c>
      <c r="AU201" s="397">
        <v>0</v>
      </c>
      <c r="AV201" s="397">
        <v>0</v>
      </c>
      <c r="AW201" s="397">
        <v>0</v>
      </c>
    </row>
    <row r="202" spans="1:49" ht="15.75" customHeight="1" collapsed="1">
      <c r="A202" s="3" t="s">
        <v>174</v>
      </c>
      <c r="H202" s="399" t="s">
        <v>174</v>
      </c>
      <c r="I202" s="399"/>
      <c r="J202" s="400">
        <f>SUMIFS($P202:$AW202,$P$3:$AW$3,J$4)</f>
        <v>1349.9495900000004</v>
      </c>
      <c r="K202" s="400">
        <f>J202-AE202-AF202</f>
        <v>1147.2492000000002</v>
      </c>
      <c r="L202" s="400">
        <f t="shared" ref="L202:N202" si="80">SUMIFS($P202:$AW202,$P$3:$AW$3,L$4)</f>
        <v>861.96501999999998</v>
      </c>
      <c r="M202" s="400">
        <f t="shared" si="80"/>
        <v>323.73144000000002</v>
      </c>
      <c r="N202" s="400">
        <f t="shared" si="80"/>
        <v>62.515450000000001</v>
      </c>
      <c r="O202" s="400"/>
      <c r="P202" s="400">
        <f t="shared" ref="P202:AW202" si="81">SUBTOTAL(9,P198:P201)</f>
        <v>73.279939999999996</v>
      </c>
      <c r="Q202" s="400">
        <f t="shared" si="81"/>
        <v>34.470709999999997</v>
      </c>
      <c r="R202" s="400">
        <f t="shared" si="81"/>
        <v>85.646689999999992</v>
      </c>
      <c r="S202" s="400">
        <f t="shared" si="81"/>
        <v>126.80847000000003</v>
      </c>
      <c r="T202" s="400">
        <f t="shared" si="81"/>
        <v>106.21563</v>
      </c>
      <c r="U202" s="400">
        <f t="shared" si="81"/>
        <v>104.88506000000001</v>
      </c>
      <c r="V202" s="400">
        <f t="shared" si="81"/>
        <v>110.76708000000001</v>
      </c>
      <c r="W202" s="400">
        <f t="shared" si="81"/>
        <v>83.996569999999991</v>
      </c>
      <c r="X202" s="400">
        <f t="shared" si="81"/>
        <v>5.5276999999999994</v>
      </c>
      <c r="Y202" s="400">
        <f t="shared" si="81"/>
        <v>40.793740000000007</v>
      </c>
      <c r="Z202" s="400">
        <f t="shared" si="81"/>
        <v>61.445590000000003</v>
      </c>
      <c r="AA202" s="400">
        <f t="shared" si="81"/>
        <v>48.842680000000016</v>
      </c>
      <c r="AB202" s="400">
        <f t="shared" si="81"/>
        <v>64.538940000000011</v>
      </c>
      <c r="AC202" s="400">
        <f t="shared" si="81"/>
        <v>109.82575</v>
      </c>
      <c r="AD202" s="400">
        <f t="shared" si="81"/>
        <v>53.109750000000012</v>
      </c>
      <c r="AE202" s="400">
        <f t="shared" si="81"/>
        <v>195.75095000000005</v>
      </c>
      <c r="AF202" s="400">
        <f t="shared" si="81"/>
        <v>6.9494400000000009</v>
      </c>
      <c r="AG202" s="400">
        <f t="shared" si="81"/>
        <v>37.094899999999996</v>
      </c>
      <c r="AH202" s="400">
        <f t="shared" si="81"/>
        <v>132.99676000000002</v>
      </c>
      <c r="AI202" s="400">
        <f t="shared" si="81"/>
        <v>49.737319999999997</v>
      </c>
      <c r="AJ202" s="400">
        <f t="shared" si="81"/>
        <v>62.756130000000013</v>
      </c>
      <c r="AK202" s="400">
        <f t="shared" si="81"/>
        <v>22.673870000000001</v>
      </c>
      <c r="AL202" s="400">
        <f t="shared" si="81"/>
        <v>17.765249999999998</v>
      </c>
      <c r="AM202" s="400">
        <f t="shared" si="81"/>
        <v>61.741589999999995</v>
      </c>
      <c r="AN202" s="400">
        <f t="shared" si="81"/>
        <v>25.797840000000001</v>
      </c>
      <c r="AO202" s="400">
        <f t="shared" si="81"/>
        <v>142.26882000000001</v>
      </c>
      <c r="AP202" s="400">
        <f t="shared" si="81"/>
        <v>188.24008999999998</v>
      </c>
      <c r="AQ202" s="400">
        <f t="shared" si="81"/>
        <v>43.689370000000004</v>
      </c>
      <c r="AR202" s="400">
        <f t="shared" si="81"/>
        <v>64.095159999999993</v>
      </c>
      <c r="AS202" s="400">
        <f t="shared" si="81"/>
        <v>56.492179999999998</v>
      </c>
      <c r="AT202" s="400">
        <f t="shared" si="81"/>
        <v>79.561230000000009</v>
      </c>
      <c r="AU202" s="400">
        <f t="shared" si="81"/>
        <v>140.59139999999999</v>
      </c>
      <c r="AV202" s="400">
        <f t="shared" si="81"/>
        <v>190.71614000000002</v>
      </c>
      <c r="AW202" s="400">
        <f t="shared" si="81"/>
        <v>62.515450000000001</v>
      </c>
    </row>
    <row r="203" spans="1:49" ht="15.75" hidden="1" customHeight="1" outlineLevel="1">
      <c r="H203" s="396" t="s">
        <v>2308</v>
      </c>
      <c r="I203" s="396"/>
      <c r="J203" s="397"/>
      <c r="K203" s="397"/>
      <c r="L203" s="397"/>
      <c r="M203" s="397"/>
      <c r="N203" s="397"/>
      <c r="O203" s="397"/>
      <c r="P203" s="397">
        <v>0</v>
      </c>
      <c r="Q203" s="397">
        <v>0</v>
      </c>
      <c r="R203" s="397">
        <v>0</v>
      </c>
      <c r="S203" s="397">
        <v>0</v>
      </c>
      <c r="T203" s="397">
        <v>0</v>
      </c>
      <c r="U203" s="397">
        <v>0</v>
      </c>
      <c r="V203" s="397">
        <v>3.9369999999999995E-2</v>
      </c>
      <c r="W203" s="397">
        <v>0</v>
      </c>
      <c r="X203" s="397">
        <v>0</v>
      </c>
      <c r="Y203" s="397">
        <v>0</v>
      </c>
      <c r="Z203" s="397">
        <v>0</v>
      </c>
      <c r="AA203" s="397">
        <v>0</v>
      </c>
      <c r="AB203" s="397">
        <v>0</v>
      </c>
      <c r="AC203" s="397">
        <v>0</v>
      </c>
      <c r="AD203" s="397">
        <v>0</v>
      </c>
      <c r="AE203" s="397">
        <v>1.0820600000000002</v>
      </c>
      <c r="AF203" s="397">
        <v>1.42594</v>
      </c>
      <c r="AG203" s="397">
        <v>0</v>
      </c>
      <c r="AH203" s="397">
        <v>0.19919999999999999</v>
      </c>
      <c r="AI203" s="397">
        <v>0.65683999999999998</v>
      </c>
      <c r="AJ203" s="397">
        <v>0</v>
      </c>
      <c r="AK203" s="397">
        <v>0</v>
      </c>
      <c r="AL203" s="397">
        <v>0</v>
      </c>
      <c r="AM203" s="397">
        <v>0</v>
      </c>
      <c r="AN203" s="397">
        <v>2.0299999999999997E-3</v>
      </c>
      <c r="AO203" s="397">
        <v>0</v>
      </c>
      <c r="AP203" s="397">
        <v>0</v>
      </c>
      <c r="AQ203" s="397">
        <v>0</v>
      </c>
      <c r="AR203" s="397">
        <v>0</v>
      </c>
      <c r="AS203" s="397">
        <v>0</v>
      </c>
      <c r="AT203" s="397">
        <v>0</v>
      </c>
      <c r="AU203" s="397">
        <v>0.59694000000000003</v>
      </c>
      <c r="AV203" s="397">
        <v>0</v>
      </c>
      <c r="AW203" s="397">
        <v>1.77901</v>
      </c>
    </row>
    <row r="204" spans="1:49" ht="15.75" hidden="1" customHeight="1" outlineLevel="1">
      <c r="H204" s="396" t="s">
        <v>2309</v>
      </c>
      <c r="I204" s="396"/>
      <c r="J204" s="397"/>
      <c r="K204" s="397"/>
      <c r="L204" s="397"/>
      <c r="M204" s="397"/>
      <c r="N204" s="397"/>
      <c r="O204" s="397"/>
      <c r="P204" s="397">
        <v>5.1900000000000002E-3</v>
      </c>
      <c r="Q204" s="397">
        <v>3.0299999999999997E-3</v>
      </c>
      <c r="R204" s="397">
        <v>0</v>
      </c>
      <c r="S204" s="397">
        <v>0</v>
      </c>
      <c r="T204" s="397">
        <v>3.116E-2</v>
      </c>
      <c r="U204" s="397">
        <v>5.1900000000000002E-3</v>
      </c>
      <c r="V204" s="397">
        <v>1.558E-2</v>
      </c>
      <c r="W204" s="397">
        <v>1.2119999999999999E-2</v>
      </c>
      <c r="X204" s="397">
        <v>0</v>
      </c>
      <c r="Y204" s="397">
        <v>3.0299999999999997E-3</v>
      </c>
      <c r="Z204" s="397">
        <v>0</v>
      </c>
      <c r="AA204" s="397">
        <v>0</v>
      </c>
      <c r="AB204" s="397">
        <v>5.1900000000000002E-3</v>
      </c>
      <c r="AC204" s="397">
        <v>5.1900000000000002E-3</v>
      </c>
      <c r="AD204" s="397">
        <v>1.558E-2</v>
      </c>
      <c r="AE204" s="397">
        <v>0.29695000000000005</v>
      </c>
      <c r="AF204" s="397">
        <v>3.1960000000000002E-2</v>
      </c>
      <c r="AG204" s="397">
        <v>1.2119999999999999E-2</v>
      </c>
      <c r="AH204" s="397">
        <v>0.44201999999999997</v>
      </c>
      <c r="AI204" s="397">
        <v>7.6200000000000004E-2</v>
      </c>
      <c r="AJ204" s="397">
        <v>3.2939999999999997E-2</v>
      </c>
      <c r="AK204" s="397">
        <v>3.8490000000000003E-2</v>
      </c>
      <c r="AL204" s="397">
        <v>6.7640000000000006E-2</v>
      </c>
      <c r="AM204" s="397">
        <v>0</v>
      </c>
      <c r="AN204" s="397">
        <v>3.662E-2</v>
      </c>
      <c r="AO204" s="397">
        <v>1.4199999999999999E-2</v>
      </c>
      <c r="AP204" s="397">
        <v>9.2300000000000004E-3</v>
      </c>
      <c r="AQ204" s="397">
        <v>2.6000000000000003E-4</v>
      </c>
      <c r="AR204" s="397">
        <v>3.63E-3</v>
      </c>
      <c r="AS204" s="397">
        <v>0.20563000000000001</v>
      </c>
      <c r="AT204" s="397">
        <v>5.7579999999999999E-2</v>
      </c>
      <c r="AU204" s="397">
        <v>7.2020000000000001E-2</v>
      </c>
      <c r="AV204" s="397">
        <v>2.6010000000000002E-2</v>
      </c>
      <c r="AW204" s="397">
        <v>0.36</v>
      </c>
    </row>
    <row r="205" spans="1:49" ht="15.75" customHeight="1" collapsed="1">
      <c r="A205" s="3" t="s">
        <v>177</v>
      </c>
      <c r="H205" s="399" t="s">
        <v>177</v>
      </c>
      <c r="I205" s="399"/>
      <c r="J205" s="400">
        <f>SUMIFS($P205:$AW205,$P$3:$AW$3,J$4)</f>
        <v>2.9896600000000002</v>
      </c>
      <c r="K205" s="400">
        <f>J205-AE205-AF205</f>
        <v>0.15274999999999994</v>
      </c>
      <c r="L205" s="400">
        <f t="shared" ref="L205:N205" si="82">SUMIFS($P205:$AW205,$P$3:$AW$3,L$4)</f>
        <v>0.98524</v>
      </c>
      <c r="M205" s="400">
        <f t="shared" si="82"/>
        <v>0.81893999999999989</v>
      </c>
      <c r="N205" s="400">
        <f t="shared" si="82"/>
        <v>2.1390099999999999</v>
      </c>
      <c r="O205" s="400"/>
      <c r="P205" s="400">
        <f t="shared" ref="P205:AW205" si="83">SUBTOTAL(9,P203:P204)</f>
        <v>5.1900000000000002E-3</v>
      </c>
      <c r="Q205" s="400">
        <f t="shared" si="83"/>
        <v>3.0299999999999997E-3</v>
      </c>
      <c r="R205" s="400">
        <f t="shared" si="83"/>
        <v>0</v>
      </c>
      <c r="S205" s="400">
        <f t="shared" si="83"/>
        <v>0</v>
      </c>
      <c r="T205" s="400">
        <f t="shared" si="83"/>
        <v>3.116E-2</v>
      </c>
      <c r="U205" s="400">
        <f t="shared" si="83"/>
        <v>5.1900000000000002E-3</v>
      </c>
      <c r="V205" s="400">
        <f t="shared" si="83"/>
        <v>5.4949999999999999E-2</v>
      </c>
      <c r="W205" s="400">
        <f t="shared" si="83"/>
        <v>1.2119999999999999E-2</v>
      </c>
      <c r="X205" s="400">
        <f t="shared" si="83"/>
        <v>0</v>
      </c>
      <c r="Y205" s="400">
        <f t="shared" si="83"/>
        <v>3.0299999999999997E-3</v>
      </c>
      <c r="Z205" s="400">
        <f t="shared" si="83"/>
        <v>0</v>
      </c>
      <c r="AA205" s="400">
        <f t="shared" si="83"/>
        <v>0</v>
      </c>
      <c r="AB205" s="400">
        <f t="shared" si="83"/>
        <v>5.1900000000000002E-3</v>
      </c>
      <c r="AC205" s="400">
        <f t="shared" si="83"/>
        <v>5.1900000000000002E-3</v>
      </c>
      <c r="AD205" s="400">
        <f t="shared" si="83"/>
        <v>1.558E-2</v>
      </c>
      <c r="AE205" s="400">
        <f t="shared" si="83"/>
        <v>1.3790100000000003</v>
      </c>
      <c r="AF205" s="400">
        <f t="shared" si="83"/>
        <v>1.4579</v>
      </c>
      <c r="AG205" s="400">
        <f t="shared" si="83"/>
        <v>1.2119999999999999E-2</v>
      </c>
      <c r="AH205" s="400">
        <f t="shared" si="83"/>
        <v>0.6412199999999999</v>
      </c>
      <c r="AI205" s="400">
        <f t="shared" si="83"/>
        <v>0.73304000000000002</v>
      </c>
      <c r="AJ205" s="400">
        <f t="shared" si="83"/>
        <v>3.2939999999999997E-2</v>
      </c>
      <c r="AK205" s="400">
        <f t="shared" si="83"/>
        <v>3.8490000000000003E-2</v>
      </c>
      <c r="AL205" s="400">
        <f t="shared" si="83"/>
        <v>6.7640000000000006E-2</v>
      </c>
      <c r="AM205" s="400">
        <f t="shared" si="83"/>
        <v>0</v>
      </c>
      <c r="AN205" s="400">
        <f t="shared" si="83"/>
        <v>3.8649999999999997E-2</v>
      </c>
      <c r="AO205" s="400">
        <f t="shared" si="83"/>
        <v>1.4199999999999999E-2</v>
      </c>
      <c r="AP205" s="400">
        <f t="shared" si="83"/>
        <v>9.2300000000000004E-3</v>
      </c>
      <c r="AQ205" s="400">
        <f t="shared" si="83"/>
        <v>2.6000000000000003E-4</v>
      </c>
      <c r="AR205" s="400">
        <f t="shared" si="83"/>
        <v>3.63E-3</v>
      </c>
      <c r="AS205" s="400">
        <f t="shared" si="83"/>
        <v>0.20563000000000001</v>
      </c>
      <c r="AT205" s="400">
        <f t="shared" si="83"/>
        <v>5.7579999999999999E-2</v>
      </c>
      <c r="AU205" s="400">
        <f t="shared" si="83"/>
        <v>0.66896</v>
      </c>
      <c r="AV205" s="400">
        <f t="shared" si="83"/>
        <v>2.6010000000000002E-2</v>
      </c>
      <c r="AW205" s="400">
        <f t="shared" si="83"/>
        <v>2.1390099999999999</v>
      </c>
    </row>
    <row r="206" spans="1:49" ht="15.75" hidden="1" customHeight="1" outlineLevel="1">
      <c r="H206" s="396" t="s">
        <v>441</v>
      </c>
      <c r="I206" s="396"/>
      <c r="J206" s="397"/>
      <c r="K206" s="397"/>
      <c r="L206" s="397"/>
      <c r="M206" s="397"/>
      <c r="N206" s="397"/>
      <c r="O206" s="397"/>
      <c r="P206" s="397">
        <v>1.13625</v>
      </c>
      <c r="Q206" s="397">
        <v>2.2850000000000002E-2</v>
      </c>
      <c r="R206" s="397">
        <v>2.4829999999999998E-2</v>
      </c>
      <c r="S206" s="397">
        <v>1.12653</v>
      </c>
      <c r="T206" s="397">
        <v>4.8619999999999997E-2</v>
      </c>
      <c r="U206" s="397">
        <v>2.3420000000000003E-2</v>
      </c>
      <c r="V206" s="397">
        <v>3.0629999999999998E-2</v>
      </c>
      <c r="W206" s="397">
        <v>3.4200000000000001E-2</v>
      </c>
      <c r="X206" s="397">
        <v>4</v>
      </c>
      <c r="Y206" s="397">
        <v>1.2960000000000001E-2</v>
      </c>
      <c r="Z206" s="397">
        <v>6.3E-3</v>
      </c>
      <c r="AA206" s="397">
        <v>8.2100000000000003E-3</v>
      </c>
      <c r="AB206" s="397">
        <v>8.3599999999999994E-3</v>
      </c>
      <c r="AC206" s="397">
        <v>1.1324799999999999</v>
      </c>
      <c r="AD206" s="397">
        <v>1.6570000000000001E-2</v>
      </c>
      <c r="AE206" s="397">
        <v>0.11866</v>
      </c>
      <c r="AF206" s="397">
        <v>1.7440000000000001E-2</v>
      </c>
      <c r="AG206" s="397">
        <v>6.0300000000000006E-3</v>
      </c>
      <c r="AH206" s="397">
        <v>1.67685</v>
      </c>
      <c r="AI206" s="397">
        <v>0</v>
      </c>
      <c r="AJ206" s="397">
        <v>0</v>
      </c>
      <c r="AK206" s="397">
        <v>0</v>
      </c>
      <c r="AL206" s="397">
        <v>0</v>
      </c>
      <c r="AM206" s="397">
        <v>0</v>
      </c>
      <c r="AN206" s="397">
        <v>0.55074000000000001</v>
      </c>
      <c r="AO206" s="397">
        <v>0</v>
      </c>
      <c r="AP206" s="397">
        <v>1.10148</v>
      </c>
      <c r="AQ206" s="397">
        <v>7.5549999999999997</v>
      </c>
      <c r="AR206" s="397">
        <v>0.21046999999999999</v>
      </c>
      <c r="AS206" s="397">
        <v>3.5</v>
      </c>
      <c r="AT206" s="397">
        <v>0</v>
      </c>
      <c r="AU206" s="397">
        <v>0</v>
      </c>
      <c r="AV206" s="397">
        <v>0</v>
      </c>
      <c r="AW206" s="397">
        <v>1.5006599999999999</v>
      </c>
    </row>
    <row r="207" spans="1:49" ht="15.75" hidden="1" customHeight="1" outlineLevel="1">
      <c r="H207" s="396" t="s">
        <v>2310</v>
      </c>
      <c r="I207" s="396"/>
      <c r="J207" s="397"/>
      <c r="K207" s="397"/>
      <c r="L207" s="397"/>
      <c r="M207" s="397"/>
      <c r="N207" s="397"/>
      <c r="O207" s="397"/>
      <c r="P207" s="397">
        <v>0</v>
      </c>
      <c r="Q207" s="397">
        <v>0</v>
      </c>
      <c r="R207" s="397">
        <v>0</v>
      </c>
      <c r="S207" s="397">
        <v>0</v>
      </c>
      <c r="T207" s="397">
        <v>0</v>
      </c>
      <c r="U207" s="397">
        <v>0</v>
      </c>
      <c r="V207" s="397">
        <v>0</v>
      </c>
      <c r="W207" s="397">
        <v>0</v>
      </c>
      <c r="X207" s="397">
        <v>0</v>
      </c>
      <c r="Y207" s="397">
        <v>0</v>
      </c>
      <c r="Z207" s="397">
        <v>0</v>
      </c>
      <c r="AA207" s="397">
        <v>0</v>
      </c>
      <c r="AB207" s="397">
        <v>0</v>
      </c>
      <c r="AC207" s="397">
        <v>0</v>
      </c>
      <c r="AD207" s="397">
        <v>0</v>
      </c>
      <c r="AE207" s="397">
        <v>0</v>
      </c>
      <c r="AF207" s="397">
        <v>0</v>
      </c>
      <c r="AG207" s="397">
        <v>0</v>
      </c>
      <c r="AH207" s="397">
        <v>0</v>
      </c>
      <c r="AI207" s="397">
        <v>0</v>
      </c>
      <c r="AJ207" s="397">
        <v>0</v>
      </c>
      <c r="AK207" s="397">
        <v>0</v>
      </c>
      <c r="AL207" s="397">
        <v>0</v>
      </c>
      <c r="AM207" s="397">
        <v>0</v>
      </c>
      <c r="AN207" s="397">
        <v>0</v>
      </c>
      <c r="AO207" s="397">
        <v>0</v>
      </c>
      <c r="AP207" s="397">
        <v>0</v>
      </c>
      <c r="AQ207" s="397">
        <v>0</v>
      </c>
      <c r="AR207" s="397">
        <v>0</v>
      </c>
      <c r="AS207" s="397">
        <v>0</v>
      </c>
      <c r="AT207" s="397">
        <v>0</v>
      </c>
      <c r="AU207" s="397">
        <v>0</v>
      </c>
      <c r="AV207" s="397">
        <v>0</v>
      </c>
      <c r="AW207" s="397">
        <v>0</v>
      </c>
    </row>
    <row r="208" spans="1:49" ht="15.75" customHeight="1" collapsed="1">
      <c r="A208" s="3" t="s">
        <v>178</v>
      </c>
      <c r="H208" s="399" t="s">
        <v>178</v>
      </c>
      <c r="I208" s="399"/>
      <c r="J208" s="400">
        <f t="shared" ref="J208:J210" si="84">SUMIFS($P208:$AW208,$P$3:$AW$3,J$4)</f>
        <v>7.7743399999999996</v>
      </c>
      <c r="K208" s="400">
        <f t="shared" ref="K208:K210" si="85">J208-AE208-AF208</f>
        <v>7.6382399999999997</v>
      </c>
      <c r="L208" s="400">
        <f t="shared" ref="L208:N208" si="86">SUMIFS($P208:$AW208,$P$3:$AW$3,L$4)</f>
        <v>4.8119499999999995</v>
      </c>
      <c r="M208" s="400">
        <f t="shared" si="86"/>
        <v>2.2275900000000002</v>
      </c>
      <c r="N208" s="400">
        <f t="shared" si="86"/>
        <v>1.5006599999999999</v>
      </c>
      <c r="O208" s="400"/>
      <c r="P208" s="400">
        <f t="shared" ref="P208:AW208" si="87">SUBTOTAL(9,P206:P207)</f>
        <v>1.13625</v>
      </c>
      <c r="Q208" s="400">
        <f t="shared" si="87"/>
        <v>2.2850000000000002E-2</v>
      </c>
      <c r="R208" s="400">
        <f t="shared" si="87"/>
        <v>2.4829999999999998E-2</v>
      </c>
      <c r="S208" s="400">
        <f t="shared" si="87"/>
        <v>1.12653</v>
      </c>
      <c r="T208" s="400">
        <f t="shared" si="87"/>
        <v>4.8619999999999997E-2</v>
      </c>
      <c r="U208" s="400">
        <f t="shared" si="87"/>
        <v>2.3420000000000003E-2</v>
      </c>
      <c r="V208" s="400">
        <f t="shared" si="87"/>
        <v>3.0629999999999998E-2</v>
      </c>
      <c r="W208" s="400">
        <f t="shared" si="87"/>
        <v>3.4200000000000001E-2</v>
      </c>
      <c r="X208" s="400">
        <f t="shared" si="87"/>
        <v>4</v>
      </c>
      <c r="Y208" s="400">
        <f t="shared" si="87"/>
        <v>1.2960000000000001E-2</v>
      </c>
      <c r="Z208" s="400">
        <f t="shared" si="87"/>
        <v>6.3E-3</v>
      </c>
      <c r="AA208" s="400">
        <f t="shared" si="87"/>
        <v>8.2100000000000003E-3</v>
      </c>
      <c r="AB208" s="400">
        <f t="shared" si="87"/>
        <v>8.3599999999999994E-3</v>
      </c>
      <c r="AC208" s="400">
        <f t="shared" si="87"/>
        <v>1.1324799999999999</v>
      </c>
      <c r="AD208" s="400">
        <f t="shared" si="87"/>
        <v>1.6570000000000001E-2</v>
      </c>
      <c r="AE208" s="400">
        <f t="shared" si="87"/>
        <v>0.11866</v>
      </c>
      <c r="AF208" s="400">
        <f t="shared" si="87"/>
        <v>1.7440000000000001E-2</v>
      </c>
      <c r="AG208" s="400">
        <f t="shared" si="87"/>
        <v>6.0300000000000006E-3</v>
      </c>
      <c r="AH208" s="400">
        <f t="shared" si="87"/>
        <v>1.67685</v>
      </c>
      <c r="AI208" s="400">
        <f t="shared" si="87"/>
        <v>0</v>
      </c>
      <c r="AJ208" s="400">
        <f t="shared" si="87"/>
        <v>0</v>
      </c>
      <c r="AK208" s="400">
        <f t="shared" si="87"/>
        <v>0</v>
      </c>
      <c r="AL208" s="400">
        <f t="shared" si="87"/>
        <v>0</v>
      </c>
      <c r="AM208" s="400">
        <f t="shared" si="87"/>
        <v>0</v>
      </c>
      <c r="AN208" s="400">
        <f t="shared" si="87"/>
        <v>0.55074000000000001</v>
      </c>
      <c r="AO208" s="400">
        <f t="shared" si="87"/>
        <v>0</v>
      </c>
      <c r="AP208" s="400">
        <f t="shared" si="87"/>
        <v>1.10148</v>
      </c>
      <c r="AQ208" s="400">
        <f t="shared" si="87"/>
        <v>7.5549999999999997</v>
      </c>
      <c r="AR208" s="400">
        <f t="shared" si="87"/>
        <v>0.21046999999999999</v>
      </c>
      <c r="AS208" s="400">
        <f t="shared" si="87"/>
        <v>3.5</v>
      </c>
      <c r="AT208" s="400">
        <f t="shared" si="87"/>
        <v>0</v>
      </c>
      <c r="AU208" s="400">
        <f t="shared" si="87"/>
        <v>0</v>
      </c>
      <c r="AV208" s="400">
        <f t="shared" si="87"/>
        <v>0</v>
      </c>
      <c r="AW208" s="400">
        <f t="shared" si="87"/>
        <v>1.5006599999999999</v>
      </c>
    </row>
    <row r="209" spans="1:49" ht="15.75" customHeight="1">
      <c r="A209" s="3" t="s">
        <v>179</v>
      </c>
      <c r="H209" s="399" t="s">
        <v>179</v>
      </c>
      <c r="I209" s="399"/>
      <c r="J209" s="400">
        <f t="shared" si="84"/>
        <v>3254.2021099999997</v>
      </c>
      <c r="K209" s="400">
        <f t="shared" si="85"/>
        <v>251.44215999999989</v>
      </c>
      <c r="L209" s="400">
        <f t="shared" ref="L209:N209" si="88">SUMIFS($P209:$AW209,$P$3:$AW$3,L$4)</f>
        <v>3.2896500000000004</v>
      </c>
      <c r="M209" s="400">
        <f t="shared" si="88"/>
        <v>1241.8837999999996</v>
      </c>
      <c r="N209" s="400">
        <f t="shared" si="88"/>
        <v>14.46209</v>
      </c>
      <c r="O209" s="400"/>
      <c r="P209" s="400">
        <v>1.84E-2</v>
      </c>
      <c r="Q209" s="400">
        <v>1.0160000000000001E-2</v>
      </c>
      <c r="R209" s="400">
        <v>2.614E-2</v>
      </c>
      <c r="S209" s="400">
        <v>2.002E-2</v>
      </c>
      <c r="T209" s="400">
        <v>1.59345</v>
      </c>
      <c r="U209" s="400">
        <v>5.8409999999999997E-2</v>
      </c>
      <c r="V209" s="400">
        <v>1.9271299999999998</v>
      </c>
      <c r="W209" s="400">
        <v>3.8630000000000005E-2</v>
      </c>
      <c r="X209" s="400">
        <v>0</v>
      </c>
      <c r="Y209" s="400">
        <v>8.8500000000000002E-3</v>
      </c>
      <c r="Z209" s="400">
        <v>1.316E-2</v>
      </c>
      <c r="AA209" s="400">
        <v>2.077E-2</v>
      </c>
      <c r="AB209" s="400">
        <v>247.57700999999994</v>
      </c>
      <c r="AC209" s="400">
        <v>4.6840000000000007E-2</v>
      </c>
      <c r="AD209" s="400">
        <v>5.8770000000000003E-2</v>
      </c>
      <c r="AE209" s="400">
        <v>3002.7464599999998</v>
      </c>
      <c r="AF209" s="400">
        <v>1.349E-2</v>
      </c>
      <c r="AG209" s="400">
        <v>2.4420000000000001E-2</v>
      </c>
      <c r="AH209" s="400">
        <v>914.48327999999981</v>
      </c>
      <c r="AI209" s="400">
        <v>0.19281000000000001</v>
      </c>
      <c r="AJ209" s="400">
        <v>0</v>
      </c>
      <c r="AK209" s="400">
        <v>0.16005</v>
      </c>
      <c r="AL209" s="400">
        <v>327.04765999999995</v>
      </c>
      <c r="AM209" s="400">
        <v>9.6319999999999989E-2</v>
      </c>
      <c r="AN209" s="400">
        <v>9.6489999999999992E-2</v>
      </c>
      <c r="AO209" s="400">
        <v>2.2079999999999999E-2</v>
      </c>
      <c r="AP209" s="400">
        <v>1.0880000000000001E-2</v>
      </c>
      <c r="AQ209" s="400">
        <v>56.810279999999999</v>
      </c>
      <c r="AR209" s="400">
        <v>3.31E-3</v>
      </c>
      <c r="AS209" s="400">
        <v>0.38517999999999997</v>
      </c>
      <c r="AT209" s="400">
        <v>1.494E-2</v>
      </c>
      <c r="AU209" s="400">
        <v>1.6309999999999998E-2</v>
      </c>
      <c r="AV209" s="400">
        <v>2.8369500000000003</v>
      </c>
      <c r="AW209" s="400">
        <v>14.46209</v>
      </c>
    </row>
    <row r="210" spans="1:49" ht="15.75" customHeight="1">
      <c r="A210" s="3" t="s">
        <v>180</v>
      </c>
      <c r="H210" s="399" t="s">
        <v>180</v>
      </c>
      <c r="I210" s="399"/>
      <c r="J210" s="400">
        <f t="shared" si="84"/>
        <v>685.41890999999998</v>
      </c>
      <c r="K210" s="400">
        <f t="shared" si="85"/>
        <v>585.40375000000006</v>
      </c>
      <c r="L210" s="400">
        <f t="shared" ref="L210:N210" si="89">SUMIFS($P210:$AW210,$P$3:$AW$3,L$4)</f>
        <v>272.97928000000002</v>
      </c>
      <c r="M210" s="400">
        <f t="shared" si="89"/>
        <v>201.59348</v>
      </c>
      <c r="N210" s="400">
        <f t="shared" si="89"/>
        <v>39.179400000000001</v>
      </c>
      <c r="O210" s="400"/>
      <c r="P210" s="400">
        <v>38.656580000000005</v>
      </c>
      <c r="Q210" s="400">
        <v>38.517240000000001</v>
      </c>
      <c r="R210" s="400">
        <v>38.535270000000004</v>
      </c>
      <c r="S210" s="400">
        <v>38.468840000000007</v>
      </c>
      <c r="T210" s="400">
        <v>39.823050000000002</v>
      </c>
      <c r="U210" s="400">
        <v>38.627309999999994</v>
      </c>
      <c r="V210" s="400">
        <v>39.701640000000005</v>
      </c>
      <c r="W210" s="400">
        <v>39.019929999999995</v>
      </c>
      <c r="X210" s="400">
        <v>0</v>
      </c>
      <c r="Y210" s="400">
        <v>38.84299</v>
      </c>
      <c r="Z210" s="400">
        <v>38.510709999999996</v>
      </c>
      <c r="AA210" s="400">
        <v>38.495759999999997</v>
      </c>
      <c r="AB210" s="400">
        <v>38.541989999999998</v>
      </c>
      <c r="AC210" s="400">
        <v>42.206049999999998</v>
      </c>
      <c r="AD210" s="400">
        <v>38.98171</v>
      </c>
      <c r="AE210" s="400">
        <v>82.426929999999984</v>
      </c>
      <c r="AF210" s="400">
        <v>17.588229999999999</v>
      </c>
      <c r="AG210" s="400">
        <v>38.474679999999999</v>
      </c>
      <c r="AH210" s="400">
        <v>38.421570000000003</v>
      </c>
      <c r="AI210" s="400">
        <v>38.421579999999999</v>
      </c>
      <c r="AJ210" s="400">
        <v>9.462060000000001</v>
      </c>
      <c r="AK210" s="400">
        <v>38.433090000000007</v>
      </c>
      <c r="AL210" s="400">
        <v>38.421579999999999</v>
      </c>
      <c r="AM210" s="400">
        <v>38.428350000000009</v>
      </c>
      <c r="AN210" s="400">
        <v>38.42683000000001</v>
      </c>
      <c r="AO210" s="400">
        <v>38.41357</v>
      </c>
      <c r="AP210" s="400">
        <v>38.413590000000006</v>
      </c>
      <c r="AQ210" s="400">
        <v>10.5694</v>
      </c>
      <c r="AR210" s="400">
        <v>39.274180000000001</v>
      </c>
      <c r="AS210" s="400">
        <v>41.629129999999996</v>
      </c>
      <c r="AT210" s="400">
        <v>38.413599999999995</v>
      </c>
      <c r="AU210" s="400">
        <v>38.413599999999995</v>
      </c>
      <c r="AV210" s="400">
        <v>38.421610000000001</v>
      </c>
      <c r="AW210" s="400">
        <v>39.179400000000001</v>
      </c>
    </row>
    <row r="211" spans="1:49" ht="15.75" hidden="1" customHeight="1" outlineLevel="1">
      <c r="H211" s="396" t="s">
        <v>2311</v>
      </c>
      <c r="I211" s="396"/>
      <c r="J211" s="397"/>
      <c r="K211" s="397"/>
      <c r="L211" s="397"/>
      <c r="M211" s="397"/>
      <c r="N211" s="397"/>
      <c r="O211" s="397"/>
      <c r="P211" s="397">
        <v>9.7514699999999976</v>
      </c>
      <c r="Q211" s="397">
        <v>6.6462099999999991</v>
      </c>
      <c r="R211" s="397">
        <v>11.768550000000001</v>
      </c>
      <c r="S211" s="397">
        <v>13.394390000000001</v>
      </c>
      <c r="T211" s="397">
        <v>42.690089999999991</v>
      </c>
      <c r="U211" s="397">
        <v>15.428350000000002</v>
      </c>
      <c r="V211" s="397">
        <v>34.835129999999999</v>
      </c>
      <c r="W211" s="397">
        <v>14.175239999999999</v>
      </c>
      <c r="X211" s="397">
        <v>26.44228</v>
      </c>
      <c r="Y211" s="397">
        <v>7.25326</v>
      </c>
      <c r="Z211" s="397">
        <v>12.622579999999999</v>
      </c>
      <c r="AA211" s="397">
        <v>5.6205300000000005</v>
      </c>
      <c r="AB211" s="397">
        <v>2.7585000000000002</v>
      </c>
      <c r="AC211" s="397">
        <v>24.955410000000004</v>
      </c>
      <c r="AD211" s="397">
        <v>11.501859999999997</v>
      </c>
      <c r="AE211" s="397">
        <v>86.131029999999996</v>
      </c>
      <c r="AF211" s="397">
        <v>8.1946900000000014</v>
      </c>
      <c r="AG211" s="397">
        <v>7.2378200000000001</v>
      </c>
      <c r="AH211" s="397">
        <v>22.55591999999999</v>
      </c>
      <c r="AI211" s="397">
        <v>12.444440000000002</v>
      </c>
      <c r="AJ211" s="397">
        <v>26.348059999999997</v>
      </c>
      <c r="AK211" s="397">
        <v>1.4036500000000001</v>
      </c>
      <c r="AL211" s="397">
        <v>12.972849999999999</v>
      </c>
      <c r="AM211" s="397">
        <v>9.0455799999999993</v>
      </c>
      <c r="AN211" s="397">
        <v>1.1819799999999998</v>
      </c>
      <c r="AO211" s="397">
        <v>20.106780000000001</v>
      </c>
      <c r="AP211" s="397">
        <v>18.04082</v>
      </c>
      <c r="AQ211" s="397">
        <v>5.6679599999999999</v>
      </c>
      <c r="AR211" s="397">
        <v>7.1404500000000004</v>
      </c>
      <c r="AS211" s="397">
        <v>19.320790000000002</v>
      </c>
      <c r="AT211" s="397">
        <v>10.561509999999998</v>
      </c>
      <c r="AU211" s="397">
        <v>33.444269999999996</v>
      </c>
      <c r="AV211" s="397">
        <v>35.458890000000004</v>
      </c>
      <c r="AW211" s="397">
        <v>53.935099999999998</v>
      </c>
    </row>
    <row r="212" spans="1:49" ht="15.75" hidden="1" customHeight="1" outlineLevel="1">
      <c r="H212" s="396" t="s">
        <v>2312</v>
      </c>
      <c r="I212" s="396"/>
      <c r="J212" s="397"/>
      <c r="K212" s="397"/>
      <c r="L212" s="397"/>
      <c r="M212" s="397"/>
      <c r="N212" s="397"/>
      <c r="O212" s="397"/>
      <c r="P212" s="397">
        <v>0</v>
      </c>
      <c r="Q212" s="397">
        <v>0</v>
      </c>
      <c r="R212" s="397">
        <v>0</v>
      </c>
      <c r="S212" s="397">
        <v>0</v>
      </c>
      <c r="T212" s="397">
        <v>0</v>
      </c>
      <c r="U212" s="397">
        <v>0</v>
      </c>
      <c r="V212" s="397">
        <v>0</v>
      </c>
      <c r="W212" s="397">
        <v>0</v>
      </c>
      <c r="X212" s="397">
        <v>0</v>
      </c>
      <c r="Y212" s="397">
        <v>0</v>
      </c>
      <c r="Z212" s="397">
        <v>0</v>
      </c>
      <c r="AA212" s="397">
        <v>0</v>
      </c>
      <c r="AB212" s="397">
        <v>0</v>
      </c>
      <c r="AC212" s="397">
        <v>0</v>
      </c>
      <c r="AD212" s="397">
        <v>0</v>
      </c>
      <c r="AE212" s="397">
        <v>0</v>
      </c>
      <c r="AF212" s="397">
        <v>0</v>
      </c>
      <c r="AG212" s="397">
        <v>0</v>
      </c>
      <c r="AH212" s="397">
        <v>0</v>
      </c>
      <c r="AI212" s="397">
        <v>0</v>
      </c>
      <c r="AJ212" s="397">
        <v>0</v>
      </c>
      <c r="AK212" s="397">
        <v>0</v>
      </c>
      <c r="AL212" s="397">
        <v>0</v>
      </c>
      <c r="AM212" s="397">
        <v>0</v>
      </c>
      <c r="AN212" s="397">
        <v>0</v>
      </c>
      <c r="AO212" s="397">
        <v>0</v>
      </c>
      <c r="AP212" s="397">
        <v>0</v>
      </c>
      <c r="AQ212" s="397">
        <v>0</v>
      </c>
      <c r="AR212" s="397">
        <v>0</v>
      </c>
      <c r="AS212" s="397">
        <v>0</v>
      </c>
      <c r="AT212" s="397">
        <v>0</v>
      </c>
      <c r="AU212" s="397">
        <v>0</v>
      </c>
      <c r="AV212" s="397">
        <v>0</v>
      </c>
      <c r="AW212" s="397">
        <v>0</v>
      </c>
    </row>
    <row r="213" spans="1:49" ht="15.75" hidden="1" customHeight="1" outlineLevel="1">
      <c r="H213" s="396" t="s">
        <v>2313</v>
      </c>
      <c r="I213" s="396"/>
      <c r="J213" s="397"/>
      <c r="K213" s="397"/>
      <c r="L213" s="397"/>
      <c r="M213" s="397"/>
      <c r="N213" s="397"/>
      <c r="O213" s="397"/>
      <c r="P213" s="397">
        <v>0</v>
      </c>
      <c r="Q213" s="397">
        <v>0</v>
      </c>
      <c r="R213" s="397">
        <v>0</v>
      </c>
      <c r="S213" s="397">
        <v>0</v>
      </c>
      <c r="T213" s="397">
        <v>0</v>
      </c>
      <c r="U213" s="397">
        <v>0</v>
      </c>
      <c r="V213" s="397">
        <v>0</v>
      </c>
      <c r="W213" s="397">
        <v>0</v>
      </c>
      <c r="X213" s="397">
        <v>0</v>
      </c>
      <c r="Y213" s="397">
        <v>0</v>
      </c>
      <c r="Z213" s="397">
        <v>0</v>
      </c>
      <c r="AA213" s="397">
        <v>0</v>
      </c>
      <c r="AB213" s="397">
        <v>0</v>
      </c>
      <c r="AC213" s="397">
        <v>0</v>
      </c>
      <c r="AD213" s="397">
        <v>0</v>
      </c>
      <c r="AE213" s="397">
        <v>0</v>
      </c>
      <c r="AF213" s="397">
        <v>0</v>
      </c>
      <c r="AG213" s="397">
        <v>0</v>
      </c>
      <c r="AH213" s="397">
        <v>0</v>
      </c>
      <c r="AI213" s="397">
        <v>0</v>
      </c>
      <c r="AJ213" s="397">
        <v>0</v>
      </c>
      <c r="AK213" s="397">
        <v>0</v>
      </c>
      <c r="AL213" s="397">
        <v>0</v>
      </c>
      <c r="AM213" s="397">
        <v>0</v>
      </c>
      <c r="AN213" s="397">
        <v>0</v>
      </c>
      <c r="AO213" s="397">
        <v>0</v>
      </c>
      <c r="AP213" s="397">
        <v>0</v>
      </c>
      <c r="AQ213" s="397">
        <v>0</v>
      </c>
      <c r="AR213" s="397">
        <v>0</v>
      </c>
      <c r="AS213" s="397">
        <v>0</v>
      </c>
      <c r="AT213" s="397">
        <v>0</v>
      </c>
      <c r="AU213" s="397">
        <v>0</v>
      </c>
      <c r="AV213" s="397">
        <v>0</v>
      </c>
      <c r="AW213" s="397">
        <v>0</v>
      </c>
    </row>
    <row r="214" spans="1:49" ht="15.75" hidden="1" customHeight="1" outlineLevel="1">
      <c r="H214" s="396" t="s">
        <v>2314</v>
      </c>
      <c r="I214" s="396"/>
      <c r="J214" s="397"/>
      <c r="K214" s="397"/>
      <c r="L214" s="397"/>
      <c r="M214" s="397"/>
      <c r="N214" s="397"/>
      <c r="O214" s="397"/>
      <c r="P214" s="397">
        <v>0</v>
      </c>
      <c r="Q214" s="397">
        <v>0.1</v>
      </c>
      <c r="R214" s="397">
        <v>0.3</v>
      </c>
      <c r="S214" s="397">
        <v>0</v>
      </c>
      <c r="T214" s="397">
        <v>0</v>
      </c>
      <c r="U214" s="397">
        <v>0</v>
      </c>
      <c r="V214" s="397">
        <v>0</v>
      </c>
      <c r="W214" s="397">
        <v>0</v>
      </c>
      <c r="X214" s="397">
        <v>0</v>
      </c>
      <c r="Y214" s="397">
        <v>0.2</v>
      </c>
      <c r="Z214" s="397">
        <v>0.1</v>
      </c>
      <c r="AA214" s="397">
        <v>0.2</v>
      </c>
      <c r="AB214" s="397">
        <v>0.1</v>
      </c>
      <c r="AC214" s="397">
        <v>0.5</v>
      </c>
      <c r="AD214" s="397">
        <v>0</v>
      </c>
      <c r="AE214" s="397">
        <v>0</v>
      </c>
      <c r="AF214" s="397">
        <v>0</v>
      </c>
      <c r="AG214" s="397">
        <v>0.1</v>
      </c>
      <c r="AH214" s="397">
        <v>0</v>
      </c>
      <c r="AI214" s="397">
        <v>0</v>
      </c>
      <c r="AJ214" s="397">
        <v>0</v>
      </c>
      <c r="AK214" s="397">
        <v>0</v>
      </c>
      <c r="AL214" s="397">
        <v>0</v>
      </c>
      <c r="AM214" s="397">
        <v>0</v>
      </c>
      <c r="AN214" s="397">
        <v>0</v>
      </c>
      <c r="AO214" s="397">
        <v>0.1</v>
      </c>
      <c r="AP214" s="397">
        <v>0.1</v>
      </c>
      <c r="AQ214" s="397">
        <v>0</v>
      </c>
      <c r="AR214" s="397">
        <v>0</v>
      </c>
      <c r="AS214" s="397">
        <v>0</v>
      </c>
      <c r="AT214" s="397">
        <v>0</v>
      </c>
      <c r="AU214" s="397">
        <v>0</v>
      </c>
      <c r="AV214" s="397">
        <v>0</v>
      </c>
      <c r="AW214" s="397">
        <v>0</v>
      </c>
    </row>
    <row r="215" spans="1:49" ht="15.75" hidden="1" customHeight="1" outlineLevel="1">
      <c r="H215" s="396" t="s">
        <v>2315</v>
      </c>
      <c r="I215" s="396"/>
      <c r="J215" s="397"/>
      <c r="K215" s="397"/>
      <c r="L215" s="397"/>
      <c r="M215" s="397"/>
      <c r="N215" s="397"/>
      <c r="O215" s="397"/>
      <c r="P215" s="397">
        <v>0</v>
      </c>
      <c r="Q215" s="397">
        <v>0</v>
      </c>
      <c r="R215" s="397">
        <v>0</v>
      </c>
      <c r="S215" s="397">
        <v>0</v>
      </c>
      <c r="T215" s="397">
        <v>0</v>
      </c>
      <c r="U215" s="397">
        <v>0</v>
      </c>
      <c r="V215" s="397">
        <v>0</v>
      </c>
      <c r="W215" s="397">
        <v>0</v>
      </c>
      <c r="X215" s="397">
        <v>0</v>
      </c>
      <c r="Y215" s="397">
        <v>0</v>
      </c>
      <c r="Z215" s="397">
        <v>0</v>
      </c>
      <c r="AA215" s="397">
        <v>0</v>
      </c>
      <c r="AB215" s="397">
        <v>0</v>
      </c>
      <c r="AC215" s="397">
        <v>0</v>
      </c>
      <c r="AD215" s="397">
        <v>0</v>
      </c>
      <c r="AE215" s="397">
        <v>0</v>
      </c>
      <c r="AF215" s="397">
        <v>0.16905000000000001</v>
      </c>
      <c r="AG215" s="397">
        <v>0</v>
      </c>
      <c r="AH215" s="397">
        <v>0</v>
      </c>
      <c r="AI215" s="397">
        <v>0</v>
      </c>
      <c r="AJ215" s="397">
        <v>0</v>
      </c>
      <c r="AK215" s="397">
        <v>0</v>
      </c>
      <c r="AL215" s="397">
        <v>0</v>
      </c>
      <c r="AM215" s="397">
        <v>0</v>
      </c>
      <c r="AN215" s="397">
        <v>0</v>
      </c>
      <c r="AO215" s="397">
        <v>0</v>
      </c>
      <c r="AP215" s="397">
        <v>1.3900000000000001E-2</v>
      </c>
      <c r="AQ215" s="397">
        <v>0</v>
      </c>
      <c r="AR215" s="397">
        <v>0</v>
      </c>
      <c r="AS215" s="397">
        <v>0</v>
      </c>
      <c r="AT215" s="397">
        <v>0</v>
      </c>
      <c r="AU215" s="397">
        <v>0</v>
      </c>
      <c r="AV215" s="397">
        <v>0</v>
      </c>
      <c r="AW215" s="397">
        <v>0</v>
      </c>
    </row>
    <row r="216" spans="1:49" ht="15.75" customHeight="1" collapsed="1">
      <c r="A216" s="3" t="s">
        <v>181</v>
      </c>
      <c r="H216" s="399" t="s">
        <v>181</v>
      </c>
      <c r="I216" s="399"/>
      <c r="J216" s="400">
        <f>SUMIFS($P216:$AW216,$P$3:$AW$3,J$4)</f>
        <v>343.17644000000001</v>
      </c>
      <c r="K216" s="400">
        <f>J216-AE216-AF216</f>
        <v>248.68167</v>
      </c>
      <c r="L216" s="400">
        <f t="shared" ref="L216:N216" si="90">SUMIFS($P216:$AW216,$P$3:$AW$3,L$4)</f>
        <v>144.28740999999999</v>
      </c>
      <c r="M216" s="400">
        <f t="shared" si="90"/>
        <v>73.50803999999998</v>
      </c>
      <c r="N216" s="400">
        <f t="shared" si="90"/>
        <v>53.935099999999998</v>
      </c>
      <c r="O216" s="400"/>
      <c r="P216" s="400">
        <f t="shared" ref="P216:AW216" si="91">SUBTOTAL(9,P211:P215)</f>
        <v>9.7514699999999976</v>
      </c>
      <c r="Q216" s="400">
        <f t="shared" si="91"/>
        <v>6.7462099999999987</v>
      </c>
      <c r="R216" s="400">
        <f t="shared" si="91"/>
        <v>12.068550000000002</v>
      </c>
      <c r="S216" s="400">
        <f t="shared" si="91"/>
        <v>13.394390000000001</v>
      </c>
      <c r="T216" s="400">
        <f t="shared" si="91"/>
        <v>42.690089999999991</v>
      </c>
      <c r="U216" s="400">
        <f t="shared" si="91"/>
        <v>15.428350000000002</v>
      </c>
      <c r="V216" s="400">
        <f t="shared" si="91"/>
        <v>34.835129999999999</v>
      </c>
      <c r="W216" s="400">
        <f t="shared" si="91"/>
        <v>14.175239999999999</v>
      </c>
      <c r="X216" s="400">
        <f t="shared" si="91"/>
        <v>26.44228</v>
      </c>
      <c r="Y216" s="400">
        <f t="shared" si="91"/>
        <v>7.4532600000000002</v>
      </c>
      <c r="Z216" s="400">
        <f t="shared" si="91"/>
        <v>12.722579999999999</v>
      </c>
      <c r="AA216" s="400">
        <f t="shared" si="91"/>
        <v>5.8205300000000006</v>
      </c>
      <c r="AB216" s="400">
        <f t="shared" si="91"/>
        <v>2.8585000000000003</v>
      </c>
      <c r="AC216" s="400">
        <f t="shared" si="91"/>
        <v>25.455410000000004</v>
      </c>
      <c r="AD216" s="400">
        <f t="shared" si="91"/>
        <v>11.501859999999997</v>
      </c>
      <c r="AE216" s="400">
        <f t="shared" si="91"/>
        <v>86.131029999999996</v>
      </c>
      <c r="AF216" s="400">
        <f t="shared" si="91"/>
        <v>8.3637400000000017</v>
      </c>
      <c r="AG216" s="400">
        <f t="shared" si="91"/>
        <v>7.3378199999999998</v>
      </c>
      <c r="AH216" s="400">
        <f t="shared" si="91"/>
        <v>22.55591999999999</v>
      </c>
      <c r="AI216" s="400">
        <f t="shared" si="91"/>
        <v>12.444440000000002</v>
      </c>
      <c r="AJ216" s="400">
        <f t="shared" si="91"/>
        <v>26.348059999999997</v>
      </c>
      <c r="AK216" s="400">
        <f t="shared" si="91"/>
        <v>1.4036500000000001</v>
      </c>
      <c r="AL216" s="400">
        <f t="shared" si="91"/>
        <v>12.972849999999999</v>
      </c>
      <c r="AM216" s="400">
        <f t="shared" si="91"/>
        <v>9.0455799999999993</v>
      </c>
      <c r="AN216" s="400">
        <f t="shared" si="91"/>
        <v>1.1819799999999998</v>
      </c>
      <c r="AO216" s="400">
        <f t="shared" si="91"/>
        <v>20.206780000000002</v>
      </c>
      <c r="AP216" s="400">
        <f t="shared" si="91"/>
        <v>18.154720000000001</v>
      </c>
      <c r="AQ216" s="400">
        <f t="shared" si="91"/>
        <v>5.6679599999999999</v>
      </c>
      <c r="AR216" s="400">
        <f t="shared" si="91"/>
        <v>7.1404500000000004</v>
      </c>
      <c r="AS216" s="400">
        <f t="shared" si="91"/>
        <v>19.320790000000002</v>
      </c>
      <c r="AT216" s="400">
        <f t="shared" si="91"/>
        <v>10.561509999999998</v>
      </c>
      <c r="AU216" s="400">
        <f t="shared" si="91"/>
        <v>33.444269999999996</v>
      </c>
      <c r="AV216" s="400">
        <f t="shared" si="91"/>
        <v>35.458890000000004</v>
      </c>
      <c r="AW216" s="400">
        <f t="shared" si="91"/>
        <v>53.935099999999998</v>
      </c>
    </row>
    <row r="217" spans="1:49" ht="15.75" hidden="1" customHeight="1" outlineLevel="1">
      <c r="H217" s="396" t="s">
        <v>2316</v>
      </c>
      <c r="I217" s="396"/>
      <c r="J217" s="397"/>
      <c r="K217" s="397"/>
      <c r="L217" s="397"/>
      <c r="M217" s="397"/>
      <c r="N217" s="397"/>
      <c r="O217" s="397"/>
      <c r="P217" s="397">
        <v>4.3481300000000003</v>
      </c>
      <c r="Q217" s="397">
        <v>2.4851300000000007</v>
      </c>
      <c r="R217" s="397">
        <v>3.6254299999999997</v>
      </c>
      <c r="S217" s="397">
        <v>6.9766199999999987</v>
      </c>
      <c r="T217" s="397">
        <v>7.8595100000000002</v>
      </c>
      <c r="U217" s="397">
        <v>1.9268099999999999</v>
      </c>
      <c r="V217" s="397">
        <v>3.0515699999999999</v>
      </c>
      <c r="W217" s="397">
        <v>2.3996000000000004</v>
      </c>
      <c r="X217" s="397">
        <v>0</v>
      </c>
      <c r="Y217" s="397">
        <v>3.6000599999999996</v>
      </c>
      <c r="Z217" s="397">
        <v>2.3701200000000004</v>
      </c>
      <c r="AA217" s="397">
        <v>4.2081299999999997</v>
      </c>
      <c r="AB217" s="397">
        <v>2.3527100000000001</v>
      </c>
      <c r="AC217" s="397">
        <v>6.7871100000000002</v>
      </c>
      <c r="AD217" s="397">
        <v>2.6704999999999997</v>
      </c>
      <c r="AE217" s="397">
        <v>3.0426599999999997</v>
      </c>
      <c r="AF217" s="397">
        <v>2.392E-2</v>
      </c>
      <c r="AG217" s="397">
        <v>2.1067299999999998</v>
      </c>
      <c r="AH217" s="397">
        <v>28.943390000000001</v>
      </c>
      <c r="AI217" s="397">
        <v>2.9672599999999996</v>
      </c>
      <c r="AJ217" s="397">
        <v>0</v>
      </c>
      <c r="AK217" s="397">
        <v>0.84303000000000017</v>
      </c>
      <c r="AL217" s="397">
        <v>2.4326300000000001</v>
      </c>
      <c r="AM217" s="397">
        <v>2.4513500000000006</v>
      </c>
      <c r="AN217" s="397">
        <v>9.7100000000000016E-3</v>
      </c>
      <c r="AO217" s="397">
        <v>10.90198</v>
      </c>
      <c r="AP217" s="397">
        <v>11.836350000000003</v>
      </c>
      <c r="AQ217" s="397">
        <v>0</v>
      </c>
      <c r="AR217" s="397">
        <v>10.935829999999997</v>
      </c>
      <c r="AS217" s="397">
        <v>9.4106699999999996</v>
      </c>
      <c r="AT217" s="397">
        <v>7.2393999999999998</v>
      </c>
      <c r="AU217" s="397">
        <v>22.974989999999998</v>
      </c>
      <c r="AV217" s="397">
        <v>23.739920000000001</v>
      </c>
      <c r="AW217" s="397">
        <v>12.219819999999999</v>
      </c>
    </row>
    <row r="218" spans="1:49" ht="15.75" hidden="1" customHeight="1" outlineLevel="1">
      <c r="H218" s="396" t="s">
        <v>2317</v>
      </c>
      <c r="I218" s="396"/>
      <c r="J218" s="397"/>
      <c r="K218" s="397"/>
      <c r="L218" s="397"/>
      <c r="M218" s="397"/>
      <c r="N218" s="397"/>
      <c r="O218" s="397"/>
      <c r="P218" s="397">
        <v>0</v>
      </c>
      <c r="Q218" s="397">
        <v>0</v>
      </c>
      <c r="R218" s="397">
        <v>0</v>
      </c>
      <c r="S218" s="397">
        <v>0</v>
      </c>
      <c r="T218" s="397">
        <v>0</v>
      </c>
      <c r="U218" s="397">
        <v>0</v>
      </c>
      <c r="V218" s="397">
        <v>0</v>
      </c>
      <c r="W218" s="397">
        <v>0</v>
      </c>
      <c r="X218" s="397">
        <v>0</v>
      </c>
      <c r="Y218" s="397">
        <v>0</v>
      </c>
      <c r="Z218" s="397">
        <v>0</v>
      </c>
      <c r="AA218" s="397">
        <v>0</v>
      </c>
      <c r="AB218" s="397">
        <v>0</v>
      </c>
      <c r="AC218" s="397">
        <v>0</v>
      </c>
      <c r="AD218" s="397">
        <v>0</v>
      </c>
      <c r="AE218" s="397">
        <v>0</v>
      </c>
      <c r="AF218" s="397">
        <v>0</v>
      </c>
      <c r="AG218" s="397">
        <v>0</v>
      </c>
      <c r="AH218" s="397">
        <v>0</v>
      </c>
      <c r="AI218" s="397">
        <v>0</v>
      </c>
      <c r="AJ218" s="397">
        <v>0</v>
      </c>
      <c r="AK218" s="397">
        <v>0</v>
      </c>
      <c r="AL218" s="397">
        <v>0</v>
      </c>
      <c r="AM218" s="397">
        <v>0</v>
      </c>
      <c r="AN218" s="397">
        <v>0</v>
      </c>
      <c r="AO218" s="397">
        <v>0</v>
      </c>
      <c r="AP218" s="397">
        <v>0</v>
      </c>
      <c r="AQ218" s="397">
        <v>0</v>
      </c>
      <c r="AR218" s="397">
        <v>0</v>
      </c>
      <c r="AS218" s="397">
        <v>0</v>
      </c>
      <c r="AT218" s="397">
        <v>0</v>
      </c>
      <c r="AU218" s="397">
        <v>0</v>
      </c>
      <c r="AV218" s="397">
        <v>0</v>
      </c>
      <c r="AW218" s="397">
        <v>0</v>
      </c>
    </row>
    <row r="219" spans="1:49" ht="15.75" hidden="1" customHeight="1" outlineLevel="1">
      <c r="H219" s="396" t="s">
        <v>2318</v>
      </c>
      <c r="I219" s="396"/>
      <c r="J219" s="397"/>
      <c r="K219" s="397"/>
      <c r="L219" s="397"/>
      <c r="M219" s="397"/>
      <c r="N219" s="397"/>
      <c r="O219" s="397"/>
      <c r="P219" s="397">
        <v>9.3541600000000003</v>
      </c>
      <c r="Q219" s="397">
        <v>6.2216499999999995</v>
      </c>
      <c r="R219" s="397">
        <v>5.7536499999999995</v>
      </c>
      <c r="S219" s="397">
        <v>8.5537700000000001</v>
      </c>
      <c r="T219" s="397">
        <v>10.05311</v>
      </c>
      <c r="U219" s="397">
        <v>11.43615</v>
      </c>
      <c r="V219" s="397">
        <v>3.9767999999999999</v>
      </c>
      <c r="W219" s="397">
        <v>10.192339999999998</v>
      </c>
      <c r="X219" s="397">
        <v>3.5982500000000002</v>
      </c>
      <c r="Y219" s="397">
        <v>0.55723</v>
      </c>
      <c r="Z219" s="397">
        <v>8.3748500000000003</v>
      </c>
      <c r="AA219" s="397">
        <v>5.3902399999999995</v>
      </c>
      <c r="AB219" s="397">
        <v>6.9288999999999996</v>
      </c>
      <c r="AC219" s="397">
        <v>8.6056499999999989</v>
      </c>
      <c r="AD219" s="397">
        <v>12.00291</v>
      </c>
      <c r="AE219" s="397">
        <v>24.388439999999996</v>
      </c>
      <c r="AF219" s="397">
        <v>5.2920399999999992</v>
      </c>
      <c r="AG219" s="397">
        <v>6.7905000000000006</v>
      </c>
      <c r="AH219" s="397">
        <v>14.371700000000001</v>
      </c>
      <c r="AI219" s="397">
        <v>13.7735</v>
      </c>
      <c r="AJ219" s="397">
        <v>2.8129999999999999E-2</v>
      </c>
      <c r="AK219" s="397">
        <v>6.1776299999999997</v>
      </c>
      <c r="AL219" s="397">
        <v>9.8704300000000025</v>
      </c>
      <c r="AM219" s="397">
        <v>12.803330000000001</v>
      </c>
      <c r="AN219" s="397">
        <v>11.272070000000001</v>
      </c>
      <c r="AO219" s="397">
        <v>10.93295</v>
      </c>
      <c r="AP219" s="397">
        <v>19.342770000000005</v>
      </c>
      <c r="AQ219" s="397">
        <v>0.72104000000000013</v>
      </c>
      <c r="AR219" s="397">
        <v>6.31717</v>
      </c>
      <c r="AS219" s="397">
        <v>10.64545</v>
      </c>
      <c r="AT219" s="397">
        <v>15.48493</v>
      </c>
      <c r="AU219" s="397">
        <v>21.263150000000003</v>
      </c>
      <c r="AV219" s="397">
        <v>26.795950000000001</v>
      </c>
      <c r="AW219" s="397">
        <v>18.21011</v>
      </c>
    </row>
    <row r="220" spans="1:49" ht="15.75" hidden="1" customHeight="1" outlineLevel="1">
      <c r="H220" s="396" t="s">
        <v>2319</v>
      </c>
      <c r="I220" s="396"/>
      <c r="J220" s="397"/>
      <c r="K220" s="397"/>
      <c r="L220" s="397"/>
      <c r="M220" s="397"/>
      <c r="N220" s="397"/>
      <c r="O220" s="397"/>
      <c r="P220" s="397">
        <v>37.345839999999995</v>
      </c>
      <c r="Q220" s="397">
        <v>0</v>
      </c>
      <c r="R220" s="397">
        <v>5.1888800000000002</v>
      </c>
      <c r="S220" s="397">
        <v>7.2750000000000004</v>
      </c>
      <c r="T220" s="397">
        <v>0</v>
      </c>
      <c r="U220" s="397">
        <v>11.83793</v>
      </c>
      <c r="V220" s="397">
        <v>19.342699999999997</v>
      </c>
      <c r="W220" s="397">
        <v>8.8439999999999994</v>
      </c>
      <c r="X220" s="397">
        <v>0</v>
      </c>
      <c r="Y220" s="397">
        <v>0</v>
      </c>
      <c r="Z220" s="397">
        <v>0</v>
      </c>
      <c r="AA220" s="397">
        <v>0</v>
      </c>
      <c r="AB220" s="397">
        <v>0</v>
      </c>
      <c r="AC220" s="397">
        <v>0</v>
      </c>
      <c r="AD220" s="397">
        <v>0</v>
      </c>
      <c r="AE220" s="397">
        <v>0</v>
      </c>
      <c r="AF220" s="397">
        <v>0</v>
      </c>
      <c r="AG220" s="397">
        <v>0</v>
      </c>
      <c r="AH220" s="397">
        <v>0</v>
      </c>
      <c r="AI220" s="397">
        <v>0</v>
      </c>
      <c r="AJ220" s="397">
        <v>0</v>
      </c>
      <c r="AK220" s="397">
        <v>0</v>
      </c>
      <c r="AL220" s="397">
        <v>0</v>
      </c>
      <c r="AM220" s="397">
        <v>0</v>
      </c>
      <c r="AN220" s="397">
        <v>0</v>
      </c>
      <c r="AO220" s="397">
        <v>0</v>
      </c>
      <c r="AP220" s="397">
        <v>0</v>
      </c>
      <c r="AQ220" s="397">
        <v>0</v>
      </c>
      <c r="AR220" s="397">
        <v>0</v>
      </c>
      <c r="AS220" s="397">
        <v>0</v>
      </c>
      <c r="AT220" s="397">
        <v>0</v>
      </c>
      <c r="AU220" s="397">
        <v>0</v>
      </c>
      <c r="AV220" s="397">
        <v>0</v>
      </c>
      <c r="AW220" s="397">
        <v>0</v>
      </c>
    </row>
    <row r="221" spans="1:49" ht="15.75" hidden="1" customHeight="1" outlineLevel="1">
      <c r="H221" s="396" t="s">
        <v>2320</v>
      </c>
      <c r="I221" s="396"/>
      <c r="J221" s="397"/>
      <c r="K221" s="397"/>
      <c r="L221" s="397"/>
      <c r="M221" s="397"/>
      <c r="N221" s="397"/>
      <c r="O221" s="397"/>
      <c r="P221" s="397">
        <v>0.35649000000000003</v>
      </c>
      <c r="Q221" s="397">
        <v>0.24070999999999998</v>
      </c>
      <c r="R221" s="397">
        <v>0.35729999999999995</v>
      </c>
      <c r="S221" s="397">
        <v>0.21487000000000001</v>
      </c>
      <c r="T221" s="397">
        <v>1.1306500000000002</v>
      </c>
      <c r="U221" s="397">
        <v>0.26574999999999999</v>
      </c>
      <c r="V221" s="397">
        <v>0.43269000000000002</v>
      </c>
      <c r="W221" s="397">
        <v>0.30175000000000002</v>
      </c>
      <c r="X221" s="397">
        <v>0</v>
      </c>
      <c r="Y221" s="397">
        <v>0.25728000000000001</v>
      </c>
      <c r="Z221" s="397">
        <v>0.21059</v>
      </c>
      <c r="AA221" s="397">
        <v>0.24195999999999998</v>
      </c>
      <c r="AB221" s="397">
        <v>0.57428000000000001</v>
      </c>
      <c r="AC221" s="397">
        <v>0.62063000000000001</v>
      </c>
      <c r="AD221" s="397">
        <v>0.50505999999999995</v>
      </c>
      <c r="AE221" s="397">
        <v>1.7548999999999999</v>
      </c>
      <c r="AF221" s="397">
        <v>0.16322</v>
      </c>
      <c r="AG221" s="397">
        <v>0.38731000000000004</v>
      </c>
      <c r="AH221" s="397">
        <v>0.43478</v>
      </c>
      <c r="AI221" s="397">
        <v>0.36296999999999996</v>
      </c>
      <c r="AJ221" s="397">
        <v>1.0240000000000001E-2</v>
      </c>
      <c r="AK221" s="397">
        <v>0.1081</v>
      </c>
      <c r="AL221" s="397">
        <v>0.29202</v>
      </c>
      <c r="AM221" s="397">
        <v>6.1460000000000001E-2</v>
      </c>
      <c r="AN221" s="397">
        <v>3.3909999999999996E-2</v>
      </c>
      <c r="AO221" s="397">
        <v>0.33266000000000001</v>
      </c>
      <c r="AP221" s="397">
        <v>0.40439999999999998</v>
      </c>
      <c r="AQ221" s="397">
        <v>1.035E-2</v>
      </c>
      <c r="AR221" s="397">
        <v>0.26036999999999999</v>
      </c>
      <c r="AS221" s="397">
        <v>0.68929999999999991</v>
      </c>
      <c r="AT221" s="397">
        <v>0.20796999999999996</v>
      </c>
      <c r="AU221" s="397">
        <v>0.26699000000000001</v>
      </c>
      <c r="AV221" s="397">
        <v>0.75921999999999989</v>
      </c>
      <c r="AW221" s="397">
        <v>0.35469000000000001</v>
      </c>
    </row>
    <row r="222" spans="1:49" ht="15.75" hidden="1" customHeight="1" outlineLevel="1">
      <c r="H222" s="396" t="s">
        <v>2321</v>
      </c>
      <c r="I222" s="396"/>
      <c r="J222" s="397"/>
      <c r="K222" s="397"/>
      <c r="L222" s="397"/>
      <c r="M222" s="397"/>
      <c r="N222" s="397"/>
      <c r="O222" s="397"/>
      <c r="P222" s="397">
        <v>2.6120000000000001E-2</v>
      </c>
      <c r="Q222" s="397">
        <v>1.175E-2</v>
      </c>
      <c r="R222" s="397">
        <v>5.2199999999999998E-3</v>
      </c>
      <c r="S222" s="397">
        <v>5.2199999999999998E-3</v>
      </c>
      <c r="T222" s="397">
        <v>2.6120000000000001E-2</v>
      </c>
      <c r="U222" s="397">
        <v>1.567E-2</v>
      </c>
      <c r="V222" s="397">
        <v>5.2240000000000002E-2</v>
      </c>
      <c r="W222" s="397">
        <v>3.526E-2</v>
      </c>
      <c r="X222" s="397">
        <v>0</v>
      </c>
      <c r="Y222" s="397">
        <v>7.8399999999999997E-3</v>
      </c>
      <c r="Z222" s="397">
        <v>5.2199999999999998E-3</v>
      </c>
      <c r="AA222" s="397">
        <v>1.567E-2</v>
      </c>
      <c r="AB222" s="397">
        <v>1.0449999999999999E-2</v>
      </c>
      <c r="AC222" s="397">
        <v>1.567E-2</v>
      </c>
      <c r="AD222" s="397">
        <v>1.567E-2</v>
      </c>
      <c r="AE222" s="397">
        <v>0.44834999999999997</v>
      </c>
      <c r="AF222" s="397">
        <v>0</v>
      </c>
      <c r="AG222" s="397">
        <v>1.175E-2</v>
      </c>
      <c r="AH222" s="397">
        <v>0</v>
      </c>
      <c r="AI222" s="397">
        <v>0</v>
      </c>
      <c r="AJ222" s="397">
        <v>0</v>
      </c>
      <c r="AK222" s="397">
        <v>0</v>
      </c>
      <c r="AL222" s="397">
        <v>0</v>
      </c>
      <c r="AM222" s="397">
        <v>0</v>
      </c>
      <c r="AN222" s="397">
        <v>0</v>
      </c>
      <c r="AO222" s="397">
        <v>0.10120999999999999</v>
      </c>
      <c r="AP222" s="397">
        <v>2.8049999999999999E-2</v>
      </c>
      <c r="AQ222" s="397">
        <v>0</v>
      </c>
      <c r="AR222" s="397">
        <v>4.172E-2</v>
      </c>
      <c r="AS222" s="397">
        <v>0</v>
      </c>
      <c r="AT222" s="397">
        <v>8.1810000000000008E-2</v>
      </c>
      <c r="AU222" s="397">
        <v>0.10933000000000001</v>
      </c>
      <c r="AV222" s="397">
        <v>0.16583000000000001</v>
      </c>
      <c r="AW222" s="397">
        <v>0</v>
      </c>
    </row>
    <row r="223" spans="1:49" ht="15.75" hidden="1" customHeight="1" outlineLevel="1">
      <c r="H223" s="396" t="s">
        <v>2322</v>
      </c>
      <c r="I223" s="396"/>
      <c r="J223" s="397"/>
      <c r="K223" s="397"/>
      <c r="L223" s="397"/>
      <c r="M223" s="397"/>
      <c r="N223" s="397"/>
      <c r="O223" s="397"/>
      <c r="P223" s="397">
        <v>2.2499999999999999E-2</v>
      </c>
      <c r="Q223" s="397">
        <v>1.6879999999999999E-2</v>
      </c>
      <c r="R223" s="397">
        <v>1.6930000000000001E-2</v>
      </c>
      <c r="S223" s="397">
        <v>1.129E-2</v>
      </c>
      <c r="T223" s="397">
        <v>7.2870000000000004E-2</v>
      </c>
      <c r="U223" s="397">
        <v>3.3790000000000001E-2</v>
      </c>
      <c r="V223" s="397">
        <v>4.4940000000000001E-2</v>
      </c>
      <c r="W223" s="397">
        <v>3.789E-2</v>
      </c>
      <c r="X223" s="397">
        <v>0</v>
      </c>
      <c r="Y223" s="397">
        <v>2.9579999999999999E-2</v>
      </c>
      <c r="Z223" s="397">
        <v>5.64E-3</v>
      </c>
      <c r="AA223" s="397">
        <v>8.4700000000000001E-3</v>
      </c>
      <c r="AB223" s="397">
        <v>2.2499999999999999E-2</v>
      </c>
      <c r="AC223" s="397">
        <v>1.686E-2</v>
      </c>
      <c r="AD223" s="397">
        <v>5.0589999999999996E-2</v>
      </c>
      <c r="AE223" s="397">
        <v>0.21071999999999999</v>
      </c>
      <c r="AF223" s="397">
        <v>0</v>
      </c>
      <c r="AG223" s="397">
        <v>3.3649999999999999E-2</v>
      </c>
      <c r="AH223" s="397">
        <v>0</v>
      </c>
      <c r="AI223" s="397">
        <v>0</v>
      </c>
      <c r="AJ223" s="397">
        <v>0</v>
      </c>
      <c r="AK223" s="397">
        <v>0</v>
      </c>
      <c r="AL223" s="397">
        <v>0</v>
      </c>
      <c r="AM223" s="397">
        <v>0</v>
      </c>
      <c r="AN223" s="397">
        <v>0</v>
      </c>
      <c r="AO223" s="397">
        <v>0</v>
      </c>
      <c r="AP223" s="397">
        <v>0</v>
      </c>
      <c r="AQ223" s="397">
        <v>0</v>
      </c>
      <c r="AR223" s="397">
        <v>0</v>
      </c>
      <c r="AS223" s="397">
        <v>0</v>
      </c>
      <c r="AT223" s="397">
        <v>0</v>
      </c>
      <c r="AU223" s="397">
        <v>0</v>
      </c>
      <c r="AV223" s="397">
        <v>0</v>
      </c>
      <c r="AW223" s="397">
        <v>0.42199999999999999</v>
      </c>
    </row>
    <row r="224" spans="1:49" ht="15.75" hidden="1" customHeight="1" outlineLevel="1">
      <c r="H224" s="396" t="s">
        <v>2323</v>
      </c>
      <c r="I224" s="396"/>
      <c r="J224" s="397"/>
      <c r="K224" s="397"/>
      <c r="L224" s="397"/>
      <c r="M224" s="397"/>
      <c r="N224" s="397"/>
      <c r="O224" s="397"/>
      <c r="P224" s="397">
        <v>0</v>
      </c>
      <c r="Q224" s="397">
        <v>0</v>
      </c>
      <c r="R224" s="397">
        <v>0</v>
      </c>
      <c r="S224" s="397">
        <v>0</v>
      </c>
      <c r="T224" s="397">
        <v>0</v>
      </c>
      <c r="U224" s="397">
        <v>0</v>
      </c>
      <c r="V224" s="397">
        <v>0</v>
      </c>
      <c r="W224" s="397">
        <v>0</v>
      </c>
      <c r="X224" s="397">
        <v>0</v>
      </c>
      <c r="Y224" s="397">
        <v>0</v>
      </c>
      <c r="Z224" s="397">
        <v>0</v>
      </c>
      <c r="AA224" s="397">
        <v>0</v>
      </c>
      <c r="AB224" s="397">
        <v>0</v>
      </c>
      <c r="AC224" s="397">
        <v>0</v>
      </c>
      <c r="AD224" s="397">
        <v>0</v>
      </c>
      <c r="AE224" s="397">
        <v>0</v>
      </c>
      <c r="AF224" s="397">
        <v>0</v>
      </c>
      <c r="AG224" s="397">
        <v>0</v>
      </c>
      <c r="AH224" s="397">
        <v>0</v>
      </c>
      <c r="AI224" s="397">
        <v>0</v>
      </c>
      <c r="AJ224" s="397">
        <v>0</v>
      </c>
      <c r="AK224" s="397">
        <v>0</v>
      </c>
      <c r="AL224" s="397">
        <v>0</v>
      </c>
      <c r="AM224" s="397">
        <v>0</v>
      </c>
      <c r="AN224" s="397">
        <v>0</v>
      </c>
      <c r="AO224" s="397">
        <v>0</v>
      </c>
      <c r="AP224" s="397">
        <v>0</v>
      </c>
      <c r="AQ224" s="397">
        <v>0</v>
      </c>
      <c r="AR224" s="397">
        <v>0</v>
      </c>
      <c r="AS224" s="397">
        <v>0</v>
      </c>
      <c r="AT224" s="397">
        <v>0</v>
      </c>
      <c r="AU224" s="397">
        <v>0</v>
      </c>
      <c r="AV224" s="397">
        <v>0</v>
      </c>
      <c r="AW224" s="397">
        <v>0</v>
      </c>
    </row>
    <row r="225" spans="1:53" ht="15.75" hidden="1" customHeight="1" outlineLevel="1">
      <c r="H225" s="396" t="s">
        <v>2324</v>
      </c>
      <c r="I225" s="396"/>
      <c r="J225" s="397"/>
      <c r="K225" s="397"/>
      <c r="L225" s="397"/>
      <c r="M225" s="397"/>
      <c r="N225" s="397"/>
      <c r="O225" s="397"/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7">
        <v>0</v>
      </c>
      <c r="V225" s="397">
        <v>0</v>
      </c>
      <c r="W225" s="397">
        <v>0</v>
      </c>
      <c r="X225" s="397">
        <v>0</v>
      </c>
      <c r="Y225" s="397">
        <v>0</v>
      </c>
      <c r="Z225" s="397">
        <v>0</v>
      </c>
      <c r="AA225" s="397">
        <v>0</v>
      </c>
      <c r="AB225" s="397">
        <v>0</v>
      </c>
      <c r="AC225" s="397">
        <v>0</v>
      </c>
      <c r="AD225" s="397">
        <v>0</v>
      </c>
      <c r="AE225" s="397">
        <v>0</v>
      </c>
      <c r="AF225" s="397">
        <v>0</v>
      </c>
      <c r="AG225" s="397">
        <v>0</v>
      </c>
      <c r="AH225" s="397">
        <v>0</v>
      </c>
      <c r="AI225" s="397">
        <v>0</v>
      </c>
      <c r="AJ225" s="397">
        <v>0</v>
      </c>
      <c r="AK225" s="397">
        <v>0</v>
      </c>
      <c r="AL225" s="397">
        <v>0</v>
      </c>
      <c r="AM225" s="397">
        <v>0</v>
      </c>
      <c r="AN225" s="397">
        <v>0</v>
      </c>
      <c r="AO225" s="397">
        <v>0</v>
      </c>
      <c r="AP225" s="397">
        <v>0</v>
      </c>
      <c r="AQ225" s="397">
        <v>0</v>
      </c>
      <c r="AR225" s="397">
        <v>0</v>
      </c>
      <c r="AS225" s="397">
        <v>0</v>
      </c>
      <c r="AT225" s="397">
        <v>0</v>
      </c>
      <c r="AU225" s="397">
        <v>0</v>
      </c>
      <c r="AV225" s="397">
        <v>0</v>
      </c>
      <c r="AW225" s="397">
        <v>0</v>
      </c>
    </row>
    <row r="226" spans="1:53" ht="15.75" hidden="1" customHeight="1" outlineLevel="1">
      <c r="H226" s="396" t="s">
        <v>2325</v>
      </c>
      <c r="I226" s="396"/>
      <c r="J226" s="397"/>
      <c r="K226" s="397"/>
      <c r="L226" s="397"/>
      <c r="M226" s="397"/>
      <c r="N226" s="397"/>
      <c r="O226" s="397"/>
      <c r="P226" s="397">
        <v>0</v>
      </c>
      <c r="Q226" s="397">
        <v>0</v>
      </c>
      <c r="R226" s="397">
        <v>0</v>
      </c>
      <c r="S226" s="397">
        <v>0</v>
      </c>
      <c r="T226" s="397">
        <v>0</v>
      </c>
      <c r="U226" s="397">
        <v>0</v>
      </c>
      <c r="V226" s="397">
        <v>0</v>
      </c>
      <c r="W226" s="397">
        <v>0</v>
      </c>
      <c r="X226" s="397">
        <v>0</v>
      </c>
      <c r="Y226" s="397">
        <v>0</v>
      </c>
      <c r="Z226" s="397">
        <v>0</v>
      </c>
      <c r="AA226" s="397">
        <v>0</v>
      </c>
      <c r="AB226" s="397">
        <v>0</v>
      </c>
      <c r="AC226" s="397">
        <v>0</v>
      </c>
      <c r="AD226" s="397">
        <v>0</v>
      </c>
      <c r="AE226" s="397">
        <v>0</v>
      </c>
      <c r="AF226" s="397">
        <v>0</v>
      </c>
      <c r="AG226" s="397">
        <v>0</v>
      </c>
      <c r="AH226" s="397">
        <v>0</v>
      </c>
      <c r="AI226" s="397">
        <v>0</v>
      </c>
      <c r="AJ226" s="397">
        <v>0</v>
      </c>
      <c r="AK226" s="397">
        <v>0</v>
      </c>
      <c r="AL226" s="397">
        <v>0</v>
      </c>
      <c r="AM226" s="397">
        <v>0</v>
      </c>
      <c r="AN226" s="397">
        <v>0</v>
      </c>
      <c r="AO226" s="397">
        <v>0</v>
      </c>
      <c r="AP226" s="397">
        <v>0</v>
      </c>
      <c r="AQ226" s="397">
        <v>0</v>
      </c>
      <c r="AR226" s="397">
        <v>0</v>
      </c>
      <c r="AS226" s="397">
        <v>0</v>
      </c>
      <c r="AT226" s="397">
        <v>0</v>
      </c>
      <c r="AU226" s="397">
        <v>0</v>
      </c>
      <c r="AV226" s="397">
        <v>0</v>
      </c>
      <c r="AW226" s="397">
        <v>0</v>
      </c>
    </row>
    <row r="227" spans="1:53" ht="15.75" hidden="1" customHeight="1" outlineLevel="1">
      <c r="H227" s="396" t="s">
        <v>2326</v>
      </c>
      <c r="I227" s="396"/>
      <c r="J227" s="397"/>
      <c r="K227" s="397"/>
      <c r="L227" s="397"/>
      <c r="M227" s="397"/>
      <c r="N227" s="397"/>
      <c r="O227" s="397"/>
      <c r="P227" s="397">
        <v>0</v>
      </c>
      <c r="Q227" s="397">
        <v>0</v>
      </c>
      <c r="R227" s="397">
        <v>0</v>
      </c>
      <c r="S227" s="397">
        <v>0</v>
      </c>
      <c r="T227" s="397">
        <v>0</v>
      </c>
      <c r="U227" s="397">
        <v>0</v>
      </c>
      <c r="V227" s="397">
        <v>0</v>
      </c>
      <c r="W227" s="397">
        <v>0</v>
      </c>
      <c r="X227" s="397">
        <v>0</v>
      </c>
      <c r="Y227" s="397">
        <v>0</v>
      </c>
      <c r="Z227" s="397">
        <v>0</v>
      </c>
      <c r="AA227" s="397">
        <v>0</v>
      </c>
      <c r="AB227" s="397">
        <v>0</v>
      </c>
      <c r="AC227" s="397">
        <v>0</v>
      </c>
      <c r="AD227" s="397">
        <v>0</v>
      </c>
      <c r="AE227" s="397">
        <v>0</v>
      </c>
      <c r="AF227" s="397">
        <v>0</v>
      </c>
      <c r="AG227" s="397">
        <v>0</v>
      </c>
      <c r="AH227" s="397">
        <v>0</v>
      </c>
      <c r="AI227" s="397">
        <v>0</v>
      </c>
      <c r="AJ227" s="397">
        <v>0</v>
      </c>
      <c r="AK227" s="397">
        <v>0</v>
      </c>
      <c r="AL227" s="397">
        <v>0</v>
      </c>
      <c r="AM227" s="397">
        <v>0</v>
      </c>
      <c r="AN227" s="397">
        <v>0</v>
      </c>
      <c r="AO227" s="397">
        <v>0</v>
      </c>
      <c r="AP227" s="397">
        <v>0</v>
      </c>
      <c r="AQ227" s="397">
        <v>0</v>
      </c>
      <c r="AR227" s="397">
        <v>0</v>
      </c>
      <c r="AS227" s="397">
        <v>0</v>
      </c>
      <c r="AT227" s="397">
        <v>0</v>
      </c>
      <c r="AU227" s="397">
        <v>0</v>
      </c>
      <c r="AV227" s="397">
        <v>0</v>
      </c>
      <c r="AW227" s="397">
        <v>0</v>
      </c>
    </row>
    <row r="228" spans="1:53" ht="15.75" hidden="1" customHeight="1" outlineLevel="1">
      <c r="H228" s="396" t="s">
        <v>2327</v>
      </c>
      <c r="I228" s="396"/>
      <c r="J228" s="397"/>
      <c r="K228" s="397"/>
      <c r="L228" s="397"/>
      <c r="M228" s="397"/>
      <c r="N228" s="397"/>
      <c r="O228" s="397"/>
      <c r="P228" s="397">
        <v>0</v>
      </c>
      <c r="Q228" s="397">
        <v>0</v>
      </c>
      <c r="R228" s="397">
        <v>0</v>
      </c>
      <c r="S228" s="397">
        <v>0</v>
      </c>
      <c r="T228" s="397">
        <v>0</v>
      </c>
      <c r="U228" s="397">
        <v>0</v>
      </c>
      <c r="V228" s="397">
        <v>0</v>
      </c>
      <c r="W228" s="397">
        <v>0</v>
      </c>
      <c r="X228" s="397">
        <v>0</v>
      </c>
      <c r="Y228" s="397">
        <v>0</v>
      </c>
      <c r="Z228" s="397">
        <v>0</v>
      </c>
      <c r="AA228" s="397">
        <v>0</v>
      </c>
      <c r="AB228" s="397">
        <v>0</v>
      </c>
      <c r="AC228" s="397">
        <v>0</v>
      </c>
      <c r="AD228" s="397">
        <v>0</v>
      </c>
      <c r="AE228" s="397">
        <v>0</v>
      </c>
      <c r="AF228" s="397">
        <v>0</v>
      </c>
      <c r="AG228" s="397">
        <v>0</v>
      </c>
      <c r="AH228" s="397">
        <v>0</v>
      </c>
      <c r="AI228" s="397">
        <v>0</v>
      </c>
      <c r="AJ228" s="397">
        <v>0</v>
      </c>
      <c r="AK228" s="397">
        <v>0</v>
      </c>
      <c r="AL228" s="397">
        <v>0</v>
      </c>
      <c r="AM228" s="397">
        <v>0</v>
      </c>
      <c r="AN228" s="397">
        <v>0</v>
      </c>
      <c r="AO228" s="397">
        <v>0</v>
      </c>
      <c r="AP228" s="397">
        <v>0</v>
      </c>
      <c r="AQ228" s="397">
        <v>0</v>
      </c>
      <c r="AR228" s="397">
        <v>0</v>
      </c>
      <c r="AS228" s="397">
        <v>0</v>
      </c>
      <c r="AT228" s="397">
        <v>0</v>
      </c>
      <c r="AU228" s="397">
        <v>0</v>
      </c>
      <c r="AV228" s="397">
        <v>0</v>
      </c>
      <c r="AW228" s="397">
        <v>0</v>
      </c>
    </row>
    <row r="229" spans="1:53" ht="15.75" hidden="1" customHeight="1" outlineLevel="1">
      <c r="H229" s="396" t="s">
        <v>2328</v>
      </c>
      <c r="I229" s="396"/>
      <c r="J229" s="397"/>
      <c r="K229" s="397"/>
      <c r="L229" s="397"/>
      <c r="M229" s="397"/>
      <c r="N229" s="397"/>
      <c r="O229" s="397"/>
      <c r="P229" s="397">
        <v>0</v>
      </c>
      <c r="Q229" s="397">
        <v>0</v>
      </c>
      <c r="R229" s="397">
        <v>0</v>
      </c>
      <c r="S229" s="397">
        <v>0</v>
      </c>
      <c r="T229" s="397">
        <v>0</v>
      </c>
      <c r="U229" s="397">
        <v>0</v>
      </c>
      <c r="V229" s="397">
        <v>0</v>
      </c>
      <c r="W229" s="397">
        <v>0</v>
      </c>
      <c r="X229" s="397">
        <v>0</v>
      </c>
      <c r="Y229" s="397">
        <v>0</v>
      </c>
      <c r="Z229" s="397">
        <v>0</v>
      </c>
      <c r="AA229" s="397">
        <v>0</v>
      </c>
      <c r="AB229" s="397">
        <v>0</v>
      </c>
      <c r="AC229" s="397">
        <v>0</v>
      </c>
      <c r="AD229" s="397">
        <v>0</v>
      </c>
      <c r="AE229" s="397">
        <v>0</v>
      </c>
      <c r="AF229" s="397">
        <v>0</v>
      </c>
      <c r="AG229" s="397">
        <v>0</v>
      </c>
      <c r="AH229" s="397">
        <v>0</v>
      </c>
      <c r="AI229" s="397">
        <v>0</v>
      </c>
      <c r="AJ229" s="397">
        <v>0</v>
      </c>
      <c r="AK229" s="397">
        <v>0</v>
      </c>
      <c r="AL229" s="397">
        <v>0</v>
      </c>
      <c r="AM229" s="397">
        <v>0</v>
      </c>
      <c r="AN229" s="397">
        <v>0</v>
      </c>
      <c r="AO229" s="397">
        <v>0</v>
      </c>
      <c r="AP229" s="397">
        <v>0</v>
      </c>
      <c r="AQ229" s="397">
        <v>0</v>
      </c>
      <c r="AR229" s="397">
        <v>0</v>
      </c>
      <c r="AS229" s="397">
        <v>0</v>
      </c>
      <c r="AT229" s="397">
        <v>0</v>
      </c>
      <c r="AU229" s="397">
        <v>0</v>
      </c>
      <c r="AV229" s="397">
        <v>0</v>
      </c>
      <c r="AW229" s="397">
        <v>0</v>
      </c>
    </row>
    <row r="230" spans="1:53" ht="15.75" customHeight="1" collapsed="1">
      <c r="A230" s="3" t="s">
        <v>183</v>
      </c>
      <c r="H230" s="399" t="s">
        <v>183</v>
      </c>
      <c r="I230" s="399"/>
      <c r="J230" s="400">
        <f>SUMIFS($P230:$AW230,$P$3:$AW$3,J$4)</f>
        <v>306.49848999999995</v>
      </c>
      <c r="K230" s="400">
        <f>J230-AE230-AF230</f>
        <v>271.17424</v>
      </c>
      <c r="L230" s="400">
        <f t="shared" ref="L230:N230" si="92">SUMIFS($P230:$AW230,$P$3:$AW$3,L$4)</f>
        <v>211.27037000000001</v>
      </c>
      <c r="M230" s="400">
        <f t="shared" si="92"/>
        <v>90.143910000000005</v>
      </c>
      <c r="N230" s="400">
        <f t="shared" si="92"/>
        <v>31.206620000000001</v>
      </c>
      <c r="O230" s="400"/>
      <c r="P230" s="400">
        <f t="shared" ref="P230:AW230" si="93">SUBTOTAL(9,P217:P229)</f>
        <v>51.453240000000001</v>
      </c>
      <c r="Q230" s="400">
        <f t="shared" si="93"/>
        <v>8.9761199999999999</v>
      </c>
      <c r="R230" s="400">
        <f t="shared" si="93"/>
        <v>14.94741</v>
      </c>
      <c r="S230" s="400">
        <f t="shared" si="93"/>
        <v>23.036770000000001</v>
      </c>
      <c r="T230" s="400">
        <f t="shared" si="93"/>
        <v>19.14226</v>
      </c>
      <c r="U230" s="400">
        <f t="shared" si="93"/>
        <v>25.516100000000002</v>
      </c>
      <c r="V230" s="400">
        <f t="shared" si="93"/>
        <v>26.900939999999999</v>
      </c>
      <c r="W230" s="400">
        <f t="shared" si="93"/>
        <v>21.810839999999995</v>
      </c>
      <c r="X230" s="400">
        <f t="shared" si="93"/>
        <v>3.5982500000000002</v>
      </c>
      <c r="Y230" s="400">
        <f t="shared" si="93"/>
        <v>4.4519899999999994</v>
      </c>
      <c r="Z230" s="400">
        <f t="shared" si="93"/>
        <v>10.966419999999999</v>
      </c>
      <c r="AA230" s="400">
        <f t="shared" si="93"/>
        <v>9.8644700000000007</v>
      </c>
      <c r="AB230" s="400">
        <f t="shared" si="93"/>
        <v>9.8888400000000019</v>
      </c>
      <c r="AC230" s="400">
        <f t="shared" si="93"/>
        <v>16.045919999999999</v>
      </c>
      <c r="AD230" s="400">
        <f t="shared" si="93"/>
        <v>15.244730000000001</v>
      </c>
      <c r="AE230" s="400">
        <f t="shared" si="93"/>
        <v>29.845069999999993</v>
      </c>
      <c r="AF230" s="400">
        <f t="shared" si="93"/>
        <v>5.4791799999999995</v>
      </c>
      <c r="AG230" s="400">
        <f t="shared" si="93"/>
        <v>9.3299399999999988</v>
      </c>
      <c r="AH230" s="400">
        <f t="shared" si="93"/>
        <v>43.749870000000001</v>
      </c>
      <c r="AI230" s="400">
        <f t="shared" si="93"/>
        <v>17.103730000000002</v>
      </c>
      <c r="AJ230" s="400">
        <f t="shared" si="93"/>
        <v>3.8370000000000001E-2</v>
      </c>
      <c r="AK230" s="400">
        <f t="shared" si="93"/>
        <v>7.1287599999999998</v>
      </c>
      <c r="AL230" s="400">
        <f t="shared" si="93"/>
        <v>12.595080000000003</v>
      </c>
      <c r="AM230" s="400">
        <f t="shared" si="93"/>
        <v>15.316140000000001</v>
      </c>
      <c r="AN230" s="400">
        <f t="shared" si="93"/>
        <v>11.315690000000002</v>
      </c>
      <c r="AO230" s="400">
        <f t="shared" si="93"/>
        <v>22.268799999999999</v>
      </c>
      <c r="AP230" s="400">
        <f t="shared" si="93"/>
        <v>31.611570000000007</v>
      </c>
      <c r="AQ230" s="400">
        <f t="shared" si="93"/>
        <v>0.7313900000000001</v>
      </c>
      <c r="AR230" s="400">
        <f t="shared" si="93"/>
        <v>17.555089999999996</v>
      </c>
      <c r="AS230" s="400">
        <f t="shared" si="93"/>
        <v>20.745419999999999</v>
      </c>
      <c r="AT230" s="400">
        <f t="shared" si="93"/>
        <v>23.014110000000002</v>
      </c>
      <c r="AU230" s="400">
        <f t="shared" si="93"/>
        <v>44.614460000000001</v>
      </c>
      <c r="AV230" s="400">
        <f t="shared" si="93"/>
        <v>51.460920000000002</v>
      </c>
      <c r="AW230" s="400">
        <f t="shared" si="93"/>
        <v>31.206620000000001</v>
      </c>
    </row>
    <row r="231" spans="1:53" ht="15.75" customHeight="1">
      <c r="H231" s="404"/>
      <c r="I231" s="404"/>
      <c r="J231" s="3"/>
      <c r="K231" s="3"/>
      <c r="L231" s="3"/>
      <c r="P231" s="3"/>
      <c r="Q231" s="3"/>
    </row>
    <row r="232" spans="1:53" ht="15.75" customHeight="1">
      <c r="A232" s="407"/>
      <c r="B232" s="407"/>
      <c r="C232" s="407"/>
      <c r="D232" s="407"/>
      <c r="E232" s="407"/>
      <c r="F232" s="407"/>
      <c r="G232" s="407"/>
      <c r="H232" s="408" t="s">
        <v>184</v>
      </c>
      <c r="I232" s="408"/>
      <c r="J232" s="406">
        <f t="shared" ref="J232:N232" si="94">SUBTOTAL(9,J161:J230)</f>
        <v>10523.797839999999</v>
      </c>
      <c r="K232" s="406">
        <f t="shared" si="94"/>
        <v>6020.5584500000014</v>
      </c>
      <c r="L232" s="406">
        <f t="shared" si="94"/>
        <v>4051.6871599999999</v>
      </c>
      <c r="M232" s="406">
        <f t="shared" si="94"/>
        <v>3733.3476300000002</v>
      </c>
      <c r="N232" s="406">
        <f t="shared" si="94"/>
        <v>591.45916</v>
      </c>
      <c r="O232" s="407"/>
      <c r="P232" s="406">
        <f t="shared" ref="P232:AW232" si="95">SUBTOTAL(9,P161:P230)</f>
        <v>393.39945000000006</v>
      </c>
      <c r="Q232" s="406">
        <f t="shared" si="95"/>
        <v>250.1232</v>
      </c>
      <c r="R232" s="406">
        <f t="shared" si="95"/>
        <v>390.90142000000003</v>
      </c>
      <c r="S232" s="406">
        <f t="shared" si="95"/>
        <v>472.96217000000001</v>
      </c>
      <c r="T232" s="406">
        <f t="shared" si="95"/>
        <v>485.59493000000015</v>
      </c>
      <c r="U232" s="406">
        <f t="shared" si="95"/>
        <v>422.56788</v>
      </c>
      <c r="V232" s="406">
        <f t="shared" si="95"/>
        <v>457.32726999999994</v>
      </c>
      <c r="W232" s="406">
        <f t="shared" si="95"/>
        <v>341.19930999999997</v>
      </c>
      <c r="X232" s="406">
        <f t="shared" si="95"/>
        <v>192.21734000000001</v>
      </c>
      <c r="Y232" s="406">
        <f t="shared" si="95"/>
        <v>262.72556999999995</v>
      </c>
      <c r="Z232" s="406">
        <f t="shared" si="95"/>
        <v>319.00695000000013</v>
      </c>
      <c r="AA232" s="406">
        <f t="shared" si="95"/>
        <v>264.62528999999995</v>
      </c>
      <c r="AB232" s="406">
        <f t="shared" si="95"/>
        <v>555.12389000000007</v>
      </c>
      <c r="AC232" s="406">
        <f t="shared" si="95"/>
        <v>533.39682999999991</v>
      </c>
      <c r="AD232" s="406">
        <f t="shared" si="95"/>
        <v>346.01319000000007</v>
      </c>
      <c r="AE232" s="406">
        <f t="shared" si="95"/>
        <v>4110.8351299999995</v>
      </c>
      <c r="AF232" s="406">
        <f t="shared" si="95"/>
        <v>392.40426000000014</v>
      </c>
      <c r="AG232" s="406">
        <f t="shared" si="95"/>
        <v>333.37376000000012</v>
      </c>
      <c r="AH232" s="406">
        <f t="shared" si="95"/>
        <v>1696.0667199999993</v>
      </c>
      <c r="AI232" s="406">
        <f t="shared" si="95"/>
        <v>397.91069999999996</v>
      </c>
      <c r="AJ232" s="406">
        <f t="shared" si="95"/>
        <v>265.87085999999994</v>
      </c>
      <c r="AK232" s="406">
        <f t="shared" si="95"/>
        <v>294.47487000000007</v>
      </c>
      <c r="AL232" s="406">
        <f t="shared" si="95"/>
        <v>641.83869000000004</v>
      </c>
      <c r="AM232" s="406">
        <f t="shared" si="95"/>
        <v>468.24209999999999</v>
      </c>
      <c r="AN232" s="406">
        <f t="shared" si="95"/>
        <v>366.85439000000008</v>
      </c>
      <c r="AO232" s="406">
        <f t="shared" si="95"/>
        <v>587.06982000000016</v>
      </c>
      <c r="AP232" s="406">
        <f t="shared" si="95"/>
        <v>613.84995000000015</v>
      </c>
      <c r="AQ232" s="406">
        <f t="shared" si="95"/>
        <v>209.24403999999996</v>
      </c>
      <c r="AR232" s="406">
        <f t="shared" si="95"/>
        <v>475.92831000000001</v>
      </c>
      <c r="AS232" s="406">
        <f t="shared" si="95"/>
        <v>377.72935999999993</v>
      </c>
      <c r="AT232" s="406">
        <f t="shared" si="95"/>
        <v>445.57412999999997</v>
      </c>
      <c r="AU232" s="406">
        <f t="shared" si="95"/>
        <v>672.03000999999983</v>
      </c>
      <c r="AV232" s="406">
        <f t="shared" si="95"/>
        <v>879.50558000000001</v>
      </c>
      <c r="AW232" s="406">
        <f t="shared" si="95"/>
        <v>591.45916000000011</v>
      </c>
      <c r="AX232" s="407"/>
      <c r="AY232" s="407"/>
      <c r="AZ232" s="407"/>
      <c r="BA232" s="407"/>
    </row>
    <row r="233" spans="1:53" ht="15.75" customHeight="1">
      <c r="A233" s="42"/>
      <c r="B233" s="42"/>
      <c r="C233" s="42"/>
      <c r="D233" s="42"/>
      <c r="E233" s="42"/>
      <c r="F233" s="42"/>
      <c r="G233" s="42"/>
      <c r="H233" s="405" t="s">
        <v>2329</v>
      </c>
      <c r="I233" s="405"/>
      <c r="J233" s="90">
        <f t="shared" ref="J233:N233" si="96">J232/J$57</f>
        <v>0.29030128578023801</v>
      </c>
      <c r="K233" s="90">
        <f t="shared" si="96"/>
        <v>0.21683127411830597</v>
      </c>
      <c r="L233" s="90">
        <f t="shared" si="96"/>
        <v>0.2322279210856863</v>
      </c>
      <c r="M233" s="90">
        <f t="shared" si="96"/>
        <v>0.47640184242160333</v>
      </c>
      <c r="N233" s="90">
        <f t="shared" si="96"/>
        <v>8.385405987841961E-2</v>
      </c>
      <c r="O233" s="90"/>
      <c r="P233" s="90">
        <f t="shared" ref="P233:AW233" si="97">P232/P$57</f>
        <v>0.1937143696043038</v>
      </c>
      <c r="Q233" s="90">
        <f t="shared" si="97"/>
        <v>0.30633131402033736</v>
      </c>
      <c r="R233" s="90">
        <f t="shared" si="97"/>
        <v>0.23337374244606746</v>
      </c>
      <c r="S233" s="90">
        <f t="shared" si="97"/>
        <v>0.2730198770962467</v>
      </c>
      <c r="T233" s="90">
        <f t="shared" si="97"/>
        <v>0.13533039777566902</v>
      </c>
      <c r="U233" s="90">
        <f t="shared" si="97"/>
        <v>0.20825965267781382</v>
      </c>
      <c r="V233" s="90">
        <f t="shared" si="97"/>
        <v>0.12795863332033156</v>
      </c>
      <c r="W233" s="90">
        <f t="shared" si="97"/>
        <v>0.15120302278320411</v>
      </c>
      <c r="X233" s="90">
        <f t="shared" si="97"/>
        <v>0.2549742385835535</v>
      </c>
      <c r="Y233" s="90">
        <f t="shared" si="97"/>
        <v>0.26580290311076482</v>
      </c>
      <c r="Z233" s="90">
        <f t="shared" si="97"/>
        <v>0.32998875124922344</v>
      </c>
      <c r="AA233" s="90">
        <f t="shared" si="97"/>
        <v>0.35340983457593222</v>
      </c>
      <c r="AB233" s="90">
        <f t="shared" si="97"/>
        <v>0.48053041384240597</v>
      </c>
      <c r="AC233" s="90">
        <f t="shared" si="97"/>
        <v>0.22037883363168725</v>
      </c>
      <c r="AD233" s="90">
        <f t="shared" si="97"/>
        <v>0.16000508870774025</v>
      </c>
      <c r="AE233" s="90">
        <f t="shared" si="97"/>
        <v>0.53343207313487939</v>
      </c>
      <c r="AF233" s="90">
        <f t="shared" si="97"/>
        <v>0.50385194093948671</v>
      </c>
      <c r="AG233" s="90">
        <f t="shared" si="97"/>
        <v>0.38421369624032314</v>
      </c>
      <c r="AH233" s="90">
        <f t="shared" si="97"/>
        <v>0.5295475040345029</v>
      </c>
      <c r="AI233" s="90">
        <f t="shared" si="97"/>
        <v>0.18781545563616148</v>
      </c>
      <c r="AJ233" s="90">
        <f t="shared" si="97"/>
        <v>-3.3633345975156397</v>
      </c>
      <c r="AK233" s="90">
        <f t="shared" si="97"/>
        <v>0.37774274255141915</v>
      </c>
      <c r="AL233" s="90">
        <f t="shared" si="97"/>
        <v>0.3742379697602346</v>
      </c>
      <c r="AM233" s="90">
        <f t="shared" si="97"/>
        <v>0.28123735424106422</v>
      </c>
      <c r="AN233" s="90">
        <f t="shared" si="97"/>
        <v>0.66316669124852268</v>
      </c>
      <c r="AO233" s="90">
        <f t="shared" si="97"/>
        <v>0.23773528504207012</v>
      </c>
      <c r="AP233" s="90">
        <f t="shared" si="97"/>
        <v>0.30952897572403659</v>
      </c>
      <c r="AQ233" s="90">
        <f t="shared" si="97"/>
        <v>0.42844453985271203</v>
      </c>
      <c r="AR233" s="90">
        <f t="shared" si="97"/>
        <v>0.34683656065754498</v>
      </c>
      <c r="AS233" s="90">
        <f t="shared" si="97"/>
        <v>0.52409247025347339</v>
      </c>
      <c r="AT233" s="90">
        <f t="shared" si="97"/>
        <v>0.2580230097386757</v>
      </c>
      <c r="AU233" s="90">
        <f t="shared" si="97"/>
        <v>0.25378950765844555</v>
      </c>
      <c r="AV233" s="90">
        <f t="shared" si="97"/>
        <v>0.13475625350813156</v>
      </c>
      <c r="AW233" s="90">
        <f t="shared" si="97"/>
        <v>8.3854059878419623E-2</v>
      </c>
      <c r="AX233" s="42"/>
      <c r="AY233" s="42"/>
      <c r="AZ233" s="42"/>
      <c r="BA233" s="42"/>
    </row>
    <row r="234" spans="1:53" ht="15.75" customHeight="1">
      <c r="H234" s="405"/>
      <c r="I234" s="405"/>
      <c r="J234" s="3"/>
      <c r="K234" s="3"/>
      <c r="L234" s="3"/>
      <c r="P234" s="3"/>
      <c r="Q234" s="3"/>
    </row>
    <row r="235" spans="1:53" ht="15.75" customHeight="1">
      <c r="A235" s="407" t="s">
        <v>13</v>
      </c>
      <c r="B235" s="407"/>
      <c r="C235" s="407"/>
      <c r="D235" s="407"/>
      <c r="E235" s="407"/>
      <c r="F235" s="407"/>
      <c r="G235" s="407"/>
      <c r="H235" s="409" t="s">
        <v>2330</v>
      </c>
      <c r="I235" s="409"/>
      <c r="J235" s="410">
        <f t="shared" ref="J235:N235" si="98">J92-J158-J232</f>
        <v>11122.699000000001</v>
      </c>
      <c r="K235" s="410">
        <f t="shared" si="98"/>
        <v>10382.952239999995</v>
      </c>
      <c r="L235" s="410">
        <f t="shared" si="98"/>
        <v>5407.071200000004</v>
      </c>
      <c r="M235" s="410">
        <f t="shared" si="98"/>
        <v>500.79385999999977</v>
      </c>
      <c r="N235" s="410">
        <f t="shared" si="98"/>
        <v>3981.8391200000001</v>
      </c>
      <c r="O235" s="407"/>
      <c r="P235" s="410">
        <f t="shared" ref="P235:AW235" si="99">P92-P158-P232</f>
        <v>908.56763999999953</v>
      </c>
      <c r="Q235" s="410">
        <f t="shared" si="99"/>
        <v>232.80654000000004</v>
      </c>
      <c r="R235" s="410">
        <f t="shared" si="99"/>
        <v>685.9600700000002</v>
      </c>
      <c r="S235" s="410">
        <f t="shared" si="99"/>
        <v>629.93905000000018</v>
      </c>
      <c r="T235" s="410">
        <f t="shared" si="99"/>
        <v>1546.2212300000003</v>
      </c>
      <c r="U235" s="410">
        <f t="shared" si="99"/>
        <v>980.94280999999955</v>
      </c>
      <c r="V235" s="410">
        <f t="shared" si="99"/>
        <v>1928.0186899999997</v>
      </c>
      <c r="W235" s="410">
        <f t="shared" si="99"/>
        <v>985.07050999999979</v>
      </c>
      <c r="X235" s="410">
        <f t="shared" si="99"/>
        <v>319.09225000000004</v>
      </c>
      <c r="Y235" s="410">
        <f t="shared" si="99"/>
        <v>333.0090100000001</v>
      </c>
      <c r="Z235" s="410">
        <f t="shared" si="99"/>
        <v>308.53835999999984</v>
      </c>
      <c r="AA235" s="410">
        <f t="shared" si="99"/>
        <v>147.43362000000002</v>
      </c>
      <c r="AB235" s="410">
        <f t="shared" si="99"/>
        <v>-232.65706999999998</v>
      </c>
      <c r="AC235" s="410">
        <f t="shared" si="99"/>
        <v>796.96234000000072</v>
      </c>
      <c r="AD235" s="410">
        <f t="shared" si="99"/>
        <v>914.22757999999999</v>
      </c>
      <c r="AE235" s="410">
        <f t="shared" si="99"/>
        <v>740.67501000000084</v>
      </c>
      <c r="AF235" s="410">
        <f t="shared" si="99"/>
        <v>-0.92825000000027558</v>
      </c>
      <c r="AG235" s="410">
        <f t="shared" si="99"/>
        <v>-101.18039000000039</v>
      </c>
      <c r="AH235" s="410">
        <f t="shared" si="99"/>
        <v>229.09511000000066</v>
      </c>
      <c r="AI235" s="410">
        <f t="shared" si="99"/>
        <v>739.1246699999997</v>
      </c>
      <c r="AJ235" s="410">
        <f t="shared" si="99"/>
        <v>-346.12339999999995</v>
      </c>
      <c r="AK235" s="410">
        <f t="shared" si="99"/>
        <v>12.873819999999967</v>
      </c>
      <c r="AL235" s="410">
        <f t="shared" si="99"/>
        <v>389.13312999999971</v>
      </c>
      <c r="AM235" s="410">
        <f t="shared" si="99"/>
        <v>396.75447999999977</v>
      </c>
      <c r="AN235" s="410">
        <f t="shared" si="99"/>
        <v>-180.93928000000011</v>
      </c>
      <c r="AO235" s="410">
        <f t="shared" si="99"/>
        <v>688.69285999999965</v>
      </c>
      <c r="AP235" s="410">
        <f t="shared" si="99"/>
        <v>307.75139999999988</v>
      </c>
      <c r="AQ235" s="410">
        <f t="shared" si="99"/>
        <v>162.11351999999997</v>
      </c>
      <c r="AR235" s="410">
        <f t="shared" si="99"/>
        <v>177.97671999999977</v>
      </c>
      <c r="AS235" s="410">
        <f t="shared" si="99"/>
        <v>-38.368149999999787</v>
      </c>
      <c r="AT235" s="410">
        <f t="shared" si="99"/>
        <v>377.1636000000002</v>
      </c>
      <c r="AU235" s="410">
        <f t="shared" si="99"/>
        <v>928.42215000000044</v>
      </c>
      <c r="AV235" s="410">
        <f t="shared" si="99"/>
        <v>2965.4326199999996</v>
      </c>
      <c r="AW235" s="410">
        <f t="shared" si="99"/>
        <v>3981.8391199999996</v>
      </c>
      <c r="AX235" s="407"/>
      <c r="AY235" s="407"/>
      <c r="AZ235" s="407"/>
      <c r="BA235" s="407"/>
    </row>
    <row r="236" spans="1:53" ht="15.75" customHeight="1">
      <c r="A236" s="42"/>
      <c r="B236" s="42"/>
      <c r="C236" s="42"/>
      <c r="D236" s="42"/>
      <c r="E236" s="42"/>
      <c r="F236" s="42"/>
      <c r="G236" s="42"/>
      <c r="H236" s="405" t="s">
        <v>2331</v>
      </c>
      <c r="I236" s="405"/>
      <c r="J236" s="90"/>
      <c r="K236" s="90"/>
      <c r="L236" s="90"/>
      <c r="M236" s="90"/>
      <c r="N236" s="90"/>
      <c r="O236" s="90"/>
      <c r="P236" s="90">
        <f t="shared" ref="P236:AW236" si="100">P235/P$57</f>
        <v>0.44738905360815812</v>
      </c>
      <c r="Q236" s="90">
        <f t="shared" si="100"/>
        <v>0.28512322451787059</v>
      </c>
      <c r="R236" s="90">
        <f t="shared" si="100"/>
        <v>0.40952797946977637</v>
      </c>
      <c r="S236" s="90">
        <f t="shared" si="100"/>
        <v>0.36363559903559828</v>
      </c>
      <c r="T236" s="90">
        <f t="shared" si="100"/>
        <v>0.43091622498011706</v>
      </c>
      <c r="U236" s="90">
        <f t="shared" si="100"/>
        <v>0.48345086926010239</v>
      </c>
      <c r="V236" s="90">
        <f t="shared" si="100"/>
        <v>0.53945315045056452</v>
      </c>
      <c r="W236" s="90">
        <f t="shared" si="100"/>
        <v>0.4365355802348852</v>
      </c>
      <c r="X236" s="90">
        <f t="shared" si="100"/>
        <v>0.42327244504404704</v>
      </c>
      <c r="Y236" s="90">
        <f t="shared" si="100"/>
        <v>0.33690958067020943</v>
      </c>
      <c r="Z236" s="90">
        <f t="shared" si="100"/>
        <v>0.31915978046523202</v>
      </c>
      <c r="AA236" s="90">
        <f t="shared" si="100"/>
        <v>0.19689913709733062</v>
      </c>
      <c r="AB236" s="90">
        <f t="shared" si="100"/>
        <v>-0.20139431961838569</v>
      </c>
      <c r="AC236" s="90">
        <f t="shared" si="100"/>
        <v>0.32927385589745695</v>
      </c>
      <c r="AD236" s="90">
        <f t="shared" si="100"/>
        <v>0.422761528359548</v>
      </c>
      <c r="AE236" s="90">
        <f t="shared" si="100"/>
        <v>9.6111810279167778E-2</v>
      </c>
      <c r="AF236" s="90">
        <f t="shared" si="100"/>
        <v>-1.1918845228061929E-3</v>
      </c>
      <c r="AG236" s="90">
        <f t="shared" si="100"/>
        <v>-0.1166105323614479</v>
      </c>
      <c r="AH236" s="90">
        <f t="shared" si="100"/>
        <v>7.1528284976318787E-2</v>
      </c>
      <c r="AI236" s="90">
        <f t="shared" si="100"/>
        <v>0.34886982598853822</v>
      </c>
      <c r="AJ236" s="90">
        <f t="shared" si="100"/>
        <v>4.3785498201259996</v>
      </c>
      <c r="AK236" s="90">
        <f t="shared" si="100"/>
        <v>1.6514115699968888E-2</v>
      </c>
      <c r="AL236" s="90">
        <f t="shared" si="100"/>
        <v>0.22689251178928668</v>
      </c>
      <c r="AM236" s="90">
        <f t="shared" si="100"/>
        <v>0.23830018752796717</v>
      </c>
      <c r="AN236" s="90">
        <f t="shared" si="100"/>
        <v>-0.32708591448091989</v>
      </c>
      <c r="AO236" s="90">
        <f t="shared" si="100"/>
        <v>0.2788877707570428</v>
      </c>
      <c r="AP236" s="90">
        <f t="shared" si="100"/>
        <v>0.15518120612315472</v>
      </c>
      <c r="AQ236" s="90">
        <f t="shared" si="100"/>
        <v>0.33194088816247014</v>
      </c>
      <c r="AR236" s="90">
        <f t="shared" si="100"/>
        <v>0.12970195751101846</v>
      </c>
      <c r="AS236" s="90">
        <f t="shared" si="100"/>
        <v>-5.3235095393579408E-2</v>
      </c>
      <c r="AT236" s="90">
        <f t="shared" si="100"/>
        <v>0.21840784884857217</v>
      </c>
      <c r="AU236" s="90">
        <f t="shared" si="100"/>
        <v>0.35061499760657361</v>
      </c>
      <c r="AV236" s="90">
        <f t="shared" si="100"/>
        <v>0.45435822010589488</v>
      </c>
      <c r="AW236" s="90">
        <f t="shared" si="100"/>
        <v>0.56452482026774864</v>
      </c>
      <c r="AX236" s="42"/>
      <c r="AY236" s="42"/>
      <c r="AZ236" s="42"/>
      <c r="BA236" s="42"/>
    </row>
    <row r="237" spans="1:53" ht="15.75" customHeight="1"/>
    <row r="238" spans="1:53" ht="15.75" customHeight="1"/>
    <row r="239" spans="1:53" ht="15.75" customHeight="1"/>
    <row r="240" spans="1:5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9:I64 H75:I236">
    <cfRule type="expression" dxfId="1" priority="1">
      <formula>#REF!=1</formula>
    </cfRule>
  </conditionalFormatting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D0E9EA"/>
    <outlinePr summaryBelow="0" summaryRight="0"/>
  </sheetPr>
  <dimension ref="A1:AS613"/>
  <sheetViews>
    <sheetView showGridLines="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12.54296875" defaultRowHeight="15" customHeight="1"/>
  <cols>
    <col min="1" max="1" width="8.453125" customWidth="1"/>
    <col min="2" max="2" width="21.1796875" customWidth="1"/>
    <col min="3" max="3" width="31.26953125" customWidth="1"/>
  </cols>
  <sheetData>
    <row r="1" spans="1:45" ht="15.75" customHeight="1">
      <c r="A1" s="272">
        <v>46121</v>
      </c>
      <c r="D1" s="24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>
        <f t="shared" ref="AE1:AP1" si="0">SUM(AE6:AE39)</f>
        <v>36</v>
      </c>
      <c r="AF1" s="220">
        <f t="shared" si="0"/>
        <v>36</v>
      </c>
      <c r="AG1" s="220">
        <f t="shared" si="0"/>
        <v>38</v>
      </c>
      <c r="AH1" s="220">
        <f t="shared" si="0"/>
        <v>39</v>
      </c>
      <c r="AI1" s="220">
        <f t="shared" si="0"/>
        <v>39</v>
      </c>
      <c r="AJ1" s="220">
        <f t="shared" si="0"/>
        <v>39</v>
      </c>
      <c r="AK1" s="220">
        <f t="shared" si="0"/>
        <v>39</v>
      </c>
      <c r="AL1" s="220">
        <f t="shared" si="0"/>
        <v>39</v>
      </c>
      <c r="AM1" s="220">
        <f t="shared" si="0"/>
        <v>40</v>
      </c>
      <c r="AN1" s="220">
        <f t="shared" si="0"/>
        <v>40</v>
      </c>
      <c r="AO1" s="220">
        <f t="shared" si="0"/>
        <v>41</v>
      </c>
      <c r="AP1" s="220">
        <f t="shared" si="0"/>
        <v>41</v>
      </c>
      <c r="AQ1" s="221"/>
      <c r="AR1" s="221"/>
      <c r="AS1" s="221"/>
    </row>
    <row r="2" spans="1:45" ht="15.75" customHeight="1">
      <c r="D2" s="24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>
        <v>1</v>
      </c>
      <c r="AF2" s="220">
        <v>2</v>
      </c>
      <c r="AG2" s="220">
        <v>3</v>
      </c>
      <c r="AH2" s="220">
        <v>4</v>
      </c>
      <c r="AI2" s="220">
        <v>5</v>
      </c>
      <c r="AJ2" s="220">
        <v>6</v>
      </c>
      <c r="AK2" s="220">
        <v>7</v>
      </c>
      <c r="AL2" s="220">
        <v>8</v>
      </c>
      <c r="AM2" s="220">
        <v>9</v>
      </c>
      <c r="AN2" s="220">
        <v>10</v>
      </c>
      <c r="AO2" s="220">
        <v>11</v>
      </c>
      <c r="AP2" s="220">
        <v>12</v>
      </c>
      <c r="AQ2" s="221"/>
      <c r="AR2" s="221"/>
      <c r="AS2" s="221"/>
    </row>
    <row r="3" spans="1:45" ht="15.75" customHeight="1">
      <c r="D3" s="240"/>
      <c r="G3" s="220">
        <v>1</v>
      </c>
      <c r="H3" s="220">
        <v>2</v>
      </c>
      <c r="I3" s="220">
        <v>3</v>
      </c>
      <c r="J3" s="220">
        <v>4</v>
      </c>
      <c r="K3" s="220">
        <v>5</v>
      </c>
      <c r="L3" s="220">
        <v>6</v>
      </c>
      <c r="M3" s="220">
        <v>7</v>
      </c>
      <c r="N3" s="220">
        <v>8</v>
      </c>
      <c r="O3" s="220">
        <v>9</v>
      </c>
      <c r="P3" s="220">
        <v>10</v>
      </c>
      <c r="Q3" s="220">
        <v>11</v>
      </c>
      <c r="R3" s="220">
        <v>12</v>
      </c>
      <c r="S3" s="220">
        <v>1</v>
      </c>
      <c r="T3" s="220">
        <v>2</v>
      </c>
      <c r="U3" s="220">
        <v>3</v>
      </c>
      <c r="V3" s="220">
        <v>4</v>
      </c>
      <c r="W3" s="220">
        <v>5</v>
      </c>
      <c r="X3" s="220">
        <v>6</v>
      </c>
      <c r="Y3" s="220">
        <v>7</v>
      </c>
      <c r="Z3" s="220">
        <v>8</v>
      </c>
      <c r="AA3" s="220">
        <v>9</v>
      </c>
      <c r="AB3" s="220">
        <v>10</v>
      </c>
      <c r="AC3" s="220">
        <v>11</v>
      </c>
      <c r="AD3" s="220">
        <v>12</v>
      </c>
      <c r="AE3" s="220">
        <v>2</v>
      </c>
      <c r="AF3" s="220">
        <f t="shared" ref="AF3:AP3" si="1">AE3+1</f>
        <v>3</v>
      </c>
      <c r="AG3" s="220">
        <f t="shared" si="1"/>
        <v>4</v>
      </c>
      <c r="AH3" s="220">
        <f t="shared" si="1"/>
        <v>5</v>
      </c>
      <c r="AI3" s="220">
        <f t="shared" si="1"/>
        <v>6</v>
      </c>
      <c r="AJ3" s="220">
        <f t="shared" si="1"/>
        <v>7</v>
      </c>
      <c r="AK3" s="220">
        <f t="shared" si="1"/>
        <v>8</v>
      </c>
      <c r="AL3" s="220">
        <f t="shared" si="1"/>
        <v>9</v>
      </c>
      <c r="AM3" s="220">
        <f t="shared" si="1"/>
        <v>10</v>
      </c>
      <c r="AN3" s="220">
        <f t="shared" si="1"/>
        <v>11</v>
      </c>
      <c r="AO3" s="220">
        <f t="shared" si="1"/>
        <v>12</v>
      </c>
      <c r="AP3" s="220">
        <f t="shared" si="1"/>
        <v>13</v>
      </c>
      <c r="AQ3" s="221"/>
      <c r="AR3" s="221"/>
      <c r="AS3" s="221"/>
    </row>
    <row r="4" spans="1:45" ht="15.75" customHeight="1">
      <c r="B4" s="411"/>
      <c r="C4" s="412"/>
      <c r="D4" s="413"/>
      <c r="E4" s="412"/>
      <c r="F4" s="414"/>
      <c r="G4" s="415">
        <v>2023</v>
      </c>
      <c r="H4" s="415">
        <v>2023</v>
      </c>
      <c r="I4" s="415">
        <v>2023</v>
      </c>
      <c r="J4" s="415">
        <v>2023</v>
      </c>
      <c r="K4" s="415">
        <v>2023</v>
      </c>
      <c r="L4" s="415">
        <v>2023</v>
      </c>
      <c r="M4" s="415">
        <v>2023</v>
      </c>
      <c r="N4" s="415">
        <v>2023</v>
      </c>
      <c r="O4" s="415">
        <v>2023</v>
      </c>
      <c r="P4" s="415">
        <v>2023</v>
      </c>
      <c r="Q4" s="415">
        <v>2023</v>
      </c>
      <c r="R4" s="415">
        <v>2023</v>
      </c>
      <c r="S4" s="416">
        <v>2024</v>
      </c>
      <c r="T4" s="415">
        <v>2024</v>
      </c>
      <c r="U4" s="415">
        <v>2024</v>
      </c>
      <c r="V4" s="415">
        <v>2024</v>
      </c>
      <c r="W4" s="415">
        <v>2024</v>
      </c>
      <c r="X4" s="415">
        <v>2024</v>
      </c>
      <c r="Y4" s="415">
        <v>2024</v>
      </c>
      <c r="Z4" s="415">
        <v>2024</v>
      </c>
      <c r="AA4" s="415">
        <v>2024</v>
      </c>
      <c r="AB4" s="415">
        <v>2024</v>
      </c>
      <c r="AC4" s="415">
        <v>2024</v>
      </c>
      <c r="AD4" s="417">
        <v>2024</v>
      </c>
      <c r="AE4" s="416">
        <v>2025</v>
      </c>
      <c r="AF4" s="415">
        <v>2025</v>
      </c>
      <c r="AG4" s="415">
        <v>2025</v>
      </c>
      <c r="AH4" s="415">
        <v>2025</v>
      </c>
      <c r="AI4" s="415">
        <v>2025</v>
      </c>
      <c r="AJ4" s="415">
        <v>2025</v>
      </c>
      <c r="AK4" s="415">
        <v>2025</v>
      </c>
      <c r="AL4" s="415">
        <v>2025</v>
      </c>
      <c r="AM4" s="415">
        <v>2025</v>
      </c>
      <c r="AN4" s="415">
        <v>2025</v>
      </c>
      <c r="AO4" s="415">
        <v>2025</v>
      </c>
      <c r="AP4" s="417">
        <v>2025</v>
      </c>
      <c r="AQ4" s="221"/>
      <c r="AR4" s="418">
        <v>2024</v>
      </c>
      <c r="AS4" s="418">
        <v>2025</v>
      </c>
    </row>
    <row r="5" spans="1:45" ht="15.75" customHeight="1">
      <c r="B5" s="419" t="s">
        <v>2332</v>
      </c>
      <c r="C5" s="420" t="s">
        <v>1314</v>
      </c>
      <c r="D5" s="421" t="s">
        <v>2333</v>
      </c>
      <c r="E5" s="420" t="s">
        <v>2057</v>
      </c>
      <c r="F5" s="422" t="s">
        <v>2334</v>
      </c>
      <c r="G5" s="423" t="s">
        <v>2335</v>
      </c>
      <c r="H5" s="424" t="s">
        <v>2336</v>
      </c>
      <c r="I5" s="424" t="s">
        <v>2337</v>
      </c>
      <c r="J5" s="424" t="s">
        <v>2338</v>
      </c>
      <c r="K5" s="424" t="s">
        <v>246</v>
      </c>
      <c r="L5" s="424" t="s">
        <v>2339</v>
      </c>
      <c r="M5" s="424" t="s">
        <v>2340</v>
      </c>
      <c r="N5" s="424" t="s">
        <v>2341</v>
      </c>
      <c r="O5" s="424" t="s">
        <v>2342</v>
      </c>
      <c r="P5" s="424" t="s">
        <v>2343</v>
      </c>
      <c r="Q5" s="424" t="s">
        <v>2344</v>
      </c>
      <c r="R5" s="425" t="s">
        <v>2345</v>
      </c>
      <c r="S5" s="423" t="s">
        <v>2335</v>
      </c>
      <c r="T5" s="424" t="s">
        <v>2336</v>
      </c>
      <c r="U5" s="424" t="s">
        <v>2337</v>
      </c>
      <c r="V5" s="424" t="s">
        <v>2338</v>
      </c>
      <c r="W5" s="424" t="s">
        <v>246</v>
      </c>
      <c r="X5" s="424" t="s">
        <v>2339</v>
      </c>
      <c r="Y5" s="424" t="s">
        <v>2340</v>
      </c>
      <c r="Z5" s="424" t="s">
        <v>2341</v>
      </c>
      <c r="AA5" s="424" t="s">
        <v>2342</v>
      </c>
      <c r="AB5" s="424" t="s">
        <v>2343</v>
      </c>
      <c r="AC5" s="424" t="s">
        <v>2344</v>
      </c>
      <c r="AD5" s="425" t="s">
        <v>2345</v>
      </c>
      <c r="AE5" s="423" t="s">
        <v>2335</v>
      </c>
      <c r="AF5" s="424" t="s">
        <v>2336</v>
      </c>
      <c r="AG5" s="424" t="s">
        <v>2337</v>
      </c>
      <c r="AH5" s="424" t="s">
        <v>2338</v>
      </c>
      <c r="AI5" s="424" t="s">
        <v>246</v>
      </c>
      <c r="AJ5" s="424" t="s">
        <v>2339</v>
      </c>
      <c r="AK5" s="424" t="s">
        <v>2340</v>
      </c>
      <c r="AL5" s="424" t="s">
        <v>2341</v>
      </c>
      <c r="AM5" s="424" t="s">
        <v>2342</v>
      </c>
      <c r="AN5" s="424" t="s">
        <v>2343</v>
      </c>
      <c r="AO5" s="424" t="s">
        <v>2344</v>
      </c>
      <c r="AP5" s="425" t="s">
        <v>2345</v>
      </c>
      <c r="AQ5" s="221"/>
      <c r="AR5" s="426"/>
      <c r="AS5" s="426"/>
    </row>
    <row r="6" spans="1:45" ht="15.75" customHeight="1">
      <c r="B6" s="227" t="s">
        <v>2346</v>
      </c>
      <c r="C6" s="332" t="s">
        <v>2061</v>
      </c>
      <c r="D6" s="399">
        <v>1</v>
      </c>
      <c r="E6" s="332" t="s">
        <v>204</v>
      </c>
      <c r="F6" s="427" t="s">
        <v>2347</v>
      </c>
      <c r="G6" s="220">
        <f t="shared" ref="G6:R6" si="2">H6</f>
        <v>1</v>
      </c>
      <c r="H6" s="220">
        <f t="shared" si="2"/>
        <v>1</v>
      </c>
      <c r="I6" s="220">
        <f t="shared" si="2"/>
        <v>1</v>
      </c>
      <c r="J6" s="220">
        <f t="shared" si="2"/>
        <v>1</v>
      </c>
      <c r="K6" s="220">
        <f t="shared" si="2"/>
        <v>1</v>
      </c>
      <c r="L6" s="220">
        <f t="shared" si="2"/>
        <v>1</v>
      </c>
      <c r="M6" s="220">
        <f t="shared" si="2"/>
        <v>1</v>
      </c>
      <c r="N6" s="220">
        <f t="shared" si="2"/>
        <v>1</v>
      </c>
      <c r="O6" s="220">
        <f t="shared" si="2"/>
        <v>1</v>
      </c>
      <c r="P6" s="220">
        <f t="shared" si="2"/>
        <v>1</v>
      </c>
      <c r="Q6" s="220">
        <f t="shared" si="2"/>
        <v>1</v>
      </c>
      <c r="R6" s="220">
        <f t="shared" si="2"/>
        <v>1</v>
      </c>
      <c r="S6" s="428">
        <f t="shared" ref="S6:S15" si="3">D6</f>
        <v>1</v>
      </c>
      <c r="T6" s="220">
        <f t="shared" ref="T6:AD6" si="4">S6</f>
        <v>1</v>
      </c>
      <c r="U6" s="220">
        <f t="shared" si="4"/>
        <v>1</v>
      </c>
      <c r="V6" s="220">
        <f t="shared" si="4"/>
        <v>1</v>
      </c>
      <c r="W6" s="220">
        <f t="shared" si="4"/>
        <v>1</v>
      </c>
      <c r="X6" s="220">
        <f t="shared" si="4"/>
        <v>1</v>
      </c>
      <c r="Y6" s="220">
        <f t="shared" si="4"/>
        <v>1</v>
      </c>
      <c r="Z6" s="220">
        <f t="shared" si="4"/>
        <v>1</v>
      </c>
      <c r="AA6" s="220">
        <f t="shared" si="4"/>
        <v>1</v>
      </c>
      <c r="AB6" s="220">
        <f t="shared" si="4"/>
        <v>1</v>
      </c>
      <c r="AC6" s="220">
        <f t="shared" si="4"/>
        <v>1</v>
      </c>
      <c r="AD6" s="231">
        <f t="shared" si="4"/>
        <v>1</v>
      </c>
      <c r="AE6" s="428">
        <f t="shared" ref="AE6:AE15" si="5">D6</f>
        <v>1</v>
      </c>
      <c r="AF6" s="220">
        <f t="shared" ref="AF6:AP6" si="6">AE6</f>
        <v>1</v>
      </c>
      <c r="AG6" s="220">
        <f t="shared" si="6"/>
        <v>1</v>
      </c>
      <c r="AH6" s="220">
        <f t="shared" si="6"/>
        <v>1</v>
      </c>
      <c r="AI6" s="220">
        <f t="shared" si="6"/>
        <v>1</v>
      </c>
      <c r="AJ6" s="220">
        <f t="shared" si="6"/>
        <v>1</v>
      </c>
      <c r="AK6" s="220">
        <f t="shared" si="6"/>
        <v>1</v>
      </c>
      <c r="AL6" s="220">
        <f t="shared" si="6"/>
        <v>1</v>
      </c>
      <c r="AM6" s="220">
        <f t="shared" si="6"/>
        <v>1</v>
      </c>
      <c r="AN6" s="220">
        <f t="shared" si="6"/>
        <v>1</v>
      </c>
      <c r="AO6" s="220">
        <f t="shared" si="6"/>
        <v>1</v>
      </c>
      <c r="AP6" s="231">
        <f t="shared" si="6"/>
        <v>1</v>
      </c>
      <c r="AQ6" s="429"/>
      <c r="AR6" s="221"/>
      <c r="AS6" s="221"/>
    </row>
    <row r="7" spans="1:45" ht="15.75" customHeight="1">
      <c r="B7" s="227" t="s">
        <v>2346</v>
      </c>
      <c r="C7" s="332" t="s">
        <v>2062</v>
      </c>
      <c r="D7" s="399">
        <v>2</v>
      </c>
      <c r="E7" s="332" t="s">
        <v>204</v>
      </c>
      <c r="F7" s="427" t="s">
        <v>2347</v>
      </c>
      <c r="G7" s="220">
        <f t="shared" ref="G7:R7" si="7">H7</f>
        <v>2</v>
      </c>
      <c r="H7" s="220">
        <f t="shared" si="7"/>
        <v>2</v>
      </c>
      <c r="I7" s="220">
        <f t="shared" si="7"/>
        <v>2</v>
      </c>
      <c r="J7" s="220">
        <f t="shared" si="7"/>
        <v>2</v>
      </c>
      <c r="K7" s="220">
        <f t="shared" si="7"/>
        <v>2</v>
      </c>
      <c r="L7" s="220">
        <f t="shared" si="7"/>
        <v>2</v>
      </c>
      <c r="M7" s="220">
        <f t="shared" si="7"/>
        <v>2</v>
      </c>
      <c r="N7" s="220">
        <f t="shared" si="7"/>
        <v>2</v>
      </c>
      <c r="O7" s="220">
        <f t="shared" si="7"/>
        <v>2</v>
      </c>
      <c r="P7" s="220">
        <f t="shared" si="7"/>
        <v>2</v>
      </c>
      <c r="Q7" s="220">
        <f t="shared" si="7"/>
        <v>2</v>
      </c>
      <c r="R7" s="220">
        <f t="shared" si="7"/>
        <v>2</v>
      </c>
      <c r="S7" s="428">
        <f t="shared" si="3"/>
        <v>2</v>
      </c>
      <c r="T7" s="220">
        <f t="shared" ref="T7:AD7" si="8">S7</f>
        <v>2</v>
      </c>
      <c r="U7" s="220">
        <f t="shared" si="8"/>
        <v>2</v>
      </c>
      <c r="V7" s="220">
        <f t="shared" si="8"/>
        <v>2</v>
      </c>
      <c r="W7" s="220">
        <f t="shared" si="8"/>
        <v>2</v>
      </c>
      <c r="X7" s="220">
        <f t="shared" si="8"/>
        <v>2</v>
      </c>
      <c r="Y7" s="220">
        <f t="shared" si="8"/>
        <v>2</v>
      </c>
      <c r="Z7" s="220">
        <f t="shared" si="8"/>
        <v>2</v>
      </c>
      <c r="AA7" s="220">
        <f t="shared" si="8"/>
        <v>2</v>
      </c>
      <c r="AB7" s="220">
        <f t="shared" si="8"/>
        <v>2</v>
      </c>
      <c r="AC7" s="220">
        <f t="shared" si="8"/>
        <v>2</v>
      </c>
      <c r="AD7" s="231">
        <f t="shared" si="8"/>
        <v>2</v>
      </c>
      <c r="AE7" s="428">
        <f t="shared" si="5"/>
        <v>2</v>
      </c>
      <c r="AF7" s="220">
        <f t="shared" ref="AF7:AP7" si="9">AE7</f>
        <v>2</v>
      </c>
      <c r="AG7" s="220">
        <f t="shared" si="9"/>
        <v>2</v>
      </c>
      <c r="AH7" s="220">
        <f t="shared" si="9"/>
        <v>2</v>
      </c>
      <c r="AI7" s="220">
        <f t="shared" si="9"/>
        <v>2</v>
      </c>
      <c r="AJ7" s="220">
        <f t="shared" si="9"/>
        <v>2</v>
      </c>
      <c r="AK7" s="220">
        <f t="shared" si="9"/>
        <v>2</v>
      </c>
      <c r="AL7" s="220">
        <f t="shared" si="9"/>
        <v>2</v>
      </c>
      <c r="AM7" s="220">
        <f t="shared" si="9"/>
        <v>2</v>
      </c>
      <c r="AN7" s="220">
        <f t="shared" si="9"/>
        <v>2</v>
      </c>
      <c r="AO7" s="220">
        <f t="shared" si="9"/>
        <v>2</v>
      </c>
      <c r="AP7" s="231">
        <f t="shared" si="9"/>
        <v>2</v>
      </c>
      <c r="AQ7" s="429"/>
      <c r="AR7" s="221"/>
      <c r="AS7" s="221"/>
    </row>
    <row r="8" spans="1:45" ht="15.75" customHeight="1">
      <c r="B8" s="227" t="s">
        <v>2346</v>
      </c>
      <c r="C8" s="332" t="s">
        <v>2063</v>
      </c>
      <c r="D8" s="399">
        <v>2</v>
      </c>
      <c r="E8" s="332" t="s">
        <v>204</v>
      </c>
      <c r="F8" s="427" t="s">
        <v>2347</v>
      </c>
      <c r="G8" s="220">
        <f t="shared" ref="G8:R8" si="10">H8</f>
        <v>2</v>
      </c>
      <c r="H8" s="220">
        <f t="shared" si="10"/>
        <v>2</v>
      </c>
      <c r="I8" s="220">
        <f t="shared" si="10"/>
        <v>2</v>
      </c>
      <c r="J8" s="220">
        <f t="shared" si="10"/>
        <v>2</v>
      </c>
      <c r="K8" s="220">
        <f t="shared" si="10"/>
        <v>2</v>
      </c>
      <c r="L8" s="220">
        <f t="shared" si="10"/>
        <v>2</v>
      </c>
      <c r="M8" s="220">
        <f t="shared" si="10"/>
        <v>2</v>
      </c>
      <c r="N8" s="220">
        <f t="shared" si="10"/>
        <v>2</v>
      </c>
      <c r="O8" s="220">
        <f t="shared" si="10"/>
        <v>2</v>
      </c>
      <c r="P8" s="220">
        <f t="shared" si="10"/>
        <v>2</v>
      </c>
      <c r="Q8" s="220">
        <f t="shared" si="10"/>
        <v>2</v>
      </c>
      <c r="R8" s="220">
        <f t="shared" si="10"/>
        <v>2</v>
      </c>
      <c r="S8" s="428">
        <f t="shared" si="3"/>
        <v>2</v>
      </c>
      <c r="T8" s="220">
        <f t="shared" ref="T8:AD8" si="11">S8</f>
        <v>2</v>
      </c>
      <c r="U8" s="220">
        <f t="shared" si="11"/>
        <v>2</v>
      </c>
      <c r="V8" s="220">
        <f t="shared" si="11"/>
        <v>2</v>
      </c>
      <c r="W8" s="220">
        <f t="shared" si="11"/>
        <v>2</v>
      </c>
      <c r="X8" s="220">
        <f t="shared" si="11"/>
        <v>2</v>
      </c>
      <c r="Y8" s="220">
        <f t="shared" si="11"/>
        <v>2</v>
      </c>
      <c r="Z8" s="220">
        <f t="shared" si="11"/>
        <v>2</v>
      </c>
      <c r="AA8" s="220">
        <f t="shared" si="11"/>
        <v>2</v>
      </c>
      <c r="AB8" s="220">
        <f t="shared" si="11"/>
        <v>2</v>
      </c>
      <c r="AC8" s="220">
        <f t="shared" si="11"/>
        <v>2</v>
      </c>
      <c r="AD8" s="231">
        <f t="shared" si="11"/>
        <v>2</v>
      </c>
      <c r="AE8" s="428">
        <f t="shared" si="5"/>
        <v>2</v>
      </c>
      <c r="AF8" s="220">
        <f t="shared" ref="AF8:AP8" si="12">AE8</f>
        <v>2</v>
      </c>
      <c r="AG8" s="220">
        <f t="shared" si="12"/>
        <v>2</v>
      </c>
      <c r="AH8" s="220">
        <f t="shared" si="12"/>
        <v>2</v>
      </c>
      <c r="AI8" s="220">
        <f t="shared" si="12"/>
        <v>2</v>
      </c>
      <c r="AJ8" s="220">
        <f t="shared" si="12"/>
        <v>2</v>
      </c>
      <c r="AK8" s="220">
        <f t="shared" si="12"/>
        <v>2</v>
      </c>
      <c r="AL8" s="220">
        <f t="shared" si="12"/>
        <v>2</v>
      </c>
      <c r="AM8" s="220">
        <f t="shared" si="12"/>
        <v>2</v>
      </c>
      <c r="AN8" s="220">
        <f t="shared" si="12"/>
        <v>2</v>
      </c>
      <c r="AO8" s="220">
        <f t="shared" si="12"/>
        <v>2</v>
      </c>
      <c r="AP8" s="231">
        <f t="shared" si="12"/>
        <v>2</v>
      </c>
      <c r="AQ8" s="429"/>
      <c r="AR8" s="221"/>
      <c r="AS8" s="221"/>
    </row>
    <row r="9" spans="1:45" ht="15.75" customHeight="1">
      <c r="B9" s="227" t="s">
        <v>2346</v>
      </c>
      <c r="C9" s="332" t="s">
        <v>2064</v>
      </c>
      <c r="D9" s="399">
        <v>1</v>
      </c>
      <c r="E9" s="332" t="s">
        <v>204</v>
      </c>
      <c r="F9" s="427" t="s">
        <v>2347</v>
      </c>
      <c r="G9" s="220">
        <f t="shared" ref="G9:R9" si="13">H9</f>
        <v>1</v>
      </c>
      <c r="H9" s="220">
        <f t="shared" si="13"/>
        <v>1</v>
      </c>
      <c r="I9" s="220">
        <f t="shared" si="13"/>
        <v>1</v>
      </c>
      <c r="J9" s="220">
        <f t="shared" si="13"/>
        <v>1</v>
      </c>
      <c r="K9" s="220">
        <f t="shared" si="13"/>
        <v>1</v>
      </c>
      <c r="L9" s="220">
        <f t="shared" si="13"/>
        <v>1</v>
      </c>
      <c r="M9" s="220">
        <f t="shared" si="13"/>
        <v>1</v>
      </c>
      <c r="N9" s="220">
        <f t="shared" si="13"/>
        <v>1</v>
      </c>
      <c r="O9" s="220">
        <f t="shared" si="13"/>
        <v>1</v>
      </c>
      <c r="P9" s="220">
        <f t="shared" si="13"/>
        <v>1</v>
      </c>
      <c r="Q9" s="220">
        <f t="shared" si="13"/>
        <v>1</v>
      </c>
      <c r="R9" s="220">
        <f t="shared" si="13"/>
        <v>1</v>
      </c>
      <c r="S9" s="428">
        <f t="shared" si="3"/>
        <v>1</v>
      </c>
      <c r="T9" s="220">
        <f t="shared" ref="T9:AD9" si="14">S9</f>
        <v>1</v>
      </c>
      <c r="U9" s="220">
        <f t="shared" si="14"/>
        <v>1</v>
      </c>
      <c r="V9" s="220">
        <f t="shared" si="14"/>
        <v>1</v>
      </c>
      <c r="W9" s="220">
        <f t="shared" si="14"/>
        <v>1</v>
      </c>
      <c r="X9" s="220">
        <f t="shared" si="14"/>
        <v>1</v>
      </c>
      <c r="Y9" s="220">
        <f t="shared" si="14"/>
        <v>1</v>
      </c>
      <c r="Z9" s="220">
        <f t="shared" si="14"/>
        <v>1</v>
      </c>
      <c r="AA9" s="220">
        <f t="shared" si="14"/>
        <v>1</v>
      </c>
      <c r="AB9" s="220">
        <f t="shared" si="14"/>
        <v>1</v>
      </c>
      <c r="AC9" s="220">
        <f t="shared" si="14"/>
        <v>1</v>
      </c>
      <c r="AD9" s="231">
        <f t="shared" si="14"/>
        <v>1</v>
      </c>
      <c r="AE9" s="428">
        <f t="shared" si="5"/>
        <v>1</v>
      </c>
      <c r="AF9" s="220">
        <f t="shared" ref="AF9:AP9" si="15">AE9</f>
        <v>1</v>
      </c>
      <c r="AG9" s="220">
        <f t="shared" si="15"/>
        <v>1</v>
      </c>
      <c r="AH9" s="220">
        <f t="shared" si="15"/>
        <v>1</v>
      </c>
      <c r="AI9" s="220">
        <f t="shared" si="15"/>
        <v>1</v>
      </c>
      <c r="AJ9" s="220">
        <f t="shared" si="15"/>
        <v>1</v>
      </c>
      <c r="AK9" s="220">
        <f t="shared" si="15"/>
        <v>1</v>
      </c>
      <c r="AL9" s="220">
        <f t="shared" si="15"/>
        <v>1</v>
      </c>
      <c r="AM9" s="220">
        <f t="shared" si="15"/>
        <v>1</v>
      </c>
      <c r="AN9" s="220">
        <f t="shared" si="15"/>
        <v>1</v>
      </c>
      <c r="AO9" s="220">
        <f t="shared" si="15"/>
        <v>1</v>
      </c>
      <c r="AP9" s="231">
        <f t="shared" si="15"/>
        <v>1</v>
      </c>
      <c r="AQ9" s="429"/>
      <c r="AR9" s="221"/>
      <c r="AS9" s="221"/>
    </row>
    <row r="10" spans="1:45" ht="15.75" customHeight="1">
      <c r="B10" s="227" t="s">
        <v>2346</v>
      </c>
      <c r="C10" s="332" t="s">
        <v>2065</v>
      </c>
      <c r="D10" s="399">
        <v>1</v>
      </c>
      <c r="E10" s="332" t="s">
        <v>204</v>
      </c>
      <c r="F10" s="427" t="s">
        <v>2347</v>
      </c>
      <c r="G10" s="220">
        <f t="shared" ref="G10:R10" si="16">H10</f>
        <v>1</v>
      </c>
      <c r="H10" s="220">
        <f t="shared" si="16"/>
        <v>1</v>
      </c>
      <c r="I10" s="220">
        <f t="shared" si="16"/>
        <v>1</v>
      </c>
      <c r="J10" s="220">
        <f t="shared" si="16"/>
        <v>1</v>
      </c>
      <c r="K10" s="220">
        <f t="shared" si="16"/>
        <v>1</v>
      </c>
      <c r="L10" s="220">
        <f t="shared" si="16"/>
        <v>1</v>
      </c>
      <c r="M10" s="220">
        <f t="shared" si="16"/>
        <v>1</v>
      </c>
      <c r="N10" s="220">
        <f t="shared" si="16"/>
        <v>1</v>
      </c>
      <c r="O10" s="220">
        <f t="shared" si="16"/>
        <v>1</v>
      </c>
      <c r="P10" s="220">
        <f t="shared" si="16"/>
        <v>1</v>
      </c>
      <c r="Q10" s="220">
        <f t="shared" si="16"/>
        <v>1</v>
      </c>
      <c r="R10" s="220">
        <f t="shared" si="16"/>
        <v>1</v>
      </c>
      <c r="S10" s="428">
        <f t="shared" si="3"/>
        <v>1</v>
      </c>
      <c r="T10" s="220">
        <f t="shared" ref="T10:AD10" si="17">S10</f>
        <v>1</v>
      </c>
      <c r="U10" s="220">
        <f t="shared" si="17"/>
        <v>1</v>
      </c>
      <c r="V10" s="220">
        <f t="shared" si="17"/>
        <v>1</v>
      </c>
      <c r="W10" s="220">
        <f t="shared" si="17"/>
        <v>1</v>
      </c>
      <c r="X10" s="220">
        <f t="shared" si="17"/>
        <v>1</v>
      </c>
      <c r="Y10" s="220">
        <f t="shared" si="17"/>
        <v>1</v>
      </c>
      <c r="Z10" s="220">
        <f t="shared" si="17"/>
        <v>1</v>
      </c>
      <c r="AA10" s="220">
        <f t="shared" si="17"/>
        <v>1</v>
      </c>
      <c r="AB10" s="220">
        <f t="shared" si="17"/>
        <v>1</v>
      </c>
      <c r="AC10" s="220">
        <f t="shared" si="17"/>
        <v>1</v>
      </c>
      <c r="AD10" s="231">
        <f t="shared" si="17"/>
        <v>1</v>
      </c>
      <c r="AE10" s="428">
        <f t="shared" si="5"/>
        <v>1</v>
      </c>
      <c r="AF10" s="220">
        <f t="shared" ref="AF10:AP10" si="18">AE10</f>
        <v>1</v>
      </c>
      <c r="AG10" s="220">
        <f t="shared" si="18"/>
        <v>1</v>
      </c>
      <c r="AH10" s="220">
        <f t="shared" si="18"/>
        <v>1</v>
      </c>
      <c r="AI10" s="220">
        <f t="shared" si="18"/>
        <v>1</v>
      </c>
      <c r="AJ10" s="220">
        <f t="shared" si="18"/>
        <v>1</v>
      </c>
      <c r="AK10" s="220">
        <f t="shared" si="18"/>
        <v>1</v>
      </c>
      <c r="AL10" s="220">
        <f t="shared" si="18"/>
        <v>1</v>
      </c>
      <c r="AM10" s="220">
        <f t="shared" si="18"/>
        <v>1</v>
      </c>
      <c r="AN10" s="220">
        <f t="shared" si="18"/>
        <v>1</v>
      </c>
      <c r="AO10" s="220">
        <f t="shared" si="18"/>
        <v>1</v>
      </c>
      <c r="AP10" s="231">
        <f t="shared" si="18"/>
        <v>1</v>
      </c>
      <c r="AQ10" s="429"/>
      <c r="AR10" s="221"/>
      <c r="AS10" s="221"/>
    </row>
    <row r="11" spans="1:45" ht="15.75" customHeight="1">
      <c r="B11" s="227" t="s">
        <v>2346</v>
      </c>
      <c r="C11" s="332" t="s">
        <v>2066</v>
      </c>
      <c r="D11" s="399">
        <v>1</v>
      </c>
      <c r="E11" s="332" t="s">
        <v>204</v>
      </c>
      <c r="F11" s="427" t="s">
        <v>2348</v>
      </c>
      <c r="G11" s="220">
        <f t="shared" ref="G11:R11" si="19">H11</f>
        <v>1</v>
      </c>
      <c r="H11" s="220">
        <f t="shared" si="19"/>
        <v>1</v>
      </c>
      <c r="I11" s="220">
        <f t="shared" si="19"/>
        <v>1</v>
      </c>
      <c r="J11" s="220">
        <f t="shared" si="19"/>
        <v>1</v>
      </c>
      <c r="K11" s="220">
        <f t="shared" si="19"/>
        <v>1</v>
      </c>
      <c r="L11" s="220">
        <f t="shared" si="19"/>
        <v>1</v>
      </c>
      <c r="M11" s="220">
        <f t="shared" si="19"/>
        <v>1</v>
      </c>
      <c r="N11" s="220">
        <f t="shared" si="19"/>
        <v>1</v>
      </c>
      <c r="O11" s="220">
        <f t="shared" si="19"/>
        <v>1</v>
      </c>
      <c r="P11" s="220">
        <f t="shared" si="19"/>
        <v>1</v>
      </c>
      <c r="Q11" s="220">
        <f t="shared" si="19"/>
        <v>1</v>
      </c>
      <c r="R11" s="220">
        <f t="shared" si="19"/>
        <v>1</v>
      </c>
      <c r="S11" s="428">
        <f t="shared" si="3"/>
        <v>1</v>
      </c>
      <c r="T11" s="220">
        <f t="shared" ref="T11:AD11" si="20">S11</f>
        <v>1</v>
      </c>
      <c r="U11" s="220">
        <f t="shared" si="20"/>
        <v>1</v>
      </c>
      <c r="V11" s="220">
        <f t="shared" si="20"/>
        <v>1</v>
      </c>
      <c r="W11" s="220">
        <f t="shared" si="20"/>
        <v>1</v>
      </c>
      <c r="X11" s="220">
        <f t="shared" si="20"/>
        <v>1</v>
      </c>
      <c r="Y11" s="220">
        <f t="shared" si="20"/>
        <v>1</v>
      </c>
      <c r="Z11" s="220">
        <f t="shared" si="20"/>
        <v>1</v>
      </c>
      <c r="AA11" s="220">
        <f t="shared" si="20"/>
        <v>1</v>
      </c>
      <c r="AB11" s="220">
        <f t="shared" si="20"/>
        <v>1</v>
      </c>
      <c r="AC11" s="220">
        <f t="shared" si="20"/>
        <v>1</v>
      </c>
      <c r="AD11" s="231">
        <f t="shared" si="20"/>
        <v>1</v>
      </c>
      <c r="AE11" s="428">
        <f t="shared" si="5"/>
        <v>1</v>
      </c>
      <c r="AF11" s="220">
        <f t="shared" ref="AF11:AP11" si="21">AE11</f>
        <v>1</v>
      </c>
      <c r="AG11" s="220">
        <f t="shared" si="21"/>
        <v>1</v>
      </c>
      <c r="AH11" s="220">
        <f t="shared" si="21"/>
        <v>1</v>
      </c>
      <c r="AI11" s="220">
        <f t="shared" si="21"/>
        <v>1</v>
      </c>
      <c r="AJ11" s="220">
        <f t="shared" si="21"/>
        <v>1</v>
      </c>
      <c r="AK11" s="220">
        <f t="shared" si="21"/>
        <v>1</v>
      </c>
      <c r="AL11" s="220">
        <f t="shared" si="21"/>
        <v>1</v>
      </c>
      <c r="AM11" s="220">
        <f t="shared" si="21"/>
        <v>1</v>
      </c>
      <c r="AN11" s="220">
        <f t="shared" si="21"/>
        <v>1</v>
      </c>
      <c r="AO11" s="220">
        <f t="shared" si="21"/>
        <v>1</v>
      </c>
      <c r="AP11" s="231">
        <f t="shared" si="21"/>
        <v>1</v>
      </c>
      <c r="AQ11" s="429"/>
      <c r="AR11" s="221"/>
      <c r="AS11" s="221"/>
    </row>
    <row r="12" spans="1:45" ht="15.75" customHeight="1">
      <c r="B12" s="227" t="s">
        <v>2346</v>
      </c>
      <c r="C12" s="332" t="s">
        <v>2067</v>
      </c>
      <c r="D12" s="399">
        <v>1</v>
      </c>
      <c r="E12" s="332" t="s">
        <v>204</v>
      </c>
      <c r="F12" s="427" t="s">
        <v>2348</v>
      </c>
      <c r="G12" s="220">
        <f t="shared" ref="G12:R12" si="22">H12</f>
        <v>1</v>
      </c>
      <c r="H12" s="220">
        <f t="shared" si="22"/>
        <v>1</v>
      </c>
      <c r="I12" s="220">
        <f t="shared" si="22"/>
        <v>1</v>
      </c>
      <c r="J12" s="220">
        <f t="shared" si="22"/>
        <v>1</v>
      </c>
      <c r="K12" s="220">
        <f t="shared" si="22"/>
        <v>1</v>
      </c>
      <c r="L12" s="220">
        <f t="shared" si="22"/>
        <v>1</v>
      </c>
      <c r="M12" s="220">
        <f t="shared" si="22"/>
        <v>1</v>
      </c>
      <c r="N12" s="220">
        <f t="shared" si="22"/>
        <v>1</v>
      </c>
      <c r="O12" s="220">
        <f t="shared" si="22"/>
        <v>1</v>
      </c>
      <c r="P12" s="220">
        <f t="shared" si="22"/>
        <v>1</v>
      </c>
      <c r="Q12" s="220">
        <f t="shared" si="22"/>
        <v>1</v>
      </c>
      <c r="R12" s="220">
        <f t="shared" si="22"/>
        <v>1</v>
      </c>
      <c r="S12" s="428">
        <f t="shared" si="3"/>
        <v>1</v>
      </c>
      <c r="T12" s="220">
        <f t="shared" ref="T12:AD12" si="23">S12</f>
        <v>1</v>
      </c>
      <c r="U12" s="220">
        <f t="shared" si="23"/>
        <v>1</v>
      </c>
      <c r="V12" s="220">
        <f t="shared" si="23"/>
        <v>1</v>
      </c>
      <c r="W12" s="220">
        <f t="shared" si="23"/>
        <v>1</v>
      </c>
      <c r="X12" s="220">
        <f t="shared" si="23"/>
        <v>1</v>
      </c>
      <c r="Y12" s="220">
        <f t="shared" si="23"/>
        <v>1</v>
      </c>
      <c r="Z12" s="220">
        <f t="shared" si="23"/>
        <v>1</v>
      </c>
      <c r="AA12" s="220">
        <f t="shared" si="23"/>
        <v>1</v>
      </c>
      <c r="AB12" s="220">
        <f t="shared" si="23"/>
        <v>1</v>
      </c>
      <c r="AC12" s="220">
        <f t="shared" si="23"/>
        <v>1</v>
      </c>
      <c r="AD12" s="231">
        <f t="shared" si="23"/>
        <v>1</v>
      </c>
      <c r="AE12" s="428">
        <f t="shared" si="5"/>
        <v>1</v>
      </c>
      <c r="AF12" s="220">
        <f t="shared" ref="AF12:AP12" si="24">AE12</f>
        <v>1</v>
      </c>
      <c r="AG12" s="220">
        <f t="shared" si="24"/>
        <v>1</v>
      </c>
      <c r="AH12" s="220">
        <f t="shared" si="24"/>
        <v>1</v>
      </c>
      <c r="AI12" s="220">
        <f t="shared" si="24"/>
        <v>1</v>
      </c>
      <c r="AJ12" s="220">
        <f t="shared" si="24"/>
        <v>1</v>
      </c>
      <c r="AK12" s="220">
        <f t="shared" si="24"/>
        <v>1</v>
      </c>
      <c r="AL12" s="220">
        <f t="shared" si="24"/>
        <v>1</v>
      </c>
      <c r="AM12" s="220">
        <f t="shared" si="24"/>
        <v>1</v>
      </c>
      <c r="AN12" s="220">
        <f t="shared" si="24"/>
        <v>1</v>
      </c>
      <c r="AO12" s="220">
        <f t="shared" si="24"/>
        <v>1</v>
      </c>
      <c r="AP12" s="231">
        <f t="shared" si="24"/>
        <v>1</v>
      </c>
      <c r="AQ12" s="429"/>
      <c r="AR12" s="221"/>
      <c r="AS12" s="221"/>
    </row>
    <row r="13" spans="1:45" ht="15.75" customHeight="1">
      <c r="B13" s="227" t="s">
        <v>2346</v>
      </c>
      <c r="C13" s="332" t="s">
        <v>2068</v>
      </c>
      <c r="D13" s="399">
        <v>2</v>
      </c>
      <c r="E13" s="332" t="s">
        <v>204</v>
      </c>
      <c r="F13" s="427" t="s">
        <v>2348</v>
      </c>
      <c r="G13" s="220">
        <f t="shared" ref="G13:R13" si="25">H13</f>
        <v>2</v>
      </c>
      <c r="H13" s="220">
        <f t="shared" si="25"/>
        <v>2</v>
      </c>
      <c r="I13" s="220">
        <f t="shared" si="25"/>
        <v>2</v>
      </c>
      <c r="J13" s="220">
        <f t="shared" si="25"/>
        <v>2</v>
      </c>
      <c r="K13" s="220">
        <f t="shared" si="25"/>
        <v>2</v>
      </c>
      <c r="L13" s="220">
        <f t="shared" si="25"/>
        <v>2</v>
      </c>
      <c r="M13" s="220">
        <f t="shared" si="25"/>
        <v>2</v>
      </c>
      <c r="N13" s="220">
        <f t="shared" si="25"/>
        <v>2</v>
      </c>
      <c r="O13" s="220">
        <f t="shared" si="25"/>
        <v>2</v>
      </c>
      <c r="P13" s="220">
        <f t="shared" si="25"/>
        <v>2</v>
      </c>
      <c r="Q13" s="220">
        <f t="shared" si="25"/>
        <v>2</v>
      </c>
      <c r="R13" s="220">
        <f t="shared" si="25"/>
        <v>2</v>
      </c>
      <c r="S13" s="428">
        <f t="shared" si="3"/>
        <v>2</v>
      </c>
      <c r="T13" s="220">
        <f t="shared" ref="T13:AD13" si="26">S13</f>
        <v>2</v>
      </c>
      <c r="U13" s="220">
        <f t="shared" si="26"/>
        <v>2</v>
      </c>
      <c r="V13" s="220">
        <f t="shared" si="26"/>
        <v>2</v>
      </c>
      <c r="W13" s="220">
        <f t="shared" si="26"/>
        <v>2</v>
      </c>
      <c r="X13" s="220">
        <f t="shared" si="26"/>
        <v>2</v>
      </c>
      <c r="Y13" s="220">
        <f t="shared" si="26"/>
        <v>2</v>
      </c>
      <c r="Z13" s="220">
        <f t="shared" si="26"/>
        <v>2</v>
      </c>
      <c r="AA13" s="220">
        <f t="shared" si="26"/>
        <v>2</v>
      </c>
      <c r="AB13" s="220">
        <f t="shared" si="26"/>
        <v>2</v>
      </c>
      <c r="AC13" s="220">
        <f t="shared" si="26"/>
        <v>2</v>
      </c>
      <c r="AD13" s="231">
        <f t="shared" si="26"/>
        <v>2</v>
      </c>
      <c r="AE13" s="428">
        <f t="shared" si="5"/>
        <v>2</v>
      </c>
      <c r="AF13" s="220">
        <f t="shared" ref="AF13:AP13" si="27">AE13</f>
        <v>2</v>
      </c>
      <c r="AG13" s="220">
        <f t="shared" si="27"/>
        <v>2</v>
      </c>
      <c r="AH13" s="220">
        <f t="shared" si="27"/>
        <v>2</v>
      </c>
      <c r="AI13" s="220">
        <f t="shared" si="27"/>
        <v>2</v>
      </c>
      <c r="AJ13" s="220">
        <f t="shared" si="27"/>
        <v>2</v>
      </c>
      <c r="AK13" s="220">
        <f t="shared" si="27"/>
        <v>2</v>
      </c>
      <c r="AL13" s="220">
        <f t="shared" si="27"/>
        <v>2</v>
      </c>
      <c r="AM13" s="220">
        <f t="shared" si="27"/>
        <v>2</v>
      </c>
      <c r="AN13" s="220">
        <f t="shared" si="27"/>
        <v>2</v>
      </c>
      <c r="AO13" s="220">
        <f t="shared" si="27"/>
        <v>2</v>
      </c>
      <c r="AP13" s="231">
        <f t="shared" si="27"/>
        <v>2</v>
      </c>
      <c r="AQ13" s="429"/>
      <c r="AR13" s="221"/>
      <c r="AS13" s="221"/>
    </row>
    <row r="14" spans="1:45" ht="15.75" customHeight="1">
      <c r="B14" s="227" t="s">
        <v>2346</v>
      </c>
      <c r="C14" s="332" t="s">
        <v>2069</v>
      </c>
      <c r="D14" s="399">
        <v>1</v>
      </c>
      <c r="E14" s="332" t="s">
        <v>204</v>
      </c>
      <c r="F14" s="427" t="s">
        <v>2348</v>
      </c>
      <c r="G14" s="220">
        <f t="shared" ref="G14:R14" si="28">H14</f>
        <v>1</v>
      </c>
      <c r="H14" s="220">
        <f t="shared" si="28"/>
        <v>1</v>
      </c>
      <c r="I14" s="220">
        <f t="shared" si="28"/>
        <v>1</v>
      </c>
      <c r="J14" s="220">
        <f t="shared" si="28"/>
        <v>1</v>
      </c>
      <c r="K14" s="220">
        <f t="shared" si="28"/>
        <v>1</v>
      </c>
      <c r="L14" s="220">
        <f t="shared" si="28"/>
        <v>1</v>
      </c>
      <c r="M14" s="220">
        <f t="shared" si="28"/>
        <v>1</v>
      </c>
      <c r="N14" s="220">
        <f t="shared" si="28"/>
        <v>1</v>
      </c>
      <c r="O14" s="220">
        <f t="shared" si="28"/>
        <v>1</v>
      </c>
      <c r="P14" s="220">
        <f t="shared" si="28"/>
        <v>1</v>
      </c>
      <c r="Q14" s="220">
        <f t="shared" si="28"/>
        <v>1</v>
      </c>
      <c r="R14" s="220">
        <f t="shared" si="28"/>
        <v>1</v>
      </c>
      <c r="S14" s="428">
        <f t="shared" si="3"/>
        <v>1</v>
      </c>
      <c r="T14" s="220">
        <f t="shared" ref="T14:AD14" si="29">S14</f>
        <v>1</v>
      </c>
      <c r="U14" s="220">
        <f t="shared" si="29"/>
        <v>1</v>
      </c>
      <c r="V14" s="220">
        <f t="shared" si="29"/>
        <v>1</v>
      </c>
      <c r="W14" s="220">
        <f t="shared" si="29"/>
        <v>1</v>
      </c>
      <c r="X14" s="220">
        <f t="shared" si="29"/>
        <v>1</v>
      </c>
      <c r="Y14" s="220">
        <f t="shared" si="29"/>
        <v>1</v>
      </c>
      <c r="Z14" s="220">
        <f t="shared" si="29"/>
        <v>1</v>
      </c>
      <c r="AA14" s="220">
        <f t="shared" si="29"/>
        <v>1</v>
      </c>
      <c r="AB14" s="220">
        <f t="shared" si="29"/>
        <v>1</v>
      </c>
      <c r="AC14" s="220">
        <f t="shared" si="29"/>
        <v>1</v>
      </c>
      <c r="AD14" s="231">
        <f t="shared" si="29"/>
        <v>1</v>
      </c>
      <c r="AE14" s="428">
        <f t="shared" si="5"/>
        <v>1</v>
      </c>
      <c r="AF14" s="220">
        <f t="shared" ref="AF14:AP14" si="30">AE14</f>
        <v>1</v>
      </c>
      <c r="AG14" s="220">
        <f t="shared" si="30"/>
        <v>1</v>
      </c>
      <c r="AH14" s="220">
        <f t="shared" si="30"/>
        <v>1</v>
      </c>
      <c r="AI14" s="220">
        <f t="shared" si="30"/>
        <v>1</v>
      </c>
      <c r="AJ14" s="220">
        <f t="shared" si="30"/>
        <v>1</v>
      </c>
      <c r="AK14" s="220">
        <f t="shared" si="30"/>
        <v>1</v>
      </c>
      <c r="AL14" s="220">
        <f t="shared" si="30"/>
        <v>1</v>
      </c>
      <c r="AM14" s="220">
        <f t="shared" si="30"/>
        <v>1</v>
      </c>
      <c r="AN14" s="220">
        <f t="shared" si="30"/>
        <v>1</v>
      </c>
      <c r="AO14" s="220">
        <f t="shared" si="30"/>
        <v>1</v>
      </c>
      <c r="AP14" s="231">
        <f t="shared" si="30"/>
        <v>1</v>
      </c>
      <c r="AQ14" s="429"/>
      <c r="AR14" s="221"/>
      <c r="AS14" s="221"/>
    </row>
    <row r="15" spans="1:45" ht="15.75" customHeight="1">
      <c r="B15" s="227" t="s">
        <v>2346</v>
      </c>
      <c r="C15" s="332" t="s">
        <v>2070</v>
      </c>
      <c r="D15" s="399">
        <v>1</v>
      </c>
      <c r="E15" s="332" t="s">
        <v>204</v>
      </c>
      <c r="F15" s="427" t="s">
        <v>2348</v>
      </c>
      <c r="G15" s="220">
        <f t="shared" ref="G15:R15" si="31">H15</f>
        <v>1</v>
      </c>
      <c r="H15" s="220">
        <f t="shared" si="31"/>
        <v>1</v>
      </c>
      <c r="I15" s="220">
        <f t="shared" si="31"/>
        <v>1</v>
      </c>
      <c r="J15" s="220">
        <f t="shared" si="31"/>
        <v>1</v>
      </c>
      <c r="K15" s="220">
        <f t="shared" si="31"/>
        <v>1</v>
      </c>
      <c r="L15" s="220">
        <f t="shared" si="31"/>
        <v>1</v>
      </c>
      <c r="M15" s="220">
        <f t="shared" si="31"/>
        <v>1</v>
      </c>
      <c r="N15" s="220">
        <f t="shared" si="31"/>
        <v>1</v>
      </c>
      <c r="O15" s="220">
        <f t="shared" si="31"/>
        <v>1</v>
      </c>
      <c r="P15" s="220">
        <f t="shared" si="31"/>
        <v>1</v>
      </c>
      <c r="Q15" s="220">
        <f t="shared" si="31"/>
        <v>1</v>
      </c>
      <c r="R15" s="220">
        <f t="shared" si="31"/>
        <v>1</v>
      </c>
      <c r="S15" s="428">
        <f t="shared" si="3"/>
        <v>1</v>
      </c>
      <c r="T15" s="220">
        <f t="shared" ref="T15:AD15" si="32">S15</f>
        <v>1</v>
      </c>
      <c r="U15" s="220">
        <f t="shared" si="32"/>
        <v>1</v>
      </c>
      <c r="V15" s="220">
        <f t="shared" si="32"/>
        <v>1</v>
      </c>
      <c r="W15" s="220">
        <f t="shared" si="32"/>
        <v>1</v>
      </c>
      <c r="X15" s="220">
        <f t="shared" si="32"/>
        <v>1</v>
      </c>
      <c r="Y15" s="220">
        <f t="shared" si="32"/>
        <v>1</v>
      </c>
      <c r="Z15" s="220">
        <f t="shared" si="32"/>
        <v>1</v>
      </c>
      <c r="AA15" s="220">
        <f t="shared" si="32"/>
        <v>1</v>
      </c>
      <c r="AB15" s="220">
        <f t="shared" si="32"/>
        <v>1</v>
      </c>
      <c r="AC15" s="220">
        <f t="shared" si="32"/>
        <v>1</v>
      </c>
      <c r="AD15" s="231">
        <f t="shared" si="32"/>
        <v>1</v>
      </c>
      <c r="AE15" s="428">
        <f t="shared" si="5"/>
        <v>1</v>
      </c>
      <c r="AF15" s="220">
        <f t="shared" ref="AF15:AP15" si="33">AE15</f>
        <v>1</v>
      </c>
      <c r="AG15" s="220">
        <f t="shared" si="33"/>
        <v>1</v>
      </c>
      <c r="AH15" s="220">
        <f t="shared" si="33"/>
        <v>1</v>
      </c>
      <c r="AI15" s="220">
        <f t="shared" si="33"/>
        <v>1</v>
      </c>
      <c r="AJ15" s="220">
        <f t="shared" si="33"/>
        <v>1</v>
      </c>
      <c r="AK15" s="220">
        <f t="shared" si="33"/>
        <v>1</v>
      </c>
      <c r="AL15" s="220">
        <f t="shared" si="33"/>
        <v>1</v>
      </c>
      <c r="AM15" s="220">
        <f t="shared" si="33"/>
        <v>1</v>
      </c>
      <c r="AN15" s="220">
        <f t="shared" si="33"/>
        <v>1</v>
      </c>
      <c r="AO15" s="220">
        <f t="shared" si="33"/>
        <v>1</v>
      </c>
      <c r="AP15" s="231">
        <f t="shared" si="33"/>
        <v>1</v>
      </c>
      <c r="AQ15" s="429"/>
      <c r="AR15" s="221"/>
      <c r="AS15" s="221"/>
    </row>
    <row r="16" spans="1:45" ht="15.75" customHeight="1">
      <c r="B16" s="227" t="s">
        <v>2346</v>
      </c>
      <c r="C16" s="332" t="s">
        <v>2071</v>
      </c>
      <c r="D16" s="399">
        <v>2</v>
      </c>
      <c r="E16" s="332" t="s">
        <v>204</v>
      </c>
      <c r="F16" s="427" t="s">
        <v>2348</v>
      </c>
      <c r="G16" s="220">
        <f t="shared" ref="G16:R16" si="34">H16</f>
        <v>0</v>
      </c>
      <c r="H16" s="220">
        <f t="shared" si="34"/>
        <v>0</v>
      </c>
      <c r="I16" s="220">
        <f t="shared" si="34"/>
        <v>0</v>
      </c>
      <c r="J16" s="220">
        <f t="shared" si="34"/>
        <v>0</v>
      </c>
      <c r="K16" s="220">
        <f t="shared" si="34"/>
        <v>0</v>
      </c>
      <c r="L16" s="220">
        <f t="shared" si="34"/>
        <v>0</v>
      </c>
      <c r="M16" s="220">
        <f t="shared" si="34"/>
        <v>0</v>
      </c>
      <c r="N16" s="220">
        <f t="shared" si="34"/>
        <v>0</v>
      </c>
      <c r="O16" s="220">
        <f t="shared" si="34"/>
        <v>0</v>
      </c>
      <c r="P16" s="220">
        <f t="shared" si="34"/>
        <v>0</v>
      </c>
      <c r="Q16" s="220">
        <f t="shared" si="34"/>
        <v>0</v>
      </c>
      <c r="R16" s="220">
        <f t="shared" si="34"/>
        <v>0</v>
      </c>
      <c r="S16" s="428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31"/>
      <c r="AE16" s="428"/>
      <c r="AF16" s="220"/>
      <c r="AG16" s="220">
        <f>D16</f>
        <v>2</v>
      </c>
      <c r="AH16" s="220">
        <f t="shared" ref="AH16:AP16" si="35">AG16</f>
        <v>2</v>
      </c>
      <c r="AI16" s="220">
        <f t="shared" si="35"/>
        <v>2</v>
      </c>
      <c r="AJ16" s="220">
        <f t="shared" si="35"/>
        <v>2</v>
      </c>
      <c r="AK16" s="220">
        <f t="shared" si="35"/>
        <v>2</v>
      </c>
      <c r="AL16" s="220">
        <f t="shared" si="35"/>
        <v>2</v>
      </c>
      <c r="AM16" s="220">
        <f t="shared" si="35"/>
        <v>2</v>
      </c>
      <c r="AN16" s="220">
        <f t="shared" si="35"/>
        <v>2</v>
      </c>
      <c r="AO16" s="220">
        <f t="shared" si="35"/>
        <v>2</v>
      </c>
      <c r="AP16" s="231">
        <f t="shared" si="35"/>
        <v>2</v>
      </c>
      <c r="AQ16" s="430"/>
      <c r="AR16" s="221"/>
      <c r="AS16" s="221"/>
    </row>
    <row r="17" spans="2:45" ht="15.75" customHeight="1">
      <c r="B17" s="227" t="s">
        <v>2346</v>
      </c>
      <c r="C17" s="332" t="s">
        <v>2072</v>
      </c>
      <c r="D17" s="399">
        <v>1</v>
      </c>
      <c r="E17" s="332" t="s">
        <v>204</v>
      </c>
      <c r="F17" s="427" t="s">
        <v>2348</v>
      </c>
      <c r="G17" s="220">
        <f t="shared" ref="G17:R17" si="36">H17</f>
        <v>1</v>
      </c>
      <c r="H17" s="220">
        <f t="shared" si="36"/>
        <v>1</v>
      </c>
      <c r="I17" s="220">
        <f t="shared" si="36"/>
        <v>1</v>
      </c>
      <c r="J17" s="220">
        <f t="shared" si="36"/>
        <v>1</v>
      </c>
      <c r="K17" s="220">
        <f t="shared" si="36"/>
        <v>1</v>
      </c>
      <c r="L17" s="220">
        <f t="shared" si="36"/>
        <v>1</v>
      </c>
      <c r="M17" s="220">
        <f t="shared" si="36"/>
        <v>1</v>
      </c>
      <c r="N17" s="220">
        <f t="shared" si="36"/>
        <v>1</v>
      </c>
      <c r="O17" s="220">
        <f t="shared" si="36"/>
        <v>1</v>
      </c>
      <c r="P17" s="220">
        <f t="shared" si="36"/>
        <v>1</v>
      </c>
      <c r="Q17" s="220">
        <f t="shared" si="36"/>
        <v>1</v>
      </c>
      <c r="R17" s="220">
        <f t="shared" si="36"/>
        <v>1</v>
      </c>
      <c r="S17" s="428">
        <f t="shared" ref="S17:S24" si="37">D17</f>
        <v>1</v>
      </c>
      <c r="T17" s="220">
        <f t="shared" ref="T17:AD17" si="38">S17</f>
        <v>1</v>
      </c>
      <c r="U17" s="220">
        <f t="shared" si="38"/>
        <v>1</v>
      </c>
      <c r="V17" s="220">
        <f t="shared" si="38"/>
        <v>1</v>
      </c>
      <c r="W17" s="220">
        <f t="shared" si="38"/>
        <v>1</v>
      </c>
      <c r="X17" s="220">
        <f t="shared" si="38"/>
        <v>1</v>
      </c>
      <c r="Y17" s="220">
        <f t="shared" si="38"/>
        <v>1</v>
      </c>
      <c r="Z17" s="220">
        <f t="shared" si="38"/>
        <v>1</v>
      </c>
      <c r="AA17" s="220">
        <f t="shared" si="38"/>
        <v>1</v>
      </c>
      <c r="AB17" s="220">
        <f t="shared" si="38"/>
        <v>1</v>
      </c>
      <c r="AC17" s="220">
        <f t="shared" si="38"/>
        <v>1</v>
      </c>
      <c r="AD17" s="231">
        <f t="shared" si="38"/>
        <v>1</v>
      </c>
      <c r="AE17" s="428">
        <f t="shared" ref="AE17:AE24" si="39">D17</f>
        <v>1</v>
      </c>
      <c r="AF17" s="220">
        <f t="shared" ref="AF17:AP17" si="40">AE17</f>
        <v>1</v>
      </c>
      <c r="AG17" s="220">
        <f t="shared" si="40"/>
        <v>1</v>
      </c>
      <c r="AH17" s="220">
        <f t="shared" si="40"/>
        <v>1</v>
      </c>
      <c r="AI17" s="220">
        <f t="shared" si="40"/>
        <v>1</v>
      </c>
      <c r="AJ17" s="220">
        <f t="shared" si="40"/>
        <v>1</v>
      </c>
      <c r="AK17" s="220">
        <f t="shared" si="40"/>
        <v>1</v>
      </c>
      <c r="AL17" s="220">
        <f t="shared" si="40"/>
        <v>1</v>
      </c>
      <c r="AM17" s="220">
        <f t="shared" si="40"/>
        <v>1</v>
      </c>
      <c r="AN17" s="220">
        <f t="shared" si="40"/>
        <v>1</v>
      </c>
      <c r="AO17" s="220">
        <f t="shared" si="40"/>
        <v>1</v>
      </c>
      <c r="AP17" s="231">
        <f t="shared" si="40"/>
        <v>1</v>
      </c>
      <c r="AQ17" s="429"/>
      <c r="AR17" s="221"/>
      <c r="AS17" s="221"/>
    </row>
    <row r="18" spans="2:45" ht="15.75" customHeight="1">
      <c r="B18" s="227" t="s">
        <v>2346</v>
      </c>
      <c r="C18" s="332" t="s">
        <v>2073</v>
      </c>
      <c r="D18" s="399">
        <v>1</v>
      </c>
      <c r="E18" s="332" t="s">
        <v>204</v>
      </c>
      <c r="F18" s="427" t="s">
        <v>2349</v>
      </c>
      <c r="G18" s="220">
        <f t="shared" ref="G18:R18" si="41">H18</f>
        <v>1</v>
      </c>
      <c r="H18" s="220">
        <f t="shared" si="41"/>
        <v>1</v>
      </c>
      <c r="I18" s="220">
        <f t="shared" si="41"/>
        <v>1</v>
      </c>
      <c r="J18" s="220">
        <f t="shared" si="41"/>
        <v>1</v>
      </c>
      <c r="K18" s="220">
        <f t="shared" si="41"/>
        <v>1</v>
      </c>
      <c r="L18" s="220">
        <f t="shared" si="41"/>
        <v>1</v>
      </c>
      <c r="M18" s="220">
        <f t="shared" si="41"/>
        <v>1</v>
      </c>
      <c r="N18" s="220">
        <f t="shared" si="41"/>
        <v>1</v>
      </c>
      <c r="O18" s="220">
        <f t="shared" si="41"/>
        <v>1</v>
      </c>
      <c r="P18" s="220">
        <f t="shared" si="41"/>
        <v>1</v>
      </c>
      <c r="Q18" s="220">
        <f t="shared" si="41"/>
        <v>1</v>
      </c>
      <c r="R18" s="220">
        <f t="shared" si="41"/>
        <v>1</v>
      </c>
      <c r="S18" s="428">
        <f t="shared" si="37"/>
        <v>1</v>
      </c>
      <c r="T18" s="220">
        <f t="shared" ref="T18:AD18" si="42">S18</f>
        <v>1</v>
      </c>
      <c r="U18" s="220">
        <f t="shared" si="42"/>
        <v>1</v>
      </c>
      <c r="V18" s="220">
        <f t="shared" si="42"/>
        <v>1</v>
      </c>
      <c r="W18" s="220">
        <f t="shared" si="42"/>
        <v>1</v>
      </c>
      <c r="X18" s="220">
        <f t="shared" si="42"/>
        <v>1</v>
      </c>
      <c r="Y18" s="220">
        <f t="shared" si="42"/>
        <v>1</v>
      </c>
      <c r="Z18" s="220">
        <f t="shared" si="42"/>
        <v>1</v>
      </c>
      <c r="AA18" s="220">
        <f t="shared" si="42"/>
        <v>1</v>
      </c>
      <c r="AB18" s="220">
        <f t="shared" si="42"/>
        <v>1</v>
      </c>
      <c r="AC18" s="220">
        <f t="shared" si="42"/>
        <v>1</v>
      </c>
      <c r="AD18" s="231">
        <f t="shared" si="42"/>
        <v>1</v>
      </c>
      <c r="AE18" s="428">
        <f t="shared" si="39"/>
        <v>1</v>
      </c>
      <c r="AF18" s="220">
        <f t="shared" ref="AF18:AP18" si="43">AE18</f>
        <v>1</v>
      </c>
      <c r="AG18" s="220">
        <f t="shared" si="43"/>
        <v>1</v>
      </c>
      <c r="AH18" s="220">
        <f t="shared" si="43"/>
        <v>1</v>
      </c>
      <c r="AI18" s="220">
        <f t="shared" si="43"/>
        <v>1</v>
      </c>
      <c r="AJ18" s="220">
        <f t="shared" si="43"/>
        <v>1</v>
      </c>
      <c r="AK18" s="220">
        <f t="shared" si="43"/>
        <v>1</v>
      </c>
      <c r="AL18" s="220">
        <f t="shared" si="43"/>
        <v>1</v>
      </c>
      <c r="AM18" s="220">
        <f t="shared" si="43"/>
        <v>1</v>
      </c>
      <c r="AN18" s="220">
        <f t="shared" si="43"/>
        <v>1</v>
      </c>
      <c r="AO18" s="220">
        <f t="shared" si="43"/>
        <v>1</v>
      </c>
      <c r="AP18" s="231">
        <f t="shared" si="43"/>
        <v>1</v>
      </c>
      <c r="AQ18" s="429"/>
      <c r="AR18" s="221"/>
      <c r="AS18" s="221"/>
    </row>
    <row r="19" spans="2:45" ht="15.75" customHeight="1">
      <c r="B19" s="227" t="s">
        <v>2346</v>
      </c>
      <c r="C19" s="332" t="s">
        <v>2074</v>
      </c>
      <c r="D19" s="399">
        <v>1</v>
      </c>
      <c r="E19" s="332" t="s">
        <v>204</v>
      </c>
      <c r="F19" s="427" t="s">
        <v>2349</v>
      </c>
      <c r="G19" s="220">
        <f t="shared" ref="G19:R19" si="44">H19</f>
        <v>1</v>
      </c>
      <c r="H19" s="220">
        <f t="shared" si="44"/>
        <v>1</v>
      </c>
      <c r="I19" s="220">
        <f t="shared" si="44"/>
        <v>1</v>
      </c>
      <c r="J19" s="220">
        <f t="shared" si="44"/>
        <v>1</v>
      </c>
      <c r="K19" s="220">
        <f t="shared" si="44"/>
        <v>1</v>
      </c>
      <c r="L19" s="220">
        <f t="shared" si="44"/>
        <v>1</v>
      </c>
      <c r="M19" s="220">
        <f t="shared" si="44"/>
        <v>1</v>
      </c>
      <c r="N19" s="220">
        <f t="shared" si="44"/>
        <v>1</v>
      </c>
      <c r="O19" s="220">
        <f t="shared" si="44"/>
        <v>1</v>
      </c>
      <c r="P19" s="220">
        <f t="shared" si="44"/>
        <v>1</v>
      </c>
      <c r="Q19" s="220">
        <f t="shared" si="44"/>
        <v>1</v>
      </c>
      <c r="R19" s="220">
        <f t="shared" si="44"/>
        <v>1</v>
      </c>
      <c r="S19" s="428">
        <f t="shared" si="37"/>
        <v>1</v>
      </c>
      <c r="T19" s="220">
        <f t="shared" ref="T19:AD19" si="45">S19</f>
        <v>1</v>
      </c>
      <c r="U19" s="220">
        <f t="shared" si="45"/>
        <v>1</v>
      </c>
      <c r="V19" s="220">
        <f t="shared" si="45"/>
        <v>1</v>
      </c>
      <c r="W19" s="220">
        <f t="shared" si="45"/>
        <v>1</v>
      </c>
      <c r="X19" s="220">
        <f t="shared" si="45"/>
        <v>1</v>
      </c>
      <c r="Y19" s="220">
        <f t="shared" si="45"/>
        <v>1</v>
      </c>
      <c r="Z19" s="220">
        <f t="shared" si="45"/>
        <v>1</v>
      </c>
      <c r="AA19" s="220">
        <f t="shared" si="45"/>
        <v>1</v>
      </c>
      <c r="AB19" s="220">
        <f t="shared" si="45"/>
        <v>1</v>
      </c>
      <c r="AC19" s="220">
        <f t="shared" si="45"/>
        <v>1</v>
      </c>
      <c r="AD19" s="231">
        <f t="shared" si="45"/>
        <v>1</v>
      </c>
      <c r="AE19" s="428">
        <f t="shared" si="39"/>
        <v>1</v>
      </c>
      <c r="AF19" s="220">
        <f t="shared" ref="AF19:AP19" si="46">AE19</f>
        <v>1</v>
      </c>
      <c r="AG19" s="220">
        <f t="shared" si="46"/>
        <v>1</v>
      </c>
      <c r="AH19" s="220">
        <f t="shared" si="46"/>
        <v>1</v>
      </c>
      <c r="AI19" s="220">
        <f t="shared" si="46"/>
        <v>1</v>
      </c>
      <c r="AJ19" s="220">
        <f t="shared" si="46"/>
        <v>1</v>
      </c>
      <c r="AK19" s="220">
        <f t="shared" si="46"/>
        <v>1</v>
      </c>
      <c r="AL19" s="220">
        <f t="shared" si="46"/>
        <v>1</v>
      </c>
      <c r="AM19" s="220">
        <f t="shared" si="46"/>
        <v>1</v>
      </c>
      <c r="AN19" s="220">
        <f t="shared" si="46"/>
        <v>1</v>
      </c>
      <c r="AO19" s="220">
        <f t="shared" si="46"/>
        <v>1</v>
      </c>
      <c r="AP19" s="231">
        <f t="shared" si="46"/>
        <v>1</v>
      </c>
      <c r="AQ19" s="429"/>
      <c r="AR19" s="221"/>
      <c r="AS19" s="221"/>
    </row>
    <row r="20" spans="2:45" ht="15.75" customHeight="1">
      <c r="B20" s="227" t="s">
        <v>2346</v>
      </c>
      <c r="C20" s="332" t="s">
        <v>2075</v>
      </c>
      <c r="D20" s="399">
        <v>1</v>
      </c>
      <c r="E20" s="332" t="s">
        <v>204</v>
      </c>
      <c r="F20" s="427" t="s">
        <v>2349</v>
      </c>
      <c r="G20" s="220">
        <f t="shared" ref="G20:R20" si="47">H20</f>
        <v>1</v>
      </c>
      <c r="H20" s="220">
        <f t="shared" si="47"/>
        <v>1</v>
      </c>
      <c r="I20" s="220">
        <f t="shared" si="47"/>
        <v>1</v>
      </c>
      <c r="J20" s="220">
        <f t="shared" si="47"/>
        <v>1</v>
      </c>
      <c r="K20" s="220">
        <f t="shared" si="47"/>
        <v>1</v>
      </c>
      <c r="L20" s="220">
        <f t="shared" si="47"/>
        <v>1</v>
      </c>
      <c r="M20" s="220">
        <f t="shared" si="47"/>
        <v>1</v>
      </c>
      <c r="N20" s="220">
        <f t="shared" si="47"/>
        <v>1</v>
      </c>
      <c r="O20" s="220">
        <f t="shared" si="47"/>
        <v>1</v>
      </c>
      <c r="P20" s="220">
        <f t="shared" si="47"/>
        <v>1</v>
      </c>
      <c r="Q20" s="220">
        <f t="shared" si="47"/>
        <v>1</v>
      </c>
      <c r="R20" s="220">
        <f t="shared" si="47"/>
        <v>1</v>
      </c>
      <c r="S20" s="428">
        <f t="shared" si="37"/>
        <v>1</v>
      </c>
      <c r="T20" s="220">
        <f t="shared" ref="T20:AD20" si="48">S20</f>
        <v>1</v>
      </c>
      <c r="U20" s="220">
        <f t="shared" si="48"/>
        <v>1</v>
      </c>
      <c r="V20" s="220">
        <f t="shared" si="48"/>
        <v>1</v>
      </c>
      <c r="W20" s="220">
        <f t="shared" si="48"/>
        <v>1</v>
      </c>
      <c r="X20" s="220">
        <f t="shared" si="48"/>
        <v>1</v>
      </c>
      <c r="Y20" s="220">
        <f t="shared" si="48"/>
        <v>1</v>
      </c>
      <c r="Z20" s="220">
        <f t="shared" si="48"/>
        <v>1</v>
      </c>
      <c r="AA20" s="220">
        <f t="shared" si="48"/>
        <v>1</v>
      </c>
      <c r="AB20" s="220">
        <f t="shared" si="48"/>
        <v>1</v>
      </c>
      <c r="AC20" s="220">
        <f t="shared" si="48"/>
        <v>1</v>
      </c>
      <c r="AD20" s="231">
        <f t="shared" si="48"/>
        <v>1</v>
      </c>
      <c r="AE20" s="428">
        <f t="shared" si="39"/>
        <v>1</v>
      </c>
      <c r="AF20" s="220">
        <f t="shared" ref="AF20:AP20" si="49">AE20</f>
        <v>1</v>
      </c>
      <c r="AG20" s="220">
        <f t="shared" si="49"/>
        <v>1</v>
      </c>
      <c r="AH20" s="220">
        <f t="shared" si="49"/>
        <v>1</v>
      </c>
      <c r="AI20" s="220">
        <f t="shared" si="49"/>
        <v>1</v>
      </c>
      <c r="AJ20" s="220">
        <f t="shared" si="49"/>
        <v>1</v>
      </c>
      <c r="AK20" s="220">
        <f t="shared" si="49"/>
        <v>1</v>
      </c>
      <c r="AL20" s="220">
        <f t="shared" si="49"/>
        <v>1</v>
      </c>
      <c r="AM20" s="220">
        <f t="shared" si="49"/>
        <v>1</v>
      </c>
      <c r="AN20" s="220">
        <f t="shared" si="49"/>
        <v>1</v>
      </c>
      <c r="AO20" s="220">
        <f t="shared" si="49"/>
        <v>1</v>
      </c>
      <c r="AP20" s="231">
        <f t="shared" si="49"/>
        <v>1</v>
      </c>
      <c r="AQ20" s="429"/>
      <c r="AR20" s="221"/>
      <c r="AS20" s="221"/>
    </row>
    <row r="21" spans="2:45" ht="15.75" customHeight="1">
      <c r="B21" s="227" t="s">
        <v>2346</v>
      </c>
      <c r="C21" s="332" t="s">
        <v>2076</v>
      </c>
      <c r="D21" s="399">
        <v>1</v>
      </c>
      <c r="E21" s="332" t="s">
        <v>204</v>
      </c>
      <c r="F21" s="427" t="s">
        <v>2349</v>
      </c>
      <c r="G21" s="220"/>
      <c r="H21" s="220"/>
      <c r="I21" s="220"/>
      <c r="J21" s="220"/>
      <c r="K21" s="220"/>
      <c r="L21" s="220"/>
      <c r="M21" s="220"/>
      <c r="N21" s="220"/>
      <c r="O21" s="220">
        <f t="shared" ref="O21:R21" si="50">P21</f>
        <v>1</v>
      </c>
      <c r="P21" s="220">
        <f t="shared" si="50"/>
        <v>1</v>
      </c>
      <c r="Q21" s="220">
        <f t="shared" si="50"/>
        <v>1</v>
      </c>
      <c r="R21" s="220">
        <f t="shared" si="50"/>
        <v>1</v>
      </c>
      <c r="S21" s="428">
        <f t="shared" si="37"/>
        <v>1</v>
      </c>
      <c r="T21" s="220">
        <f t="shared" ref="T21:AD21" si="51">S21</f>
        <v>1</v>
      </c>
      <c r="U21" s="220">
        <f t="shared" si="51"/>
        <v>1</v>
      </c>
      <c r="V21" s="220">
        <f t="shared" si="51"/>
        <v>1</v>
      </c>
      <c r="W21" s="220">
        <f t="shared" si="51"/>
        <v>1</v>
      </c>
      <c r="X21" s="220">
        <f t="shared" si="51"/>
        <v>1</v>
      </c>
      <c r="Y21" s="220">
        <f t="shared" si="51"/>
        <v>1</v>
      </c>
      <c r="Z21" s="220">
        <f t="shared" si="51"/>
        <v>1</v>
      </c>
      <c r="AA21" s="220">
        <f t="shared" si="51"/>
        <v>1</v>
      </c>
      <c r="AB21" s="220">
        <f t="shared" si="51"/>
        <v>1</v>
      </c>
      <c r="AC21" s="220">
        <f t="shared" si="51"/>
        <v>1</v>
      </c>
      <c r="AD21" s="231">
        <f t="shared" si="51"/>
        <v>1</v>
      </c>
      <c r="AE21" s="428">
        <f t="shared" si="39"/>
        <v>1</v>
      </c>
      <c r="AF21" s="220">
        <f t="shared" ref="AF21:AP21" si="52">AE21</f>
        <v>1</v>
      </c>
      <c r="AG21" s="220">
        <f t="shared" si="52"/>
        <v>1</v>
      </c>
      <c r="AH21" s="220">
        <f t="shared" si="52"/>
        <v>1</v>
      </c>
      <c r="AI21" s="220">
        <f t="shared" si="52"/>
        <v>1</v>
      </c>
      <c r="AJ21" s="220">
        <f t="shared" si="52"/>
        <v>1</v>
      </c>
      <c r="AK21" s="220">
        <f t="shared" si="52"/>
        <v>1</v>
      </c>
      <c r="AL21" s="220">
        <f t="shared" si="52"/>
        <v>1</v>
      </c>
      <c r="AM21" s="220">
        <f t="shared" si="52"/>
        <v>1</v>
      </c>
      <c r="AN21" s="220">
        <f t="shared" si="52"/>
        <v>1</v>
      </c>
      <c r="AO21" s="220">
        <f t="shared" si="52"/>
        <v>1</v>
      </c>
      <c r="AP21" s="231">
        <f t="shared" si="52"/>
        <v>1</v>
      </c>
      <c r="AQ21" s="430"/>
      <c r="AR21" s="221"/>
      <c r="AS21" s="221"/>
    </row>
    <row r="22" spans="2:45" ht="15.75" customHeight="1">
      <c r="B22" s="227" t="s">
        <v>2346</v>
      </c>
      <c r="C22" s="332" t="s">
        <v>2077</v>
      </c>
      <c r="D22" s="399">
        <v>1</v>
      </c>
      <c r="E22" s="332" t="s">
        <v>204</v>
      </c>
      <c r="F22" s="427" t="s">
        <v>2349</v>
      </c>
      <c r="G22" s="220">
        <f t="shared" ref="G22:R22" si="53">H22</f>
        <v>1</v>
      </c>
      <c r="H22" s="220">
        <f t="shared" si="53"/>
        <v>1</v>
      </c>
      <c r="I22" s="220">
        <f t="shared" si="53"/>
        <v>1</v>
      </c>
      <c r="J22" s="220">
        <f t="shared" si="53"/>
        <v>1</v>
      </c>
      <c r="K22" s="220">
        <f t="shared" si="53"/>
        <v>1</v>
      </c>
      <c r="L22" s="220">
        <f t="shared" si="53"/>
        <v>1</v>
      </c>
      <c r="M22" s="220">
        <f t="shared" si="53"/>
        <v>1</v>
      </c>
      <c r="N22" s="220">
        <f t="shared" si="53"/>
        <v>1</v>
      </c>
      <c r="O22" s="220">
        <f t="shared" si="53"/>
        <v>1</v>
      </c>
      <c r="P22" s="220">
        <f t="shared" si="53"/>
        <v>1</v>
      </c>
      <c r="Q22" s="220">
        <f t="shared" si="53"/>
        <v>1</v>
      </c>
      <c r="R22" s="220">
        <f t="shared" si="53"/>
        <v>1</v>
      </c>
      <c r="S22" s="428">
        <f t="shared" si="37"/>
        <v>1</v>
      </c>
      <c r="T22" s="220">
        <f t="shared" ref="T22:AD22" si="54">S22</f>
        <v>1</v>
      </c>
      <c r="U22" s="220">
        <f t="shared" si="54"/>
        <v>1</v>
      </c>
      <c r="V22" s="220">
        <f t="shared" si="54"/>
        <v>1</v>
      </c>
      <c r="W22" s="220">
        <f t="shared" si="54"/>
        <v>1</v>
      </c>
      <c r="X22" s="220">
        <f t="shared" si="54"/>
        <v>1</v>
      </c>
      <c r="Y22" s="220">
        <f t="shared" si="54"/>
        <v>1</v>
      </c>
      <c r="Z22" s="220">
        <f t="shared" si="54"/>
        <v>1</v>
      </c>
      <c r="AA22" s="220">
        <f t="shared" si="54"/>
        <v>1</v>
      </c>
      <c r="AB22" s="220">
        <f t="shared" si="54"/>
        <v>1</v>
      </c>
      <c r="AC22" s="220">
        <f t="shared" si="54"/>
        <v>1</v>
      </c>
      <c r="AD22" s="231">
        <f t="shared" si="54"/>
        <v>1</v>
      </c>
      <c r="AE22" s="428">
        <f t="shared" si="39"/>
        <v>1</v>
      </c>
      <c r="AF22" s="220">
        <f t="shared" ref="AF22:AP22" si="55">AE22</f>
        <v>1</v>
      </c>
      <c r="AG22" s="220">
        <f t="shared" si="55"/>
        <v>1</v>
      </c>
      <c r="AH22" s="220">
        <f t="shared" si="55"/>
        <v>1</v>
      </c>
      <c r="AI22" s="220">
        <f t="shared" si="55"/>
        <v>1</v>
      </c>
      <c r="AJ22" s="220">
        <f t="shared" si="55"/>
        <v>1</v>
      </c>
      <c r="AK22" s="220">
        <f t="shared" si="55"/>
        <v>1</v>
      </c>
      <c r="AL22" s="220">
        <f t="shared" si="55"/>
        <v>1</v>
      </c>
      <c r="AM22" s="220">
        <f t="shared" si="55"/>
        <v>1</v>
      </c>
      <c r="AN22" s="220">
        <f t="shared" si="55"/>
        <v>1</v>
      </c>
      <c r="AO22" s="220">
        <f t="shared" si="55"/>
        <v>1</v>
      </c>
      <c r="AP22" s="231">
        <f t="shared" si="55"/>
        <v>1</v>
      </c>
      <c r="AQ22" s="429"/>
      <c r="AR22" s="221"/>
      <c r="AS22" s="221"/>
    </row>
    <row r="23" spans="2:45" ht="15.75" customHeight="1">
      <c r="B23" s="227" t="s">
        <v>2346</v>
      </c>
      <c r="C23" s="332" t="s">
        <v>2078</v>
      </c>
      <c r="D23" s="399">
        <v>2</v>
      </c>
      <c r="E23" s="332" t="s">
        <v>2058</v>
      </c>
      <c r="F23" s="427" t="s">
        <v>2058</v>
      </c>
      <c r="G23" s="220">
        <f t="shared" ref="G23:R23" si="56">H23</f>
        <v>2</v>
      </c>
      <c r="H23" s="220">
        <f t="shared" si="56"/>
        <v>2</v>
      </c>
      <c r="I23" s="220">
        <f t="shared" si="56"/>
        <v>2</v>
      </c>
      <c r="J23" s="220">
        <f t="shared" si="56"/>
        <v>2</v>
      </c>
      <c r="K23" s="220">
        <f t="shared" si="56"/>
        <v>2</v>
      </c>
      <c r="L23" s="220">
        <f t="shared" si="56"/>
        <v>2</v>
      </c>
      <c r="M23" s="220">
        <f t="shared" si="56"/>
        <v>2</v>
      </c>
      <c r="N23" s="220">
        <f t="shared" si="56"/>
        <v>2</v>
      </c>
      <c r="O23" s="220">
        <f t="shared" si="56"/>
        <v>2</v>
      </c>
      <c r="P23" s="220">
        <f t="shared" si="56"/>
        <v>2</v>
      </c>
      <c r="Q23" s="220">
        <f t="shared" si="56"/>
        <v>2</v>
      </c>
      <c r="R23" s="220">
        <f t="shared" si="56"/>
        <v>2</v>
      </c>
      <c r="S23" s="428">
        <f t="shared" si="37"/>
        <v>2</v>
      </c>
      <c r="T23" s="220">
        <f t="shared" ref="T23:AD23" si="57">S23</f>
        <v>2</v>
      </c>
      <c r="U23" s="220">
        <f t="shared" si="57"/>
        <v>2</v>
      </c>
      <c r="V23" s="220">
        <f t="shared" si="57"/>
        <v>2</v>
      </c>
      <c r="W23" s="220">
        <f t="shared" si="57"/>
        <v>2</v>
      </c>
      <c r="X23" s="220">
        <f t="shared" si="57"/>
        <v>2</v>
      </c>
      <c r="Y23" s="220">
        <f t="shared" si="57"/>
        <v>2</v>
      </c>
      <c r="Z23" s="220">
        <f t="shared" si="57"/>
        <v>2</v>
      </c>
      <c r="AA23" s="220">
        <f t="shared" si="57"/>
        <v>2</v>
      </c>
      <c r="AB23" s="220">
        <f t="shared" si="57"/>
        <v>2</v>
      </c>
      <c r="AC23" s="220">
        <f t="shared" si="57"/>
        <v>2</v>
      </c>
      <c r="AD23" s="231">
        <f t="shared" si="57"/>
        <v>2</v>
      </c>
      <c r="AE23" s="428">
        <f t="shared" si="39"/>
        <v>2</v>
      </c>
      <c r="AF23" s="220">
        <f t="shared" ref="AF23:AP23" si="58">AE23</f>
        <v>2</v>
      </c>
      <c r="AG23" s="220">
        <f t="shared" si="58"/>
        <v>2</v>
      </c>
      <c r="AH23" s="220">
        <f t="shared" si="58"/>
        <v>2</v>
      </c>
      <c r="AI23" s="220">
        <f t="shared" si="58"/>
        <v>2</v>
      </c>
      <c r="AJ23" s="220">
        <f t="shared" si="58"/>
        <v>2</v>
      </c>
      <c r="AK23" s="220">
        <f t="shared" si="58"/>
        <v>2</v>
      </c>
      <c r="AL23" s="220">
        <f t="shared" si="58"/>
        <v>2</v>
      </c>
      <c r="AM23" s="220">
        <f t="shared" si="58"/>
        <v>2</v>
      </c>
      <c r="AN23" s="220">
        <f t="shared" si="58"/>
        <v>2</v>
      </c>
      <c r="AO23" s="220">
        <f t="shared" si="58"/>
        <v>2</v>
      </c>
      <c r="AP23" s="231">
        <f t="shared" si="58"/>
        <v>2</v>
      </c>
      <c r="AQ23" s="429"/>
      <c r="AR23" s="221"/>
      <c r="AS23" s="221"/>
    </row>
    <row r="24" spans="2:45" ht="15.75" customHeight="1">
      <c r="B24" s="227" t="s">
        <v>2346</v>
      </c>
      <c r="C24" s="332" t="s">
        <v>2169</v>
      </c>
      <c r="D24" s="399">
        <v>1</v>
      </c>
      <c r="E24" s="332" t="s">
        <v>2058</v>
      </c>
      <c r="F24" s="427" t="s">
        <v>2058</v>
      </c>
      <c r="G24" s="220">
        <f t="shared" ref="G24:R24" si="59">H24</f>
        <v>1</v>
      </c>
      <c r="H24" s="220">
        <f t="shared" si="59"/>
        <v>1</v>
      </c>
      <c r="I24" s="220">
        <f t="shared" si="59"/>
        <v>1</v>
      </c>
      <c r="J24" s="220">
        <f t="shared" si="59"/>
        <v>1</v>
      </c>
      <c r="K24" s="220">
        <f t="shared" si="59"/>
        <v>1</v>
      </c>
      <c r="L24" s="220">
        <f t="shared" si="59"/>
        <v>1</v>
      </c>
      <c r="M24" s="220">
        <f t="shared" si="59"/>
        <v>1</v>
      </c>
      <c r="N24" s="220">
        <f t="shared" si="59"/>
        <v>1</v>
      </c>
      <c r="O24" s="220">
        <f t="shared" si="59"/>
        <v>1</v>
      </c>
      <c r="P24" s="220">
        <f t="shared" si="59"/>
        <v>1</v>
      </c>
      <c r="Q24" s="220">
        <f t="shared" si="59"/>
        <v>1</v>
      </c>
      <c r="R24" s="220">
        <f t="shared" si="59"/>
        <v>1</v>
      </c>
      <c r="S24" s="428">
        <f t="shared" si="37"/>
        <v>1</v>
      </c>
      <c r="T24" s="220">
        <f t="shared" ref="T24:AD24" si="60">S24</f>
        <v>1</v>
      </c>
      <c r="U24" s="220">
        <f t="shared" si="60"/>
        <v>1</v>
      </c>
      <c r="V24" s="220">
        <f t="shared" si="60"/>
        <v>1</v>
      </c>
      <c r="W24" s="220">
        <f t="shared" si="60"/>
        <v>1</v>
      </c>
      <c r="X24" s="220">
        <f t="shared" si="60"/>
        <v>1</v>
      </c>
      <c r="Y24" s="220">
        <f t="shared" si="60"/>
        <v>1</v>
      </c>
      <c r="Z24" s="220">
        <f t="shared" si="60"/>
        <v>1</v>
      </c>
      <c r="AA24" s="220">
        <f t="shared" si="60"/>
        <v>1</v>
      </c>
      <c r="AB24" s="220">
        <f t="shared" si="60"/>
        <v>1</v>
      </c>
      <c r="AC24" s="220">
        <f t="shared" si="60"/>
        <v>1</v>
      </c>
      <c r="AD24" s="231">
        <f t="shared" si="60"/>
        <v>1</v>
      </c>
      <c r="AE24" s="428">
        <f t="shared" si="39"/>
        <v>1</v>
      </c>
      <c r="AF24" s="220">
        <f t="shared" ref="AF24:AP24" si="61">AE24</f>
        <v>1</v>
      </c>
      <c r="AG24" s="220">
        <f t="shared" si="61"/>
        <v>1</v>
      </c>
      <c r="AH24" s="220">
        <f t="shared" si="61"/>
        <v>1</v>
      </c>
      <c r="AI24" s="220">
        <f t="shared" si="61"/>
        <v>1</v>
      </c>
      <c r="AJ24" s="220">
        <f t="shared" si="61"/>
        <v>1</v>
      </c>
      <c r="AK24" s="220">
        <f t="shared" si="61"/>
        <v>1</v>
      </c>
      <c r="AL24" s="220">
        <f t="shared" si="61"/>
        <v>1</v>
      </c>
      <c r="AM24" s="220">
        <f t="shared" si="61"/>
        <v>1</v>
      </c>
      <c r="AN24" s="220">
        <f t="shared" si="61"/>
        <v>1</v>
      </c>
      <c r="AO24" s="220">
        <f t="shared" si="61"/>
        <v>1</v>
      </c>
      <c r="AP24" s="231">
        <f t="shared" si="61"/>
        <v>1</v>
      </c>
      <c r="AQ24" s="429"/>
      <c r="AR24" s="221"/>
      <c r="AS24" s="221"/>
    </row>
    <row r="25" spans="2:45" ht="15.75" customHeight="1">
      <c r="B25" s="227" t="s">
        <v>2346</v>
      </c>
      <c r="C25" s="332" t="s">
        <v>2080</v>
      </c>
      <c r="D25" s="399">
        <v>2</v>
      </c>
      <c r="E25" s="332" t="s">
        <v>2058</v>
      </c>
      <c r="F25" s="427" t="s">
        <v>2058</v>
      </c>
      <c r="G25" s="220">
        <f t="shared" ref="G25:R25" si="62">H25</f>
        <v>0</v>
      </c>
      <c r="H25" s="220">
        <f t="shared" si="62"/>
        <v>0</v>
      </c>
      <c r="I25" s="220">
        <f t="shared" si="62"/>
        <v>0</v>
      </c>
      <c r="J25" s="220">
        <f t="shared" si="62"/>
        <v>0</v>
      </c>
      <c r="K25" s="220">
        <f t="shared" si="62"/>
        <v>0</v>
      </c>
      <c r="L25" s="220">
        <f t="shared" si="62"/>
        <v>0</v>
      </c>
      <c r="M25" s="220">
        <f t="shared" si="62"/>
        <v>0</v>
      </c>
      <c r="N25" s="220">
        <f t="shared" si="62"/>
        <v>0</v>
      </c>
      <c r="O25" s="220">
        <f t="shared" si="62"/>
        <v>0</v>
      </c>
      <c r="P25" s="220">
        <f t="shared" si="62"/>
        <v>0</v>
      </c>
      <c r="Q25" s="220">
        <f t="shared" si="62"/>
        <v>0</v>
      </c>
      <c r="R25" s="220">
        <f t="shared" si="62"/>
        <v>0</v>
      </c>
      <c r="S25" s="428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31"/>
      <c r="AE25" s="428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31"/>
      <c r="AQ25" s="430"/>
      <c r="AR25" s="221"/>
      <c r="AS25" s="221"/>
    </row>
    <row r="26" spans="2:45" ht="15.75" customHeight="1">
      <c r="B26" s="227" t="s">
        <v>2346</v>
      </c>
      <c r="C26" s="332" t="s">
        <v>2081</v>
      </c>
      <c r="D26" s="399">
        <v>1</v>
      </c>
      <c r="E26" s="332" t="s">
        <v>2058</v>
      </c>
      <c r="F26" s="427" t="s">
        <v>2058</v>
      </c>
      <c r="G26" s="220">
        <f t="shared" ref="G26:R26" si="63">H26</f>
        <v>1</v>
      </c>
      <c r="H26" s="220">
        <f t="shared" si="63"/>
        <v>1</v>
      </c>
      <c r="I26" s="220">
        <f t="shared" si="63"/>
        <v>1</v>
      </c>
      <c r="J26" s="220">
        <f t="shared" si="63"/>
        <v>1</v>
      </c>
      <c r="K26" s="220">
        <f t="shared" si="63"/>
        <v>1</v>
      </c>
      <c r="L26" s="220">
        <f t="shared" si="63"/>
        <v>1</v>
      </c>
      <c r="M26" s="220">
        <f t="shared" si="63"/>
        <v>1</v>
      </c>
      <c r="N26" s="220">
        <f t="shared" si="63"/>
        <v>1</v>
      </c>
      <c r="O26" s="220">
        <f t="shared" si="63"/>
        <v>1</v>
      </c>
      <c r="P26" s="220">
        <f t="shared" si="63"/>
        <v>1</v>
      </c>
      <c r="Q26" s="220">
        <f t="shared" si="63"/>
        <v>1</v>
      </c>
      <c r="R26" s="220">
        <f t="shared" si="63"/>
        <v>1</v>
      </c>
      <c r="S26" s="428">
        <f t="shared" ref="S26:S28" si="64">D26</f>
        <v>1</v>
      </c>
      <c r="T26" s="220">
        <f t="shared" ref="T26:AD26" si="65">S26</f>
        <v>1</v>
      </c>
      <c r="U26" s="220">
        <f t="shared" si="65"/>
        <v>1</v>
      </c>
      <c r="V26" s="220">
        <f t="shared" si="65"/>
        <v>1</v>
      </c>
      <c r="W26" s="220">
        <f t="shared" si="65"/>
        <v>1</v>
      </c>
      <c r="X26" s="220">
        <f t="shared" si="65"/>
        <v>1</v>
      </c>
      <c r="Y26" s="220">
        <f t="shared" si="65"/>
        <v>1</v>
      </c>
      <c r="Z26" s="220">
        <f t="shared" si="65"/>
        <v>1</v>
      </c>
      <c r="AA26" s="220">
        <f t="shared" si="65"/>
        <v>1</v>
      </c>
      <c r="AB26" s="220">
        <f t="shared" si="65"/>
        <v>1</v>
      </c>
      <c r="AC26" s="220">
        <f t="shared" si="65"/>
        <v>1</v>
      </c>
      <c r="AD26" s="231">
        <f t="shared" si="65"/>
        <v>1</v>
      </c>
      <c r="AE26" s="428">
        <f t="shared" ref="AE26:AE31" si="66">D26</f>
        <v>1</v>
      </c>
      <c r="AF26" s="220">
        <f t="shared" ref="AF26:AP26" si="67">AE26</f>
        <v>1</v>
      </c>
      <c r="AG26" s="220">
        <f t="shared" si="67"/>
        <v>1</v>
      </c>
      <c r="AH26" s="220">
        <f t="shared" si="67"/>
        <v>1</v>
      </c>
      <c r="AI26" s="220">
        <f t="shared" si="67"/>
        <v>1</v>
      </c>
      <c r="AJ26" s="220">
        <f t="shared" si="67"/>
        <v>1</v>
      </c>
      <c r="AK26" s="220">
        <f t="shared" si="67"/>
        <v>1</v>
      </c>
      <c r="AL26" s="220">
        <f t="shared" si="67"/>
        <v>1</v>
      </c>
      <c r="AM26" s="220">
        <f t="shared" si="67"/>
        <v>1</v>
      </c>
      <c r="AN26" s="220">
        <f t="shared" si="67"/>
        <v>1</v>
      </c>
      <c r="AO26" s="220">
        <f t="shared" si="67"/>
        <v>1</v>
      </c>
      <c r="AP26" s="231">
        <f t="shared" si="67"/>
        <v>1</v>
      </c>
      <c r="AQ26" s="429"/>
      <c r="AR26" s="221"/>
      <c r="AS26" s="221"/>
    </row>
    <row r="27" spans="2:45" ht="15.75" customHeight="1">
      <c r="B27" s="227" t="s">
        <v>2346</v>
      </c>
      <c r="C27" s="332" t="s">
        <v>2082</v>
      </c>
      <c r="D27" s="399">
        <v>1</v>
      </c>
      <c r="E27" s="332" t="s">
        <v>2058</v>
      </c>
      <c r="F27" s="427" t="s">
        <v>2058</v>
      </c>
      <c r="G27" s="220">
        <f t="shared" ref="G27:R27" si="68">H27</f>
        <v>1</v>
      </c>
      <c r="H27" s="220">
        <f t="shared" si="68"/>
        <v>1</v>
      </c>
      <c r="I27" s="220">
        <f t="shared" si="68"/>
        <v>1</v>
      </c>
      <c r="J27" s="220">
        <f t="shared" si="68"/>
        <v>1</v>
      </c>
      <c r="K27" s="220">
        <f t="shared" si="68"/>
        <v>1</v>
      </c>
      <c r="L27" s="220">
        <f t="shared" si="68"/>
        <v>1</v>
      </c>
      <c r="M27" s="220">
        <f t="shared" si="68"/>
        <v>1</v>
      </c>
      <c r="N27" s="220">
        <f t="shared" si="68"/>
        <v>1</v>
      </c>
      <c r="O27" s="220">
        <f t="shared" si="68"/>
        <v>1</v>
      </c>
      <c r="P27" s="220">
        <f t="shared" si="68"/>
        <v>1</v>
      </c>
      <c r="Q27" s="220">
        <f t="shared" si="68"/>
        <v>1</v>
      </c>
      <c r="R27" s="220">
        <f t="shared" si="68"/>
        <v>1</v>
      </c>
      <c r="S27" s="428">
        <f t="shared" si="64"/>
        <v>1</v>
      </c>
      <c r="T27" s="220">
        <f t="shared" ref="T27:AD27" si="69">S27</f>
        <v>1</v>
      </c>
      <c r="U27" s="220">
        <f t="shared" si="69"/>
        <v>1</v>
      </c>
      <c r="V27" s="220">
        <f t="shared" si="69"/>
        <v>1</v>
      </c>
      <c r="W27" s="220">
        <f t="shared" si="69"/>
        <v>1</v>
      </c>
      <c r="X27" s="220">
        <f t="shared" si="69"/>
        <v>1</v>
      </c>
      <c r="Y27" s="220">
        <f t="shared" si="69"/>
        <v>1</v>
      </c>
      <c r="Z27" s="220">
        <f t="shared" si="69"/>
        <v>1</v>
      </c>
      <c r="AA27" s="220">
        <f t="shared" si="69"/>
        <v>1</v>
      </c>
      <c r="AB27" s="220">
        <f t="shared" si="69"/>
        <v>1</v>
      </c>
      <c r="AC27" s="220">
        <f t="shared" si="69"/>
        <v>1</v>
      </c>
      <c r="AD27" s="231">
        <f t="shared" si="69"/>
        <v>1</v>
      </c>
      <c r="AE27" s="428">
        <f t="shared" si="66"/>
        <v>1</v>
      </c>
      <c r="AF27" s="220">
        <f t="shared" ref="AF27:AP27" si="70">AE27</f>
        <v>1</v>
      </c>
      <c r="AG27" s="220">
        <f t="shared" si="70"/>
        <v>1</v>
      </c>
      <c r="AH27" s="220">
        <f t="shared" si="70"/>
        <v>1</v>
      </c>
      <c r="AI27" s="220">
        <f t="shared" si="70"/>
        <v>1</v>
      </c>
      <c r="AJ27" s="220">
        <f t="shared" si="70"/>
        <v>1</v>
      </c>
      <c r="AK27" s="220">
        <f t="shared" si="70"/>
        <v>1</v>
      </c>
      <c r="AL27" s="220">
        <f t="shared" si="70"/>
        <v>1</v>
      </c>
      <c r="AM27" s="220">
        <f t="shared" si="70"/>
        <v>1</v>
      </c>
      <c r="AN27" s="220">
        <f t="shared" si="70"/>
        <v>1</v>
      </c>
      <c r="AO27" s="220">
        <f t="shared" si="70"/>
        <v>1</v>
      </c>
      <c r="AP27" s="231">
        <f t="shared" si="70"/>
        <v>1</v>
      </c>
      <c r="AQ27" s="429"/>
      <c r="AR27" s="221"/>
      <c r="AS27" s="221"/>
    </row>
    <row r="28" spans="2:45" ht="15.75" customHeight="1">
      <c r="B28" s="227" t="s">
        <v>2346</v>
      </c>
      <c r="C28" s="332" t="s">
        <v>2083</v>
      </c>
      <c r="D28" s="399">
        <v>2</v>
      </c>
      <c r="E28" s="332" t="s">
        <v>2058</v>
      </c>
      <c r="F28" s="427" t="s">
        <v>2058</v>
      </c>
      <c r="G28" s="220">
        <f t="shared" ref="G28:R28" si="71">H28</f>
        <v>2</v>
      </c>
      <c r="H28" s="220">
        <f t="shared" si="71"/>
        <v>2</v>
      </c>
      <c r="I28" s="220">
        <f t="shared" si="71"/>
        <v>2</v>
      </c>
      <c r="J28" s="220">
        <f t="shared" si="71"/>
        <v>2</v>
      </c>
      <c r="K28" s="220">
        <f t="shared" si="71"/>
        <v>2</v>
      </c>
      <c r="L28" s="220">
        <f t="shared" si="71"/>
        <v>2</v>
      </c>
      <c r="M28" s="220">
        <f t="shared" si="71"/>
        <v>2</v>
      </c>
      <c r="N28" s="220">
        <f t="shared" si="71"/>
        <v>2</v>
      </c>
      <c r="O28" s="220">
        <f t="shared" si="71"/>
        <v>2</v>
      </c>
      <c r="P28" s="220">
        <f t="shared" si="71"/>
        <v>2</v>
      </c>
      <c r="Q28" s="220">
        <f t="shared" si="71"/>
        <v>2</v>
      </c>
      <c r="R28" s="220">
        <f t="shared" si="71"/>
        <v>2</v>
      </c>
      <c r="S28" s="428">
        <f t="shared" si="64"/>
        <v>2</v>
      </c>
      <c r="T28" s="220">
        <f t="shared" ref="T28:AD28" si="72">S28</f>
        <v>2</v>
      </c>
      <c r="U28" s="220">
        <f t="shared" si="72"/>
        <v>2</v>
      </c>
      <c r="V28" s="220">
        <f t="shared" si="72"/>
        <v>2</v>
      </c>
      <c r="W28" s="220">
        <f t="shared" si="72"/>
        <v>2</v>
      </c>
      <c r="X28" s="220">
        <f t="shared" si="72"/>
        <v>2</v>
      </c>
      <c r="Y28" s="220">
        <f t="shared" si="72"/>
        <v>2</v>
      </c>
      <c r="Z28" s="220">
        <f t="shared" si="72"/>
        <v>2</v>
      </c>
      <c r="AA28" s="220">
        <f t="shared" si="72"/>
        <v>2</v>
      </c>
      <c r="AB28" s="220">
        <f t="shared" si="72"/>
        <v>2</v>
      </c>
      <c r="AC28" s="220">
        <f t="shared" si="72"/>
        <v>2</v>
      </c>
      <c r="AD28" s="231">
        <f t="shared" si="72"/>
        <v>2</v>
      </c>
      <c r="AE28" s="428">
        <f t="shared" si="66"/>
        <v>2</v>
      </c>
      <c r="AF28" s="220">
        <f t="shared" ref="AF28:AP28" si="73">AE28</f>
        <v>2</v>
      </c>
      <c r="AG28" s="220">
        <f t="shared" si="73"/>
        <v>2</v>
      </c>
      <c r="AH28" s="220">
        <f t="shared" si="73"/>
        <v>2</v>
      </c>
      <c r="AI28" s="220">
        <f t="shared" si="73"/>
        <v>2</v>
      </c>
      <c r="AJ28" s="220">
        <f t="shared" si="73"/>
        <v>2</v>
      </c>
      <c r="AK28" s="220">
        <f t="shared" si="73"/>
        <v>2</v>
      </c>
      <c r="AL28" s="220">
        <f t="shared" si="73"/>
        <v>2</v>
      </c>
      <c r="AM28" s="220">
        <f t="shared" si="73"/>
        <v>2</v>
      </c>
      <c r="AN28" s="220">
        <f t="shared" si="73"/>
        <v>2</v>
      </c>
      <c r="AO28" s="220">
        <f t="shared" si="73"/>
        <v>2</v>
      </c>
      <c r="AP28" s="231">
        <f t="shared" si="73"/>
        <v>2</v>
      </c>
      <c r="AQ28" s="429"/>
      <c r="AR28" s="221"/>
      <c r="AS28" s="221"/>
    </row>
    <row r="29" spans="2:45" ht="15.75" customHeight="1">
      <c r="B29" s="227" t="s">
        <v>2346</v>
      </c>
      <c r="C29" s="332" t="s">
        <v>2084</v>
      </c>
      <c r="D29" s="399">
        <v>1</v>
      </c>
      <c r="E29" s="332" t="s">
        <v>2058</v>
      </c>
      <c r="F29" s="427" t="s">
        <v>2058</v>
      </c>
      <c r="G29" s="220">
        <f t="shared" ref="G29:R29" si="74">H29</f>
        <v>0</v>
      </c>
      <c r="H29" s="220">
        <f t="shared" si="74"/>
        <v>0</v>
      </c>
      <c r="I29" s="220">
        <f t="shared" si="74"/>
        <v>0</v>
      </c>
      <c r="J29" s="220">
        <f t="shared" si="74"/>
        <v>0</v>
      </c>
      <c r="K29" s="220">
        <f t="shared" si="74"/>
        <v>0</v>
      </c>
      <c r="L29" s="220">
        <f t="shared" si="74"/>
        <v>0</v>
      </c>
      <c r="M29" s="220">
        <f t="shared" si="74"/>
        <v>0</v>
      </c>
      <c r="N29" s="220">
        <f t="shared" si="74"/>
        <v>0</v>
      </c>
      <c r="O29" s="220">
        <f t="shared" si="74"/>
        <v>0</v>
      </c>
      <c r="P29" s="220">
        <f t="shared" si="74"/>
        <v>0</v>
      </c>
      <c r="Q29" s="220">
        <f t="shared" si="74"/>
        <v>0</v>
      </c>
      <c r="R29" s="220">
        <f t="shared" si="74"/>
        <v>0</v>
      </c>
      <c r="S29" s="428"/>
      <c r="T29" s="220"/>
      <c r="U29" s="220"/>
      <c r="V29" s="220"/>
      <c r="W29" s="220">
        <f>D29</f>
        <v>1</v>
      </c>
      <c r="X29" s="220">
        <f t="shared" ref="X29:AD29" si="75">W29</f>
        <v>1</v>
      </c>
      <c r="Y29" s="220">
        <f t="shared" si="75"/>
        <v>1</v>
      </c>
      <c r="Z29" s="220">
        <f t="shared" si="75"/>
        <v>1</v>
      </c>
      <c r="AA29" s="220">
        <f t="shared" si="75"/>
        <v>1</v>
      </c>
      <c r="AB29" s="220">
        <f t="shared" si="75"/>
        <v>1</v>
      </c>
      <c r="AC29" s="220">
        <f t="shared" si="75"/>
        <v>1</v>
      </c>
      <c r="AD29" s="231">
        <f t="shared" si="75"/>
        <v>1</v>
      </c>
      <c r="AE29" s="428">
        <f t="shared" si="66"/>
        <v>1</v>
      </c>
      <c r="AF29" s="220">
        <f t="shared" ref="AF29:AP29" si="76">AE29</f>
        <v>1</v>
      </c>
      <c r="AG29" s="220">
        <f t="shared" si="76"/>
        <v>1</v>
      </c>
      <c r="AH29" s="220">
        <f t="shared" si="76"/>
        <v>1</v>
      </c>
      <c r="AI29" s="220">
        <f t="shared" si="76"/>
        <v>1</v>
      </c>
      <c r="AJ29" s="220">
        <f t="shared" si="76"/>
        <v>1</v>
      </c>
      <c r="AK29" s="220">
        <f t="shared" si="76"/>
        <v>1</v>
      </c>
      <c r="AL29" s="220">
        <f t="shared" si="76"/>
        <v>1</v>
      </c>
      <c r="AM29" s="220">
        <f t="shared" si="76"/>
        <v>1</v>
      </c>
      <c r="AN29" s="220">
        <f t="shared" si="76"/>
        <v>1</v>
      </c>
      <c r="AO29" s="220">
        <f t="shared" si="76"/>
        <v>1</v>
      </c>
      <c r="AP29" s="231">
        <f t="shared" si="76"/>
        <v>1</v>
      </c>
      <c r="AQ29" s="430"/>
      <c r="AR29" s="221"/>
      <c r="AS29" s="221"/>
    </row>
    <row r="30" spans="2:45" ht="15.75" customHeight="1">
      <c r="B30" s="227" t="s">
        <v>2346</v>
      </c>
      <c r="C30" s="332" t="s">
        <v>2085</v>
      </c>
      <c r="D30" s="399">
        <v>1</v>
      </c>
      <c r="E30" s="332" t="s">
        <v>2059</v>
      </c>
      <c r="F30" s="427" t="s">
        <v>2059</v>
      </c>
      <c r="G30" s="220">
        <f t="shared" ref="G30:R30" si="77">H30</f>
        <v>1</v>
      </c>
      <c r="H30" s="220">
        <f t="shared" si="77"/>
        <v>1</v>
      </c>
      <c r="I30" s="220">
        <f t="shared" si="77"/>
        <v>1</v>
      </c>
      <c r="J30" s="220">
        <f t="shared" si="77"/>
        <v>1</v>
      </c>
      <c r="K30" s="220">
        <f t="shared" si="77"/>
        <v>1</v>
      </c>
      <c r="L30" s="220">
        <f t="shared" si="77"/>
        <v>1</v>
      </c>
      <c r="M30" s="220">
        <f t="shared" si="77"/>
        <v>1</v>
      </c>
      <c r="N30" s="220">
        <f t="shared" si="77"/>
        <v>1</v>
      </c>
      <c r="O30" s="220">
        <f t="shared" si="77"/>
        <v>1</v>
      </c>
      <c r="P30" s="220">
        <f t="shared" si="77"/>
        <v>1</v>
      </c>
      <c r="Q30" s="220">
        <f t="shared" si="77"/>
        <v>1</v>
      </c>
      <c r="R30" s="220">
        <f t="shared" si="77"/>
        <v>1</v>
      </c>
      <c r="S30" s="428">
        <f t="shared" ref="S30:S31" si="78">D30</f>
        <v>1</v>
      </c>
      <c r="T30" s="220">
        <f t="shared" ref="T30:AD30" si="79">S30</f>
        <v>1</v>
      </c>
      <c r="U30" s="220">
        <f t="shared" si="79"/>
        <v>1</v>
      </c>
      <c r="V30" s="220">
        <f t="shared" si="79"/>
        <v>1</v>
      </c>
      <c r="W30" s="220">
        <f t="shared" si="79"/>
        <v>1</v>
      </c>
      <c r="X30" s="220">
        <f t="shared" si="79"/>
        <v>1</v>
      </c>
      <c r="Y30" s="220">
        <f t="shared" si="79"/>
        <v>1</v>
      </c>
      <c r="Z30" s="220">
        <f t="shared" si="79"/>
        <v>1</v>
      </c>
      <c r="AA30" s="220">
        <f t="shared" si="79"/>
        <v>1</v>
      </c>
      <c r="AB30" s="220">
        <f t="shared" si="79"/>
        <v>1</v>
      </c>
      <c r="AC30" s="220">
        <f t="shared" si="79"/>
        <v>1</v>
      </c>
      <c r="AD30" s="231">
        <f t="shared" si="79"/>
        <v>1</v>
      </c>
      <c r="AE30" s="428">
        <f t="shared" si="66"/>
        <v>1</v>
      </c>
      <c r="AF30" s="220">
        <f t="shared" ref="AF30:AP30" si="80">AE30</f>
        <v>1</v>
      </c>
      <c r="AG30" s="220">
        <f t="shared" si="80"/>
        <v>1</v>
      </c>
      <c r="AH30" s="220">
        <f t="shared" si="80"/>
        <v>1</v>
      </c>
      <c r="AI30" s="220">
        <f t="shared" si="80"/>
        <v>1</v>
      </c>
      <c r="AJ30" s="220">
        <f t="shared" si="80"/>
        <v>1</v>
      </c>
      <c r="AK30" s="220">
        <f t="shared" si="80"/>
        <v>1</v>
      </c>
      <c r="AL30" s="220">
        <f t="shared" si="80"/>
        <v>1</v>
      </c>
      <c r="AM30" s="220">
        <f t="shared" si="80"/>
        <v>1</v>
      </c>
      <c r="AN30" s="220">
        <f t="shared" si="80"/>
        <v>1</v>
      </c>
      <c r="AO30" s="220">
        <f t="shared" si="80"/>
        <v>1</v>
      </c>
      <c r="AP30" s="231">
        <f t="shared" si="80"/>
        <v>1</v>
      </c>
      <c r="AQ30" s="429"/>
      <c r="AR30" s="221"/>
      <c r="AS30" s="221"/>
    </row>
    <row r="31" spans="2:45" ht="15.75" customHeight="1">
      <c r="B31" s="227" t="s">
        <v>2346</v>
      </c>
      <c r="C31" s="332" t="s">
        <v>2086</v>
      </c>
      <c r="D31" s="399">
        <v>1</v>
      </c>
      <c r="E31" s="332" t="s">
        <v>2059</v>
      </c>
      <c r="F31" s="427" t="s">
        <v>2059</v>
      </c>
      <c r="G31" s="220">
        <f t="shared" ref="G31:R31" si="81">H31</f>
        <v>1</v>
      </c>
      <c r="H31" s="220">
        <f t="shared" si="81"/>
        <v>1</v>
      </c>
      <c r="I31" s="220">
        <f t="shared" si="81"/>
        <v>1</v>
      </c>
      <c r="J31" s="220">
        <f t="shared" si="81"/>
        <v>1</v>
      </c>
      <c r="K31" s="220">
        <f t="shared" si="81"/>
        <v>1</v>
      </c>
      <c r="L31" s="220">
        <f t="shared" si="81"/>
        <v>1</v>
      </c>
      <c r="M31" s="220">
        <f t="shared" si="81"/>
        <v>1</v>
      </c>
      <c r="N31" s="220">
        <f t="shared" si="81"/>
        <v>1</v>
      </c>
      <c r="O31" s="220">
        <f t="shared" si="81"/>
        <v>1</v>
      </c>
      <c r="P31" s="220">
        <f t="shared" si="81"/>
        <v>1</v>
      </c>
      <c r="Q31" s="220">
        <f t="shared" si="81"/>
        <v>1</v>
      </c>
      <c r="R31" s="220">
        <f t="shared" si="81"/>
        <v>1</v>
      </c>
      <c r="S31" s="428">
        <f t="shared" si="78"/>
        <v>1</v>
      </c>
      <c r="T31" s="220">
        <f t="shared" ref="T31:AD31" si="82">S31</f>
        <v>1</v>
      </c>
      <c r="U31" s="220">
        <f t="shared" si="82"/>
        <v>1</v>
      </c>
      <c r="V31" s="220">
        <f t="shared" si="82"/>
        <v>1</v>
      </c>
      <c r="W31" s="220">
        <f t="shared" si="82"/>
        <v>1</v>
      </c>
      <c r="X31" s="220">
        <f t="shared" si="82"/>
        <v>1</v>
      </c>
      <c r="Y31" s="220">
        <f t="shared" si="82"/>
        <v>1</v>
      </c>
      <c r="Z31" s="220">
        <f t="shared" si="82"/>
        <v>1</v>
      </c>
      <c r="AA31" s="220">
        <f t="shared" si="82"/>
        <v>1</v>
      </c>
      <c r="AB31" s="220">
        <f t="shared" si="82"/>
        <v>1</v>
      </c>
      <c r="AC31" s="220">
        <f t="shared" si="82"/>
        <v>1</v>
      </c>
      <c r="AD31" s="231">
        <f t="shared" si="82"/>
        <v>1</v>
      </c>
      <c r="AE31" s="428">
        <f t="shared" si="66"/>
        <v>1</v>
      </c>
      <c r="AF31" s="220">
        <f t="shared" ref="AF31:AP31" si="83">AE31</f>
        <v>1</v>
      </c>
      <c r="AG31" s="220">
        <f t="shared" si="83"/>
        <v>1</v>
      </c>
      <c r="AH31" s="220">
        <f t="shared" si="83"/>
        <v>1</v>
      </c>
      <c r="AI31" s="220">
        <f t="shared" si="83"/>
        <v>1</v>
      </c>
      <c r="AJ31" s="220">
        <f t="shared" si="83"/>
        <v>1</v>
      </c>
      <c r="AK31" s="220">
        <f t="shared" si="83"/>
        <v>1</v>
      </c>
      <c r="AL31" s="220">
        <f t="shared" si="83"/>
        <v>1</v>
      </c>
      <c r="AM31" s="220">
        <f t="shared" si="83"/>
        <v>1</v>
      </c>
      <c r="AN31" s="220">
        <f t="shared" si="83"/>
        <v>1</v>
      </c>
      <c r="AO31" s="220">
        <f t="shared" si="83"/>
        <v>1</v>
      </c>
      <c r="AP31" s="231">
        <f t="shared" si="83"/>
        <v>1</v>
      </c>
      <c r="AQ31" s="429"/>
      <c r="AR31" s="221"/>
      <c r="AS31" s="221"/>
    </row>
    <row r="32" spans="2:45" ht="15.75" customHeight="1">
      <c r="B32" s="227" t="s">
        <v>2346</v>
      </c>
      <c r="C32" s="332" t="s">
        <v>2170</v>
      </c>
      <c r="D32" s="399">
        <v>1</v>
      </c>
      <c r="E32" s="332" t="s">
        <v>2059</v>
      </c>
      <c r="F32" s="427" t="s">
        <v>2059</v>
      </c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428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31"/>
      <c r="AE32" s="428"/>
      <c r="AF32" s="220"/>
      <c r="AG32" s="220"/>
      <c r="AH32" s="220"/>
      <c r="AI32" s="220"/>
      <c r="AJ32" s="220"/>
      <c r="AK32" s="220"/>
      <c r="AL32" s="220"/>
      <c r="AM32" s="220">
        <v>1</v>
      </c>
      <c r="AN32" s="220">
        <v>1</v>
      </c>
      <c r="AO32" s="220">
        <v>1</v>
      </c>
      <c r="AP32" s="231">
        <v>1</v>
      </c>
      <c r="AQ32" s="430"/>
      <c r="AR32" s="221"/>
      <c r="AS32" s="221"/>
    </row>
    <row r="33" spans="2:45" ht="15.75" customHeight="1">
      <c r="B33" s="227" t="s">
        <v>2346</v>
      </c>
      <c r="C33" s="332" t="s">
        <v>2087</v>
      </c>
      <c r="D33" s="399">
        <v>1</v>
      </c>
      <c r="E33" s="332" t="s">
        <v>2059</v>
      </c>
      <c r="F33" s="427" t="s">
        <v>2059</v>
      </c>
      <c r="G33" s="220">
        <f t="shared" ref="G33:R33" si="84">H33</f>
        <v>1</v>
      </c>
      <c r="H33" s="220">
        <f t="shared" si="84"/>
        <v>1</v>
      </c>
      <c r="I33" s="220">
        <f t="shared" si="84"/>
        <v>1</v>
      </c>
      <c r="J33" s="220">
        <f t="shared" si="84"/>
        <v>1</v>
      </c>
      <c r="K33" s="220">
        <f t="shared" si="84"/>
        <v>1</v>
      </c>
      <c r="L33" s="220">
        <f t="shared" si="84"/>
        <v>1</v>
      </c>
      <c r="M33" s="220">
        <f t="shared" si="84"/>
        <v>1</v>
      </c>
      <c r="N33" s="220">
        <f t="shared" si="84"/>
        <v>1</v>
      </c>
      <c r="O33" s="220">
        <f t="shared" si="84"/>
        <v>1</v>
      </c>
      <c r="P33" s="220">
        <f t="shared" si="84"/>
        <v>1</v>
      </c>
      <c r="Q33" s="220">
        <f t="shared" si="84"/>
        <v>1</v>
      </c>
      <c r="R33" s="220">
        <f t="shared" si="84"/>
        <v>1</v>
      </c>
      <c r="S33" s="428">
        <f t="shared" ref="S33:S34" si="85">D33</f>
        <v>1</v>
      </c>
      <c r="T33" s="220">
        <f t="shared" ref="T33:AD33" si="86">S33</f>
        <v>1</v>
      </c>
      <c r="U33" s="220">
        <f t="shared" si="86"/>
        <v>1</v>
      </c>
      <c r="V33" s="220">
        <f t="shared" si="86"/>
        <v>1</v>
      </c>
      <c r="W33" s="220">
        <f t="shared" si="86"/>
        <v>1</v>
      </c>
      <c r="X33" s="220">
        <f t="shared" si="86"/>
        <v>1</v>
      </c>
      <c r="Y33" s="220">
        <f t="shared" si="86"/>
        <v>1</v>
      </c>
      <c r="Z33" s="220">
        <f t="shared" si="86"/>
        <v>1</v>
      </c>
      <c r="AA33" s="220">
        <f t="shared" si="86"/>
        <v>1</v>
      </c>
      <c r="AB33" s="220">
        <f t="shared" si="86"/>
        <v>1</v>
      </c>
      <c r="AC33" s="220">
        <f t="shared" si="86"/>
        <v>1</v>
      </c>
      <c r="AD33" s="231">
        <f t="shared" si="86"/>
        <v>1</v>
      </c>
      <c r="AE33" s="428">
        <f t="shared" ref="AE33:AE34" si="87">D33</f>
        <v>1</v>
      </c>
      <c r="AF33" s="220">
        <f t="shared" ref="AF33:AP33" si="88">AE33</f>
        <v>1</v>
      </c>
      <c r="AG33" s="220">
        <f t="shared" si="88"/>
        <v>1</v>
      </c>
      <c r="AH33" s="220">
        <f t="shared" si="88"/>
        <v>1</v>
      </c>
      <c r="AI33" s="220">
        <f t="shared" si="88"/>
        <v>1</v>
      </c>
      <c r="AJ33" s="220">
        <f t="shared" si="88"/>
        <v>1</v>
      </c>
      <c r="AK33" s="220">
        <f t="shared" si="88"/>
        <v>1</v>
      </c>
      <c r="AL33" s="220">
        <f t="shared" si="88"/>
        <v>1</v>
      </c>
      <c r="AM33" s="220">
        <f t="shared" si="88"/>
        <v>1</v>
      </c>
      <c r="AN33" s="220">
        <f t="shared" si="88"/>
        <v>1</v>
      </c>
      <c r="AO33" s="220">
        <f t="shared" si="88"/>
        <v>1</v>
      </c>
      <c r="AP33" s="231">
        <f t="shared" si="88"/>
        <v>1</v>
      </c>
      <c r="AQ33" s="429"/>
      <c r="AR33" s="221"/>
      <c r="AS33" s="221"/>
    </row>
    <row r="34" spans="2:45" ht="15.75" customHeight="1">
      <c r="B34" s="227" t="s">
        <v>2346</v>
      </c>
      <c r="C34" s="332" t="s">
        <v>2088</v>
      </c>
      <c r="D34" s="399">
        <v>1</v>
      </c>
      <c r="E34" s="332" t="s">
        <v>2059</v>
      </c>
      <c r="F34" s="427" t="s">
        <v>2059</v>
      </c>
      <c r="G34" s="220">
        <f t="shared" ref="G34:R34" si="89">H34</f>
        <v>1</v>
      </c>
      <c r="H34" s="220">
        <f t="shared" si="89"/>
        <v>1</v>
      </c>
      <c r="I34" s="220">
        <f t="shared" si="89"/>
        <v>1</v>
      </c>
      <c r="J34" s="220">
        <f t="shared" si="89"/>
        <v>1</v>
      </c>
      <c r="K34" s="220">
        <f t="shared" si="89"/>
        <v>1</v>
      </c>
      <c r="L34" s="220">
        <f t="shared" si="89"/>
        <v>1</v>
      </c>
      <c r="M34" s="220">
        <f t="shared" si="89"/>
        <v>1</v>
      </c>
      <c r="N34" s="220">
        <f t="shared" si="89"/>
        <v>1</v>
      </c>
      <c r="O34" s="220">
        <f t="shared" si="89"/>
        <v>1</v>
      </c>
      <c r="P34" s="220">
        <f t="shared" si="89"/>
        <v>1</v>
      </c>
      <c r="Q34" s="220">
        <f t="shared" si="89"/>
        <v>1</v>
      </c>
      <c r="R34" s="220">
        <f t="shared" si="89"/>
        <v>1</v>
      </c>
      <c r="S34" s="428">
        <f t="shared" si="85"/>
        <v>1</v>
      </c>
      <c r="T34" s="220">
        <f t="shared" ref="T34:AD34" si="90">S34</f>
        <v>1</v>
      </c>
      <c r="U34" s="220">
        <f t="shared" si="90"/>
        <v>1</v>
      </c>
      <c r="V34" s="220">
        <f t="shared" si="90"/>
        <v>1</v>
      </c>
      <c r="W34" s="220">
        <f t="shared" si="90"/>
        <v>1</v>
      </c>
      <c r="X34" s="220">
        <f t="shared" si="90"/>
        <v>1</v>
      </c>
      <c r="Y34" s="220">
        <f t="shared" si="90"/>
        <v>1</v>
      </c>
      <c r="Z34" s="220">
        <f t="shared" si="90"/>
        <v>1</v>
      </c>
      <c r="AA34" s="220">
        <f t="shared" si="90"/>
        <v>1</v>
      </c>
      <c r="AB34" s="220">
        <f t="shared" si="90"/>
        <v>1</v>
      </c>
      <c r="AC34" s="220">
        <f t="shared" si="90"/>
        <v>1</v>
      </c>
      <c r="AD34" s="231">
        <f t="shared" si="90"/>
        <v>1</v>
      </c>
      <c r="AE34" s="428">
        <f t="shared" si="87"/>
        <v>1</v>
      </c>
      <c r="AF34" s="220">
        <f t="shared" ref="AF34:AP34" si="91">AE34</f>
        <v>1</v>
      </c>
      <c r="AG34" s="220">
        <f t="shared" si="91"/>
        <v>1</v>
      </c>
      <c r="AH34" s="220">
        <f t="shared" si="91"/>
        <v>1</v>
      </c>
      <c r="AI34" s="220">
        <f t="shared" si="91"/>
        <v>1</v>
      </c>
      <c r="AJ34" s="220">
        <f t="shared" si="91"/>
        <v>1</v>
      </c>
      <c r="AK34" s="220">
        <f t="shared" si="91"/>
        <v>1</v>
      </c>
      <c r="AL34" s="220">
        <f t="shared" si="91"/>
        <v>1</v>
      </c>
      <c r="AM34" s="220">
        <f t="shared" si="91"/>
        <v>1</v>
      </c>
      <c r="AN34" s="220">
        <f t="shared" si="91"/>
        <v>1</v>
      </c>
      <c r="AO34" s="220">
        <f t="shared" si="91"/>
        <v>1</v>
      </c>
      <c r="AP34" s="231">
        <f t="shared" si="91"/>
        <v>1</v>
      </c>
      <c r="AQ34" s="429"/>
      <c r="AR34" s="221"/>
      <c r="AS34" s="221"/>
    </row>
    <row r="35" spans="2:45" ht="15.75" customHeight="1">
      <c r="B35" s="227" t="s">
        <v>2346</v>
      </c>
      <c r="C35" s="332" t="s">
        <v>2089</v>
      </c>
      <c r="D35" s="399">
        <v>2</v>
      </c>
      <c r="E35" s="332" t="s">
        <v>2059</v>
      </c>
      <c r="F35" s="427" t="s">
        <v>2059</v>
      </c>
      <c r="G35" s="220"/>
      <c r="H35" s="220"/>
      <c r="I35" s="220"/>
      <c r="J35" s="220"/>
      <c r="K35" s="220"/>
      <c r="L35" s="220"/>
      <c r="M35" s="220"/>
      <c r="N35" s="220"/>
      <c r="O35" s="220">
        <f t="shared" ref="O35:R35" si="92">P35</f>
        <v>1</v>
      </c>
      <c r="P35" s="220">
        <f t="shared" si="92"/>
        <v>1</v>
      </c>
      <c r="Q35" s="220">
        <f t="shared" si="92"/>
        <v>1</v>
      </c>
      <c r="R35" s="220">
        <f t="shared" si="92"/>
        <v>1</v>
      </c>
      <c r="S35" s="428">
        <v>1</v>
      </c>
      <c r="T35" s="220">
        <f t="shared" ref="T35:AD35" si="93">S35</f>
        <v>1</v>
      </c>
      <c r="U35" s="220">
        <f t="shared" si="93"/>
        <v>1</v>
      </c>
      <c r="V35" s="220">
        <f t="shared" si="93"/>
        <v>1</v>
      </c>
      <c r="W35" s="220">
        <f t="shared" si="93"/>
        <v>1</v>
      </c>
      <c r="X35" s="220">
        <f t="shared" si="93"/>
        <v>1</v>
      </c>
      <c r="Y35" s="220">
        <f t="shared" si="93"/>
        <v>1</v>
      </c>
      <c r="Z35" s="220">
        <f t="shared" si="93"/>
        <v>1</v>
      </c>
      <c r="AA35" s="220">
        <f t="shared" si="93"/>
        <v>1</v>
      </c>
      <c r="AB35" s="220">
        <f t="shared" si="93"/>
        <v>1</v>
      </c>
      <c r="AC35" s="220">
        <f t="shared" si="93"/>
        <v>1</v>
      </c>
      <c r="AD35" s="231">
        <f t="shared" si="93"/>
        <v>1</v>
      </c>
      <c r="AE35" s="428">
        <v>1</v>
      </c>
      <c r="AF35" s="220">
        <f t="shared" ref="AF35:AN35" si="94">AE35</f>
        <v>1</v>
      </c>
      <c r="AG35" s="220">
        <f t="shared" si="94"/>
        <v>1</v>
      </c>
      <c r="AH35" s="220">
        <f t="shared" si="94"/>
        <v>1</v>
      </c>
      <c r="AI35" s="220">
        <f t="shared" si="94"/>
        <v>1</v>
      </c>
      <c r="AJ35" s="220">
        <f t="shared" si="94"/>
        <v>1</v>
      </c>
      <c r="AK35" s="220">
        <f t="shared" si="94"/>
        <v>1</v>
      </c>
      <c r="AL35" s="220">
        <f t="shared" si="94"/>
        <v>1</v>
      </c>
      <c r="AM35" s="220">
        <f t="shared" si="94"/>
        <v>1</v>
      </c>
      <c r="AN35" s="220">
        <f t="shared" si="94"/>
        <v>1</v>
      </c>
      <c r="AO35" s="220">
        <v>2</v>
      </c>
      <c r="AP35" s="231">
        <f>AO35</f>
        <v>2</v>
      </c>
      <c r="AQ35" s="430"/>
      <c r="AR35" s="221"/>
      <c r="AS35" s="221"/>
    </row>
    <row r="36" spans="2:45" ht="15.75" customHeight="1">
      <c r="B36" s="227" t="s">
        <v>2346</v>
      </c>
      <c r="C36" s="332" t="s">
        <v>2090</v>
      </c>
      <c r="D36" s="399">
        <v>2</v>
      </c>
      <c r="E36" s="332" t="s">
        <v>2059</v>
      </c>
      <c r="F36" s="427" t="s">
        <v>2059</v>
      </c>
      <c r="G36" s="220">
        <f t="shared" ref="G36:R36" si="95">H36</f>
        <v>2</v>
      </c>
      <c r="H36" s="220">
        <f t="shared" si="95"/>
        <v>2</v>
      </c>
      <c r="I36" s="220">
        <f t="shared" si="95"/>
        <v>2</v>
      </c>
      <c r="J36" s="220">
        <f t="shared" si="95"/>
        <v>2</v>
      </c>
      <c r="K36" s="220">
        <f t="shared" si="95"/>
        <v>2</v>
      </c>
      <c r="L36" s="220">
        <f t="shared" si="95"/>
        <v>2</v>
      </c>
      <c r="M36" s="220">
        <f t="shared" si="95"/>
        <v>2</v>
      </c>
      <c r="N36" s="220">
        <f t="shared" si="95"/>
        <v>2</v>
      </c>
      <c r="O36" s="220">
        <f t="shared" si="95"/>
        <v>2</v>
      </c>
      <c r="P36" s="220">
        <f t="shared" si="95"/>
        <v>2</v>
      </c>
      <c r="Q36" s="220">
        <f t="shared" si="95"/>
        <v>2</v>
      </c>
      <c r="R36" s="220">
        <f t="shared" si="95"/>
        <v>2</v>
      </c>
      <c r="S36" s="428">
        <f>D36</f>
        <v>2</v>
      </c>
      <c r="T36" s="220">
        <f t="shared" ref="T36:AD36" si="96">S36</f>
        <v>2</v>
      </c>
      <c r="U36" s="220">
        <f t="shared" si="96"/>
        <v>2</v>
      </c>
      <c r="V36" s="220">
        <f t="shared" si="96"/>
        <v>2</v>
      </c>
      <c r="W36" s="220">
        <f t="shared" si="96"/>
        <v>2</v>
      </c>
      <c r="X36" s="220">
        <f t="shared" si="96"/>
        <v>2</v>
      </c>
      <c r="Y36" s="220">
        <f t="shared" si="96"/>
        <v>2</v>
      </c>
      <c r="Z36" s="220">
        <f t="shared" si="96"/>
        <v>2</v>
      </c>
      <c r="AA36" s="220">
        <f t="shared" si="96"/>
        <v>2</v>
      </c>
      <c r="AB36" s="220">
        <f t="shared" si="96"/>
        <v>2</v>
      </c>
      <c r="AC36" s="220">
        <f t="shared" si="96"/>
        <v>2</v>
      </c>
      <c r="AD36" s="231">
        <f t="shared" si="96"/>
        <v>2</v>
      </c>
      <c r="AE36" s="428">
        <f t="shared" ref="AE36:AE38" si="97">D36</f>
        <v>2</v>
      </c>
      <c r="AF36" s="220">
        <f t="shared" ref="AF36:AP36" si="98">AE36</f>
        <v>2</v>
      </c>
      <c r="AG36" s="220">
        <f t="shared" si="98"/>
        <v>2</v>
      </c>
      <c r="AH36" s="220">
        <f t="shared" si="98"/>
        <v>2</v>
      </c>
      <c r="AI36" s="220">
        <f t="shared" si="98"/>
        <v>2</v>
      </c>
      <c r="AJ36" s="220">
        <f t="shared" si="98"/>
        <v>2</v>
      </c>
      <c r="AK36" s="220">
        <f t="shared" si="98"/>
        <v>2</v>
      </c>
      <c r="AL36" s="220">
        <f t="shared" si="98"/>
        <v>2</v>
      </c>
      <c r="AM36" s="220">
        <f t="shared" si="98"/>
        <v>2</v>
      </c>
      <c r="AN36" s="220">
        <f t="shared" si="98"/>
        <v>2</v>
      </c>
      <c r="AO36" s="220">
        <f t="shared" si="98"/>
        <v>2</v>
      </c>
      <c r="AP36" s="231">
        <f t="shared" si="98"/>
        <v>2</v>
      </c>
      <c r="AQ36" s="429"/>
      <c r="AR36" s="221"/>
      <c r="AS36" s="221"/>
    </row>
    <row r="37" spans="2:45" ht="15.75" customHeight="1">
      <c r="B37" s="227" t="s">
        <v>2346</v>
      </c>
      <c r="C37" s="332" t="s">
        <v>2091</v>
      </c>
      <c r="D37" s="399">
        <v>1</v>
      </c>
      <c r="E37" s="332" t="s">
        <v>2059</v>
      </c>
      <c r="F37" s="427" t="s">
        <v>2059</v>
      </c>
      <c r="G37" s="220">
        <f t="shared" ref="G37:R37" si="99">H37</f>
        <v>0</v>
      </c>
      <c r="H37" s="220">
        <f t="shared" si="99"/>
        <v>0</v>
      </c>
      <c r="I37" s="220">
        <f t="shared" si="99"/>
        <v>0</v>
      </c>
      <c r="J37" s="220">
        <f t="shared" si="99"/>
        <v>0</v>
      </c>
      <c r="K37" s="220">
        <f t="shared" si="99"/>
        <v>0</v>
      </c>
      <c r="L37" s="220">
        <f t="shared" si="99"/>
        <v>0</v>
      </c>
      <c r="M37" s="220">
        <f t="shared" si="99"/>
        <v>0</v>
      </c>
      <c r="N37" s="220">
        <f t="shared" si="99"/>
        <v>0</v>
      </c>
      <c r="O37" s="220">
        <f t="shared" si="99"/>
        <v>0</v>
      </c>
      <c r="P37" s="220">
        <f t="shared" si="99"/>
        <v>0</v>
      </c>
      <c r="Q37" s="220">
        <f t="shared" si="99"/>
        <v>0</v>
      </c>
      <c r="R37" s="220">
        <f t="shared" si="99"/>
        <v>0</v>
      </c>
      <c r="S37" s="428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31"/>
      <c r="AE37" s="428">
        <f t="shared" si="97"/>
        <v>1</v>
      </c>
      <c r="AF37" s="220">
        <f t="shared" ref="AF37:AP37" si="100">AE37</f>
        <v>1</v>
      </c>
      <c r="AG37" s="220">
        <f t="shared" si="100"/>
        <v>1</v>
      </c>
      <c r="AH37" s="220">
        <f t="shared" si="100"/>
        <v>1</v>
      </c>
      <c r="AI37" s="220">
        <f t="shared" si="100"/>
        <v>1</v>
      </c>
      <c r="AJ37" s="220">
        <f t="shared" si="100"/>
        <v>1</v>
      </c>
      <c r="AK37" s="220">
        <f t="shared" si="100"/>
        <v>1</v>
      </c>
      <c r="AL37" s="220">
        <f t="shared" si="100"/>
        <v>1</v>
      </c>
      <c r="AM37" s="220">
        <f t="shared" si="100"/>
        <v>1</v>
      </c>
      <c r="AN37" s="220">
        <f t="shared" si="100"/>
        <v>1</v>
      </c>
      <c r="AO37" s="220">
        <f t="shared" si="100"/>
        <v>1</v>
      </c>
      <c r="AP37" s="231">
        <f t="shared" si="100"/>
        <v>1</v>
      </c>
      <c r="AQ37" s="430"/>
      <c r="AR37" s="221"/>
      <c r="AS37" s="221"/>
    </row>
    <row r="38" spans="2:45" ht="15.75" customHeight="1">
      <c r="B38" s="227" t="s">
        <v>2346</v>
      </c>
      <c r="C38" s="332" t="s">
        <v>2092</v>
      </c>
      <c r="D38" s="399">
        <v>1</v>
      </c>
      <c r="E38" s="332" t="s">
        <v>2060</v>
      </c>
      <c r="F38" s="427" t="s">
        <v>2060</v>
      </c>
      <c r="G38" s="220">
        <f t="shared" ref="G38:R38" si="101">H38</f>
        <v>1</v>
      </c>
      <c r="H38" s="220">
        <f t="shared" si="101"/>
        <v>1</v>
      </c>
      <c r="I38" s="220">
        <f t="shared" si="101"/>
        <v>1</v>
      </c>
      <c r="J38" s="220">
        <f t="shared" si="101"/>
        <v>1</v>
      </c>
      <c r="K38" s="220">
        <f t="shared" si="101"/>
        <v>1</v>
      </c>
      <c r="L38" s="220">
        <f t="shared" si="101"/>
        <v>1</v>
      </c>
      <c r="M38" s="220">
        <f t="shared" si="101"/>
        <v>1</v>
      </c>
      <c r="N38" s="220">
        <f t="shared" si="101"/>
        <v>1</v>
      </c>
      <c r="O38" s="220">
        <f t="shared" si="101"/>
        <v>1</v>
      </c>
      <c r="P38" s="220">
        <f t="shared" si="101"/>
        <v>1</v>
      </c>
      <c r="Q38" s="220">
        <f t="shared" si="101"/>
        <v>1</v>
      </c>
      <c r="R38" s="220">
        <f t="shared" si="101"/>
        <v>1</v>
      </c>
      <c r="S38" s="428">
        <f>D38</f>
        <v>1</v>
      </c>
      <c r="T38" s="220">
        <f t="shared" ref="T38:AD38" si="102">S38</f>
        <v>1</v>
      </c>
      <c r="U38" s="220">
        <f t="shared" si="102"/>
        <v>1</v>
      </c>
      <c r="V38" s="220">
        <f t="shared" si="102"/>
        <v>1</v>
      </c>
      <c r="W38" s="220">
        <f t="shared" si="102"/>
        <v>1</v>
      </c>
      <c r="X38" s="220">
        <f t="shared" si="102"/>
        <v>1</v>
      </c>
      <c r="Y38" s="220">
        <f t="shared" si="102"/>
        <v>1</v>
      </c>
      <c r="Z38" s="220">
        <f t="shared" si="102"/>
        <v>1</v>
      </c>
      <c r="AA38" s="220">
        <f t="shared" si="102"/>
        <v>1</v>
      </c>
      <c r="AB38" s="220">
        <f t="shared" si="102"/>
        <v>1</v>
      </c>
      <c r="AC38" s="220">
        <f t="shared" si="102"/>
        <v>1</v>
      </c>
      <c r="AD38" s="231">
        <f t="shared" si="102"/>
        <v>1</v>
      </c>
      <c r="AE38" s="428">
        <f t="shared" si="97"/>
        <v>1</v>
      </c>
      <c r="AF38" s="220">
        <f t="shared" ref="AF38:AP38" si="103">AE38</f>
        <v>1</v>
      </c>
      <c r="AG38" s="220">
        <f t="shared" si="103"/>
        <v>1</v>
      </c>
      <c r="AH38" s="220">
        <f t="shared" si="103"/>
        <v>1</v>
      </c>
      <c r="AI38" s="220">
        <f t="shared" si="103"/>
        <v>1</v>
      </c>
      <c r="AJ38" s="220">
        <f t="shared" si="103"/>
        <v>1</v>
      </c>
      <c r="AK38" s="220">
        <f t="shared" si="103"/>
        <v>1</v>
      </c>
      <c r="AL38" s="220">
        <f t="shared" si="103"/>
        <v>1</v>
      </c>
      <c r="AM38" s="220">
        <f t="shared" si="103"/>
        <v>1</v>
      </c>
      <c r="AN38" s="220">
        <f t="shared" si="103"/>
        <v>1</v>
      </c>
      <c r="AO38" s="220">
        <f t="shared" si="103"/>
        <v>1</v>
      </c>
      <c r="AP38" s="231">
        <f t="shared" si="103"/>
        <v>1</v>
      </c>
      <c r="AQ38" s="429"/>
      <c r="AR38" s="221"/>
      <c r="AS38" s="221"/>
    </row>
    <row r="39" spans="2:45" ht="15.75" customHeight="1">
      <c r="B39" s="431" t="s">
        <v>2346</v>
      </c>
      <c r="C39" s="432" t="s">
        <v>2093</v>
      </c>
      <c r="D39" s="433">
        <v>1</v>
      </c>
      <c r="E39" s="434" t="s">
        <v>204</v>
      </c>
      <c r="F39" s="435" t="s">
        <v>2349</v>
      </c>
      <c r="G39" s="436">
        <f t="shared" ref="G39:R39" si="104">H39</f>
        <v>0</v>
      </c>
      <c r="H39" s="436">
        <f t="shared" si="104"/>
        <v>0</v>
      </c>
      <c r="I39" s="436">
        <f t="shared" si="104"/>
        <v>0</v>
      </c>
      <c r="J39" s="436">
        <f t="shared" si="104"/>
        <v>0</v>
      </c>
      <c r="K39" s="436">
        <f t="shared" si="104"/>
        <v>0</v>
      </c>
      <c r="L39" s="436">
        <f t="shared" si="104"/>
        <v>0</v>
      </c>
      <c r="M39" s="436">
        <f t="shared" si="104"/>
        <v>0</v>
      </c>
      <c r="N39" s="436">
        <f t="shared" si="104"/>
        <v>0</v>
      </c>
      <c r="O39" s="436">
        <f t="shared" si="104"/>
        <v>0</v>
      </c>
      <c r="P39" s="436">
        <f t="shared" si="104"/>
        <v>0</v>
      </c>
      <c r="Q39" s="436">
        <f t="shared" si="104"/>
        <v>0</v>
      </c>
      <c r="R39" s="436">
        <f t="shared" si="104"/>
        <v>0</v>
      </c>
      <c r="S39" s="437"/>
      <c r="T39" s="436"/>
      <c r="U39" s="436"/>
      <c r="V39" s="436"/>
      <c r="W39" s="436"/>
      <c r="X39" s="436"/>
      <c r="Y39" s="436"/>
      <c r="Z39" s="436"/>
      <c r="AA39" s="436"/>
      <c r="AB39" s="436"/>
      <c r="AC39" s="436"/>
      <c r="AD39" s="438"/>
      <c r="AE39" s="437"/>
      <c r="AF39" s="436"/>
      <c r="AG39" s="436"/>
      <c r="AH39" s="436">
        <f>D39</f>
        <v>1</v>
      </c>
      <c r="AI39" s="436">
        <f t="shared" ref="AI39:AP39" si="105">AH39</f>
        <v>1</v>
      </c>
      <c r="AJ39" s="436">
        <f t="shared" si="105"/>
        <v>1</v>
      </c>
      <c r="AK39" s="436">
        <f t="shared" si="105"/>
        <v>1</v>
      </c>
      <c r="AL39" s="436">
        <f t="shared" si="105"/>
        <v>1</v>
      </c>
      <c r="AM39" s="436">
        <f t="shared" si="105"/>
        <v>1</v>
      </c>
      <c r="AN39" s="436">
        <f t="shared" si="105"/>
        <v>1</v>
      </c>
      <c r="AO39" s="436">
        <f t="shared" si="105"/>
        <v>1</v>
      </c>
      <c r="AP39" s="438">
        <f t="shared" si="105"/>
        <v>1</v>
      </c>
      <c r="AQ39" s="430"/>
      <c r="AR39" s="221"/>
      <c r="AS39" s="221"/>
    </row>
    <row r="40" spans="2:45" ht="15.75" customHeight="1">
      <c r="B40" s="227" t="s">
        <v>2096</v>
      </c>
      <c r="C40" s="332" t="s">
        <v>2061</v>
      </c>
      <c r="D40" s="399">
        <v>1</v>
      </c>
      <c r="E40" s="332" t="s">
        <v>204</v>
      </c>
      <c r="F40" s="427" t="s">
        <v>2347</v>
      </c>
      <c r="G40" s="428">
        <v>4</v>
      </c>
      <c r="H40" s="220">
        <v>5</v>
      </c>
      <c r="I40" s="220">
        <v>6</v>
      </c>
      <c r="J40" s="220">
        <v>6</v>
      </c>
      <c r="K40" s="220">
        <v>6</v>
      </c>
      <c r="L40" s="220">
        <v>4</v>
      </c>
      <c r="M40" s="220">
        <v>4</v>
      </c>
      <c r="N40" s="220">
        <v>7</v>
      </c>
      <c r="O40" s="220">
        <v>7</v>
      </c>
      <c r="P40" s="220">
        <v>11</v>
      </c>
      <c r="Q40" s="220">
        <v>5</v>
      </c>
      <c r="R40" s="220">
        <v>4</v>
      </c>
      <c r="S40" s="428">
        <v>3</v>
      </c>
      <c r="T40" s="220">
        <v>2</v>
      </c>
      <c r="U40" s="220">
        <v>3</v>
      </c>
      <c r="V40" s="220">
        <v>7</v>
      </c>
      <c r="W40" s="220">
        <v>9</v>
      </c>
      <c r="X40" s="220">
        <v>5</v>
      </c>
      <c r="Y40" s="220">
        <v>5</v>
      </c>
      <c r="Z40" s="220">
        <v>4</v>
      </c>
      <c r="AA40" s="220">
        <v>3</v>
      </c>
      <c r="AB40" s="220">
        <v>5</v>
      </c>
      <c r="AC40" s="220">
        <v>10</v>
      </c>
      <c r="AD40" s="231">
        <v>5</v>
      </c>
      <c r="AE40" s="428">
        <v>4</v>
      </c>
      <c r="AF40" s="220">
        <v>1</v>
      </c>
      <c r="AG40" s="220">
        <v>6</v>
      </c>
      <c r="AH40" s="220">
        <v>3</v>
      </c>
      <c r="AI40" s="220">
        <v>6</v>
      </c>
      <c r="AJ40" s="220">
        <v>1</v>
      </c>
      <c r="AK40" s="220">
        <v>2</v>
      </c>
      <c r="AL40" s="220">
        <v>5</v>
      </c>
      <c r="AM40" s="220">
        <v>1</v>
      </c>
      <c r="AN40" s="220">
        <v>14</v>
      </c>
      <c r="AO40" s="220">
        <v>9</v>
      </c>
      <c r="AP40" s="231">
        <v>4</v>
      </c>
      <c r="AQ40" s="429"/>
      <c r="AR40" s="221">
        <f t="shared" ref="AR40:AR294" si="106">SUM(S40:AD40)</f>
        <v>61</v>
      </c>
      <c r="AS40" s="221">
        <f t="shared" ref="AS40:AS294" si="107">SUM(AE40:AP40)</f>
        <v>56</v>
      </c>
    </row>
    <row r="41" spans="2:45" ht="15.75" customHeight="1">
      <c r="B41" s="227" t="s">
        <v>2096</v>
      </c>
      <c r="C41" s="332" t="s">
        <v>2062</v>
      </c>
      <c r="D41" s="399">
        <v>2</v>
      </c>
      <c r="E41" s="332" t="s">
        <v>204</v>
      </c>
      <c r="F41" s="427" t="s">
        <v>2347</v>
      </c>
      <c r="G41" s="220">
        <v>3</v>
      </c>
      <c r="H41" s="220">
        <v>4</v>
      </c>
      <c r="I41" s="220">
        <v>10</v>
      </c>
      <c r="J41" s="220">
        <v>7</v>
      </c>
      <c r="K41" s="220">
        <v>13</v>
      </c>
      <c r="L41" s="220">
        <v>9</v>
      </c>
      <c r="M41" s="220">
        <v>7</v>
      </c>
      <c r="N41" s="220">
        <v>10</v>
      </c>
      <c r="O41" s="220">
        <v>10</v>
      </c>
      <c r="P41" s="220">
        <v>12</v>
      </c>
      <c r="Q41" s="220">
        <v>14</v>
      </c>
      <c r="R41" s="220">
        <v>12</v>
      </c>
      <c r="S41" s="428">
        <v>2</v>
      </c>
      <c r="T41" s="220">
        <v>5</v>
      </c>
      <c r="U41" s="220">
        <v>8</v>
      </c>
      <c r="V41" s="220">
        <v>9</v>
      </c>
      <c r="W41" s="220">
        <v>11</v>
      </c>
      <c r="X41" s="220">
        <v>6</v>
      </c>
      <c r="Y41" s="220">
        <v>6</v>
      </c>
      <c r="Z41" s="220">
        <v>5</v>
      </c>
      <c r="AA41" s="220">
        <v>12</v>
      </c>
      <c r="AB41" s="220">
        <v>10</v>
      </c>
      <c r="AC41" s="220">
        <v>7</v>
      </c>
      <c r="AD41" s="231">
        <v>8</v>
      </c>
      <c r="AE41" s="428">
        <v>7</v>
      </c>
      <c r="AF41" s="220">
        <v>3</v>
      </c>
      <c r="AG41" s="220">
        <v>6</v>
      </c>
      <c r="AH41" s="220">
        <v>6</v>
      </c>
      <c r="AI41" s="220">
        <v>8</v>
      </c>
      <c r="AJ41" s="220">
        <v>6</v>
      </c>
      <c r="AK41" s="220">
        <v>8</v>
      </c>
      <c r="AL41" s="220">
        <v>11</v>
      </c>
      <c r="AM41" s="220">
        <v>8</v>
      </c>
      <c r="AN41" s="220">
        <v>14</v>
      </c>
      <c r="AO41" s="220">
        <v>10</v>
      </c>
      <c r="AP41" s="231">
        <v>4</v>
      </c>
      <c r="AQ41" s="429"/>
      <c r="AR41" s="221">
        <f t="shared" si="106"/>
        <v>89</v>
      </c>
      <c r="AS41" s="221">
        <f t="shared" si="107"/>
        <v>91</v>
      </c>
    </row>
    <row r="42" spans="2:45" ht="15.75" customHeight="1">
      <c r="B42" s="227" t="s">
        <v>2096</v>
      </c>
      <c r="C42" s="332" t="s">
        <v>2063</v>
      </c>
      <c r="D42" s="399">
        <v>2</v>
      </c>
      <c r="E42" s="332" t="s">
        <v>204</v>
      </c>
      <c r="F42" s="427" t="s">
        <v>2347</v>
      </c>
      <c r="G42" s="220">
        <v>8</v>
      </c>
      <c r="H42" s="220">
        <v>5</v>
      </c>
      <c r="I42" s="220">
        <v>14</v>
      </c>
      <c r="J42" s="220">
        <v>9</v>
      </c>
      <c r="K42" s="220">
        <v>9</v>
      </c>
      <c r="L42" s="220">
        <v>12</v>
      </c>
      <c r="M42" s="220">
        <v>10</v>
      </c>
      <c r="N42" s="220">
        <v>7</v>
      </c>
      <c r="O42" s="220">
        <v>12</v>
      </c>
      <c r="P42" s="220">
        <v>11</v>
      </c>
      <c r="Q42" s="220">
        <v>7</v>
      </c>
      <c r="R42" s="220">
        <v>12</v>
      </c>
      <c r="S42" s="428">
        <v>2</v>
      </c>
      <c r="T42" s="220">
        <v>7</v>
      </c>
      <c r="U42" s="220">
        <v>5</v>
      </c>
      <c r="V42" s="220">
        <v>10</v>
      </c>
      <c r="W42" s="220">
        <v>8</v>
      </c>
      <c r="X42" s="220">
        <v>14</v>
      </c>
      <c r="Y42" s="220">
        <v>8</v>
      </c>
      <c r="Z42" s="220">
        <v>2</v>
      </c>
      <c r="AA42" s="220">
        <v>5</v>
      </c>
      <c r="AB42" s="220">
        <v>14</v>
      </c>
      <c r="AC42" s="220">
        <v>10</v>
      </c>
      <c r="AD42" s="231">
        <v>10</v>
      </c>
      <c r="AE42" s="428">
        <v>4</v>
      </c>
      <c r="AF42" s="220">
        <v>3</v>
      </c>
      <c r="AG42" s="220">
        <v>3</v>
      </c>
      <c r="AH42" s="220">
        <v>6</v>
      </c>
      <c r="AI42" s="220">
        <v>14</v>
      </c>
      <c r="AJ42" s="220">
        <v>10</v>
      </c>
      <c r="AK42" s="220">
        <v>1</v>
      </c>
      <c r="AL42" s="220">
        <v>5</v>
      </c>
      <c r="AM42" s="220">
        <v>5</v>
      </c>
      <c r="AN42" s="220">
        <v>12</v>
      </c>
      <c r="AO42" s="220">
        <v>9</v>
      </c>
      <c r="AP42" s="231">
        <v>7</v>
      </c>
      <c r="AQ42" s="429"/>
      <c r="AR42" s="221">
        <f t="shared" si="106"/>
        <v>95</v>
      </c>
      <c r="AS42" s="221">
        <f t="shared" si="107"/>
        <v>79</v>
      </c>
    </row>
    <row r="43" spans="2:45" ht="15.75" customHeight="1">
      <c r="B43" s="227" t="s">
        <v>2096</v>
      </c>
      <c r="C43" s="332" t="s">
        <v>2064</v>
      </c>
      <c r="D43" s="399">
        <v>1</v>
      </c>
      <c r="E43" s="332" t="s">
        <v>204</v>
      </c>
      <c r="F43" s="427" t="s">
        <v>2347</v>
      </c>
      <c r="G43" s="220">
        <v>1</v>
      </c>
      <c r="H43" s="220">
        <v>1</v>
      </c>
      <c r="I43" s="220">
        <v>6</v>
      </c>
      <c r="J43" s="220">
        <v>8</v>
      </c>
      <c r="K43" s="220">
        <v>8</v>
      </c>
      <c r="L43" s="220">
        <v>7</v>
      </c>
      <c r="M43" s="220">
        <v>6</v>
      </c>
      <c r="N43" s="220">
        <v>6</v>
      </c>
      <c r="O43" s="220">
        <v>11</v>
      </c>
      <c r="P43" s="220">
        <v>14</v>
      </c>
      <c r="Q43" s="220">
        <v>11</v>
      </c>
      <c r="R43" s="220">
        <v>12</v>
      </c>
      <c r="S43" s="428">
        <v>6</v>
      </c>
      <c r="T43" s="220">
        <v>9</v>
      </c>
      <c r="U43" s="220">
        <v>13</v>
      </c>
      <c r="V43" s="220">
        <v>6</v>
      </c>
      <c r="W43" s="220">
        <v>12</v>
      </c>
      <c r="X43" s="220">
        <v>14</v>
      </c>
      <c r="Y43" s="220">
        <v>7</v>
      </c>
      <c r="Z43" s="220">
        <v>11</v>
      </c>
      <c r="AA43" s="220">
        <v>7</v>
      </c>
      <c r="AB43" s="220">
        <v>12</v>
      </c>
      <c r="AC43" s="220">
        <v>13</v>
      </c>
      <c r="AD43" s="231">
        <v>9</v>
      </c>
      <c r="AE43" s="428">
        <v>9</v>
      </c>
      <c r="AF43" s="220">
        <v>8</v>
      </c>
      <c r="AG43" s="220">
        <v>14</v>
      </c>
      <c r="AH43" s="220">
        <v>8</v>
      </c>
      <c r="AI43" s="220">
        <v>14</v>
      </c>
      <c r="AJ43" s="220">
        <v>16</v>
      </c>
      <c r="AK43" s="220">
        <v>8</v>
      </c>
      <c r="AL43" s="220">
        <v>11</v>
      </c>
      <c r="AM43" s="220">
        <v>8</v>
      </c>
      <c r="AN43" s="220">
        <v>18</v>
      </c>
      <c r="AO43" s="220">
        <v>19</v>
      </c>
      <c r="AP43" s="231">
        <v>9</v>
      </c>
      <c r="AQ43" s="429"/>
      <c r="AR43" s="221">
        <f t="shared" si="106"/>
        <v>119</v>
      </c>
      <c r="AS43" s="221">
        <f t="shared" si="107"/>
        <v>142</v>
      </c>
    </row>
    <row r="44" spans="2:45" ht="15.75" customHeight="1">
      <c r="B44" s="227" t="s">
        <v>2096</v>
      </c>
      <c r="C44" s="332" t="s">
        <v>2065</v>
      </c>
      <c r="D44" s="399">
        <v>1</v>
      </c>
      <c r="E44" s="332" t="s">
        <v>204</v>
      </c>
      <c r="F44" s="427" t="s">
        <v>2347</v>
      </c>
      <c r="G44" s="220">
        <v>4</v>
      </c>
      <c r="H44" s="220">
        <v>1</v>
      </c>
      <c r="I44" s="220">
        <v>4</v>
      </c>
      <c r="J44" s="220">
        <v>6</v>
      </c>
      <c r="K44" s="220">
        <v>2</v>
      </c>
      <c r="L44" s="220">
        <v>5</v>
      </c>
      <c r="M44" s="220">
        <v>4</v>
      </c>
      <c r="N44" s="220">
        <v>6</v>
      </c>
      <c r="O44" s="220">
        <v>9</v>
      </c>
      <c r="P44" s="220">
        <v>7</v>
      </c>
      <c r="Q44" s="220">
        <v>7</v>
      </c>
      <c r="R44" s="220">
        <v>10</v>
      </c>
      <c r="S44" s="428">
        <v>5</v>
      </c>
      <c r="T44" s="220">
        <v>5</v>
      </c>
      <c r="U44" s="220">
        <v>3</v>
      </c>
      <c r="V44" s="220">
        <v>6</v>
      </c>
      <c r="W44" s="220">
        <v>3</v>
      </c>
      <c r="X44" s="220">
        <v>4</v>
      </c>
      <c r="Y44" s="220">
        <v>4</v>
      </c>
      <c r="Z44" s="220">
        <v>2</v>
      </c>
      <c r="AA44" s="220">
        <v>3</v>
      </c>
      <c r="AB44" s="220">
        <v>7</v>
      </c>
      <c r="AC44" s="220">
        <v>6</v>
      </c>
      <c r="AD44" s="231">
        <v>6</v>
      </c>
      <c r="AE44" s="428">
        <v>3</v>
      </c>
      <c r="AF44" s="220">
        <v>4</v>
      </c>
      <c r="AG44" s="220">
        <v>2</v>
      </c>
      <c r="AH44" s="220">
        <v>9</v>
      </c>
      <c r="AI44" s="220">
        <v>4</v>
      </c>
      <c r="AJ44" s="220">
        <v>6</v>
      </c>
      <c r="AK44" s="220">
        <v>1</v>
      </c>
      <c r="AL44" s="220">
        <v>6</v>
      </c>
      <c r="AM44" s="220">
        <v>3</v>
      </c>
      <c r="AN44" s="220">
        <v>7</v>
      </c>
      <c r="AO44" s="220">
        <v>6</v>
      </c>
      <c r="AP44" s="231">
        <v>3</v>
      </c>
      <c r="AQ44" s="429"/>
      <c r="AR44" s="221">
        <f t="shared" si="106"/>
        <v>54</v>
      </c>
      <c r="AS44" s="221">
        <f t="shared" si="107"/>
        <v>54</v>
      </c>
    </row>
    <row r="45" spans="2:45" ht="15.75" customHeight="1">
      <c r="B45" s="227" t="s">
        <v>2096</v>
      </c>
      <c r="C45" s="332" t="s">
        <v>2066</v>
      </c>
      <c r="D45" s="399">
        <v>1</v>
      </c>
      <c r="E45" s="332" t="s">
        <v>204</v>
      </c>
      <c r="F45" s="427" t="s">
        <v>2348</v>
      </c>
      <c r="G45" s="220">
        <v>4</v>
      </c>
      <c r="H45" s="220">
        <v>4</v>
      </c>
      <c r="I45" s="220">
        <v>12</v>
      </c>
      <c r="J45" s="220">
        <v>10</v>
      </c>
      <c r="K45" s="220">
        <v>14</v>
      </c>
      <c r="L45" s="220">
        <v>15</v>
      </c>
      <c r="M45" s="220">
        <v>9</v>
      </c>
      <c r="N45" s="220">
        <v>9</v>
      </c>
      <c r="O45" s="220">
        <v>11</v>
      </c>
      <c r="P45" s="220">
        <v>17</v>
      </c>
      <c r="Q45" s="220">
        <v>10</v>
      </c>
      <c r="R45" s="220">
        <v>15</v>
      </c>
      <c r="S45" s="428">
        <v>8</v>
      </c>
      <c r="T45" s="220">
        <v>7</v>
      </c>
      <c r="U45" s="220">
        <v>11</v>
      </c>
      <c r="V45" s="220">
        <v>9</v>
      </c>
      <c r="W45" s="220">
        <v>11</v>
      </c>
      <c r="X45" s="220">
        <v>19</v>
      </c>
      <c r="Y45" s="220">
        <v>15</v>
      </c>
      <c r="Z45" s="220">
        <v>13</v>
      </c>
      <c r="AA45" s="220">
        <v>11</v>
      </c>
      <c r="AB45" s="220">
        <v>14</v>
      </c>
      <c r="AC45" s="220">
        <v>12</v>
      </c>
      <c r="AD45" s="231">
        <v>5</v>
      </c>
      <c r="AE45" s="428">
        <v>6</v>
      </c>
      <c r="AF45" s="220">
        <v>9</v>
      </c>
      <c r="AG45" s="220">
        <v>9</v>
      </c>
      <c r="AH45" s="220">
        <v>10</v>
      </c>
      <c r="AI45" s="220">
        <v>15</v>
      </c>
      <c r="AJ45" s="220">
        <v>16</v>
      </c>
      <c r="AK45" s="220">
        <v>11</v>
      </c>
      <c r="AL45" s="220">
        <v>15</v>
      </c>
      <c r="AM45" s="220">
        <v>16</v>
      </c>
      <c r="AN45" s="220">
        <v>15</v>
      </c>
      <c r="AO45" s="220">
        <v>13</v>
      </c>
      <c r="AP45" s="231">
        <v>12</v>
      </c>
      <c r="AQ45" s="429"/>
      <c r="AR45" s="221">
        <f t="shared" si="106"/>
        <v>135</v>
      </c>
      <c r="AS45" s="221">
        <f t="shared" si="107"/>
        <v>147</v>
      </c>
    </row>
    <row r="46" spans="2:45" ht="15.75" customHeight="1">
      <c r="B46" s="227" t="s">
        <v>2096</v>
      </c>
      <c r="C46" s="332" t="s">
        <v>2067</v>
      </c>
      <c r="D46" s="399">
        <v>1</v>
      </c>
      <c r="E46" s="332" t="s">
        <v>204</v>
      </c>
      <c r="F46" s="427" t="s">
        <v>2348</v>
      </c>
      <c r="G46" s="220">
        <v>2</v>
      </c>
      <c r="H46" s="220">
        <v>3</v>
      </c>
      <c r="I46" s="220">
        <v>5</v>
      </c>
      <c r="J46" s="220">
        <v>8</v>
      </c>
      <c r="K46" s="220">
        <v>5</v>
      </c>
      <c r="L46" s="220">
        <v>5</v>
      </c>
      <c r="M46" s="220">
        <v>3</v>
      </c>
      <c r="N46" s="220">
        <v>3</v>
      </c>
      <c r="O46" s="220">
        <v>3</v>
      </c>
      <c r="P46" s="220">
        <v>8</v>
      </c>
      <c r="Q46" s="220">
        <v>7</v>
      </c>
      <c r="R46" s="220">
        <v>7</v>
      </c>
      <c r="S46" s="428">
        <v>2</v>
      </c>
      <c r="T46" s="220">
        <v>2</v>
      </c>
      <c r="U46" s="220">
        <v>1</v>
      </c>
      <c r="V46" s="220">
        <v>7</v>
      </c>
      <c r="W46" s="220">
        <v>2</v>
      </c>
      <c r="X46" s="220">
        <v>2</v>
      </c>
      <c r="Y46" s="220">
        <v>3</v>
      </c>
      <c r="Z46" s="220">
        <v>9</v>
      </c>
      <c r="AA46" s="220">
        <v>5</v>
      </c>
      <c r="AB46" s="220">
        <v>12</v>
      </c>
      <c r="AC46" s="220">
        <v>9</v>
      </c>
      <c r="AD46" s="231">
        <v>5</v>
      </c>
      <c r="AE46" s="428">
        <v>3</v>
      </c>
      <c r="AF46" s="220">
        <v>5</v>
      </c>
      <c r="AG46" s="220">
        <v>7</v>
      </c>
      <c r="AH46" s="220">
        <v>6</v>
      </c>
      <c r="AI46" s="220">
        <v>3</v>
      </c>
      <c r="AJ46" s="220">
        <v>5</v>
      </c>
      <c r="AK46" s="220">
        <v>3</v>
      </c>
      <c r="AL46" s="220">
        <v>3</v>
      </c>
      <c r="AM46" s="220">
        <v>2</v>
      </c>
      <c r="AN46" s="220">
        <v>10</v>
      </c>
      <c r="AO46" s="220">
        <v>9</v>
      </c>
      <c r="AP46" s="231">
        <v>6</v>
      </c>
      <c r="AQ46" s="429"/>
      <c r="AR46" s="221">
        <f t="shared" si="106"/>
        <v>59</v>
      </c>
      <c r="AS46" s="221">
        <f t="shared" si="107"/>
        <v>62</v>
      </c>
    </row>
    <row r="47" spans="2:45" ht="15.75" customHeight="1">
      <c r="B47" s="227" t="s">
        <v>2096</v>
      </c>
      <c r="C47" s="332" t="s">
        <v>2068</v>
      </c>
      <c r="D47" s="399">
        <v>2</v>
      </c>
      <c r="E47" s="332" t="s">
        <v>204</v>
      </c>
      <c r="F47" s="427" t="s">
        <v>2348</v>
      </c>
      <c r="G47" s="220">
        <v>4</v>
      </c>
      <c r="H47" s="220">
        <v>3</v>
      </c>
      <c r="I47" s="220">
        <v>10</v>
      </c>
      <c r="J47" s="220">
        <v>13</v>
      </c>
      <c r="K47" s="220">
        <v>11</v>
      </c>
      <c r="L47" s="220">
        <v>12</v>
      </c>
      <c r="M47" s="220">
        <v>9</v>
      </c>
      <c r="N47" s="220">
        <v>6</v>
      </c>
      <c r="O47" s="220">
        <v>10</v>
      </c>
      <c r="P47" s="220">
        <v>15</v>
      </c>
      <c r="Q47" s="220">
        <v>15</v>
      </c>
      <c r="R47" s="220">
        <v>13</v>
      </c>
      <c r="S47" s="428">
        <v>3</v>
      </c>
      <c r="T47" s="220">
        <v>2</v>
      </c>
      <c r="U47" s="220">
        <v>13</v>
      </c>
      <c r="V47" s="220">
        <v>12</v>
      </c>
      <c r="W47" s="220">
        <v>7</v>
      </c>
      <c r="X47" s="220">
        <v>8</v>
      </c>
      <c r="Y47" s="220">
        <v>3</v>
      </c>
      <c r="Z47" s="220">
        <v>10</v>
      </c>
      <c r="AA47" s="220">
        <v>6</v>
      </c>
      <c r="AB47" s="220">
        <v>18</v>
      </c>
      <c r="AC47" s="220">
        <v>22</v>
      </c>
      <c r="AD47" s="231">
        <v>9</v>
      </c>
      <c r="AE47" s="428">
        <v>4</v>
      </c>
      <c r="AF47" s="220">
        <v>5</v>
      </c>
      <c r="AG47" s="220">
        <v>8</v>
      </c>
      <c r="AH47" s="220">
        <v>7</v>
      </c>
      <c r="AI47" s="220">
        <v>11</v>
      </c>
      <c r="AJ47" s="220">
        <v>9</v>
      </c>
      <c r="AK47" s="220">
        <v>5</v>
      </c>
      <c r="AL47" s="220">
        <v>9</v>
      </c>
      <c r="AM47" s="220">
        <v>10</v>
      </c>
      <c r="AN47" s="220">
        <v>19</v>
      </c>
      <c r="AO47" s="220">
        <v>16</v>
      </c>
      <c r="AP47" s="231">
        <v>9</v>
      </c>
      <c r="AQ47" s="429"/>
      <c r="AR47" s="221">
        <f t="shared" si="106"/>
        <v>113</v>
      </c>
      <c r="AS47" s="221">
        <f t="shared" si="107"/>
        <v>112</v>
      </c>
    </row>
    <row r="48" spans="2:45" ht="15.75" customHeight="1">
      <c r="B48" s="227" t="s">
        <v>2096</v>
      </c>
      <c r="C48" s="332" t="s">
        <v>2069</v>
      </c>
      <c r="D48" s="399">
        <v>1</v>
      </c>
      <c r="E48" s="332" t="s">
        <v>204</v>
      </c>
      <c r="F48" s="427" t="s">
        <v>2348</v>
      </c>
      <c r="G48" s="220">
        <v>2</v>
      </c>
      <c r="H48" s="220">
        <v>5</v>
      </c>
      <c r="I48" s="220">
        <v>7</v>
      </c>
      <c r="J48" s="220">
        <v>9</v>
      </c>
      <c r="K48" s="220">
        <v>7</v>
      </c>
      <c r="L48" s="220">
        <v>9</v>
      </c>
      <c r="M48" s="220">
        <v>5</v>
      </c>
      <c r="N48" s="220">
        <v>5</v>
      </c>
      <c r="O48" s="220">
        <v>6</v>
      </c>
      <c r="P48" s="220">
        <v>15</v>
      </c>
      <c r="Q48" s="220">
        <v>7</v>
      </c>
      <c r="R48" s="220">
        <v>7</v>
      </c>
      <c r="S48" s="428">
        <v>2</v>
      </c>
      <c r="T48" s="220">
        <v>2</v>
      </c>
      <c r="U48" s="220">
        <v>7</v>
      </c>
      <c r="V48" s="220">
        <v>11</v>
      </c>
      <c r="W48" s="220">
        <v>7</v>
      </c>
      <c r="X48" s="220">
        <v>5</v>
      </c>
      <c r="Y48" s="220">
        <v>4</v>
      </c>
      <c r="Z48" s="220">
        <v>10</v>
      </c>
      <c r="AA48" s="220">
        <v>9</v>
      </c>
      <c r="AB48" s="220">
        <v>9</v>
      </c>
      <c r="AC48" s="220">
        <v>14</v>
      </c>
      <c r="AD48" s="231">
        <v>11</v>
      </c>
      <c r="AE48" s="428">
        <v>4</v>
      </c>
      <c r="AF48" s="220">
        <v>7</v>
      </c>
      <c r="AG48" s="220">
        <v>6</v>
      </c>
      <c r="AH48" s="220">
        <v>8</v>
      </c>
      <c r="AI48" s="220">
        <v>13</v>
      </c>
      <c r="AJ48" s="220">
        <v>8</v>
      </c>
      <c r="AK48" s="220">
        <v>6</v>
      </c>
      <c r="AL48" s="220">
        <v>6</v>
      </c>
      <c r="AM48" s="220">
        <v>7</v>
      </c>
      <c r="AN48" s="220">
        <v>14</v>
      </c>
      <c r="AO48" s="220">
        <v>15</v>
      </c>
      <c r="AP48" s="231">
        <v>6</v>
      </c>
      <c r="AQ48" s="429"/>
      <c r="AR48" s="221">
        <f t="shared" si="106"/>
        <v>91</v>
      </c>
      <c r="AS48" s="221">
        <f t="shared" si="107"/>
        <v>100</v>
      </c>
    </row>
    <row r="49" spans="2:45" ht="15.75" customHeight="1">
      <c r="B49" s="227" t="s">
        <v>2096</v>
      </c>
      <c r="C49" s="332" t="s">
        <v>2070</v>
      </c>
      <c r="D49" s="399">
        <v>1</v>
      </c>
      <c r="E49" s="332" t="s">
        <v>204</v>
      </c>
      <c r="F49" s="427" t="s">
        <v>2348</v>
      </c>
      <c r="G49" s="220">
        <v>3</v>
      </c>
      <c r="H49" s="220">
        <v>3</v>
      </c>
      <c r="I49" s="220">
        <v>13</v>
      </c>
      <c r="J49" s="220">
        <v>17</v>
      </c>
      <c r="K49" s="220">
        <v>11</v>
      </c>
      <c r="L49" s="220">
        <v>9</v>
      </c>
      <c r="M49" s="220">
        <v>10</v>
      </c>
      <c r="N49" s="220">
        <v>7</v>
      </c>
      <c r="O49" s="220">
        <v>18</v>
      </c>
      <c r="P49" s="220">
        <v>17</v>
      </c>
      <c r="Q49" s="220">
        <v>13</v>
      </c>
      <c r="R49" s="220">
        <v>13</v>
      </c>
      <c r="S49" s="428">
        <v>5</v>
      </c>
      <c r="T49" s="220">
        <v>7</v>
      </c>
      <c r="U49" s="220">
        <v>14</v>
      </c>
      <c r="V49" s="220">
        <v>18</v>
      </c>
      <c r="W49" s="220">
        <v>18</v>
      </c>
      <c r="X49" s="220">
        <v>15</v>
      </c>
      <c r="Y49" s="220">
        <v>10</v>
      </c>
      <c r="Z49" s="220">
        <v>12</v>
      </c>
      <c r="AA49" s="220">
        <v>13</v>
      </c>
      <c r="AB49" s="220">
        <v>16</v>
      </c>
      <c r="AC49" s="220">
        <v>19</v>
      </c>
      <c r="AD49" s="231">
        <v>11</v>
      </c>
      <c r="AE49" s="428">
        <v>5</v>
      </c>
      <c r="AF49" s="220">
        <v>8</v>
      </c>
      <c r="AG49" s="220">
        <v>13</v>
      </c>
      <c r="AH49" s="220">
        <v>14</v>
      </c>
      <c r="AI49" s="220">
        <v>14</v>
      </c>
      <c r="AJ49" s="220">
        <v>9</v>
      </c>
      <c r="AK49" s="220">
        <v>9</v>
      </c>
      <c r="AL49" s="220">
        <v>11</v>
      </c>
      <c r="AM49" s="220">
        <v>13</v>
      </c>
      <c r="AN49" s="220">
        <v>16</v>
      </c>
      <c r="AO49" s="220">
        <v>19</v>
      </c>
      <c r="AP49" s="231">
        <v>9</v>
      </c>
      <c r="AQ49" s="429"/>
      <c r="AR49" s="221">
        <f t="shared" si="106"/>
        <v>158</v>
      </c>
      <c r="AS49" s="221">
        <f t="shared" si="107"/>
        <v>140</v>
      </c>
    </row>
    <row r="50" spans="2:45" ht="15.75" customHeight="1">
      <c r="B50" s="227" t="s">
        <v>2096</v>
      </c>
      <c r="C50" s="332" t="s">
        <v>2071</v>
      </c>
      <c r="D50" s="399">
        <v>2</v>
      </c>
      <c r="E50" s="332" t="s">
        <v>204</v>
      </c>
      <c r="F50" s="427" t="s">
        <v>2348</v>
      </c>
      <c r="G50" s="220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0</v>
      </c>
      <c r="O50" s="220">
        <v>0</v>
      </c>
      <c r="P50" s="220">
        <v>0</v>
      </c>
      <c r="Q50" s="220">
        <v>0</v>
      </c>
      <c r="R50" s="220">
        <v>0</v>
      </c>
      <c r="S50" s="428">
        <v>0</v>
      </c>
      <c r="T50" s="220">
        <v>0</v>
      </c>
      <c r="U50" s="220">
        <v>0</v>
      </c>
      <c r="V50" s="220">
        <v>0</v>
      </c>
      <c r="W50" s="220">
        <v>0</v>
      </c>
      <c r="X50" s="220">
        <v>0</v>
      </c>
      <c r="Y50" s="220">
        <v>0</v>
      </c>
      <c r="Z50" s="220">
        <v>0</v>
      </c>
      <c r="AA50" s="220">
        <v>0</v>
      </c>
      <c r="AB50" s="220">
        <v>0</v>
      </c>
      <c r="AC50" s="220">
        <v>0</v>
      </c>
      <c r="AD50" s="231">
        <v>0</v>
      </c>
      <c r="AE50" s="428">
        <v>0</v>
      </c>
      <c r="AF50" s="220">
        <v>0</v>
      </c>
      <c r="AG50" s="220">
        <v>4</v>
      </c>
      <c r="AH50" s="220">
        <v>5</v>
      </c>
      <c r="AI50" s="220">
        <v>6</v>
      </c>
      <c r="AJ50" s="220">
        <v>2</v>
      </c>
      <c r="AK50" s="220">
        <v>5</v>
      </c>
      <c r="AL50" s="220">
        <v>2</v>
      </c>
      <c r="AM50" s="220">
        <v>4</v>
      </c>
      <c r="AN50" s="220">
        <v>9</v>
      </c>
      <c r="AO50" s="220">
        <v>5</v>
      </c>
      <c r="AP50" s="231">
        <v>1</v>
      </c>
      <c r="AQ50" s="429"/>
      <c r="AR50" s="221">
        <f t="shared" si="106"/>
        <v>0</v>
      </c>
      <c r="AS50" s="221">
        <f t="shared" si="107"/>
        <v>43</v>
      </c>
    </row>
    <row r="51" spans="2:45" ht="15.75" customHeight="1">
      <c r="B51" s="227" t="s">
        <v>2096</v>
      </c>
      <c r="C51" s="332" t="s">
        <v>2072</v>
      </c>
      <c r="D51" s="399">
        <v>1</v>
      </c>
      <c r="E51" s="332" t="s">
        <v>204</v>
      </c>
      <c r="F51" s="427" t="s">
        <v>2348</v>
      </c>
      <c r="G51" s="220">
        <v>2</v>
      </c>
      <c r="H51" s="220">
        <v>3</v>
      </c>
      <c r="I51" s="220">
        <v>2</v>
      </c>
      <c r="J51" s="220">
        <v>5</v>
      </c>
      <c r="K51" s="220">
        <v>9</v>
      </c>
      <c r="L51" s="220">
        <v>6</v>
      </c>
      <c r="M51" s="220">
        <v>4</v>
      </c>
      <c r="N51" s="220">
        <v>2</v>
      </c>
      <c r="O51" s="220">
        <v>7</v>
      </c>
      <c r="P51" s="220">
        <v>9</v>
      </c>
      <c r="Q51" s="220">
        <v>5</v>
      </c>
      <c r="R51" s="220">
        <v>4</v>
      </c>
      <c r="S51" s="428">
        <v>1</v>
      </c>
      <c r="T51" s="220">
        <v>1</v>
      </c>
      <c r="U51" s="220">
        <v>2</v>
      </c>
      <c r="V51" s="220">
        <v>6</v>
      </c>
      <c r="W51" s="220">
        <v>10</v>
      </c>
      <c r="X51" s="220">
        <v>9</v>
      </c>
      <c r="Y51" s="220">
        <v>1</v>
      </c>
      <c r="Z51" s="220">
        <v>2</v>
      </c>
      <c r="AA51" s="220">
        <v>6</v>
      </c>
      <c r="AB51" s="220">
        <v>10</v>
      </c>
      <c r="AC51" s="220">
        <v>8</v>
      </c>
      <c r="AD51" s="231">
        <v>8</v>
      </c>
      <c r="AE51" s="428">
        <v>1</v>
      </c>
      <c r="AF51" s="220">
        <v>4</v>
      </c>
      <c r="AG51" s="220">
        <v>4</v>
      </c>
      <c r="AH51" s="220">
        <v>7</v>
      </c>
      <c r="AI51" s="220">
        <v>13</v>
      </c>
      <c r="AJ51" s="220">
        <v>4</v>
      </c>
      <c r="AK51" s="220">
        <v>5</v>
      </c>
      <c r="AL51" s="220">
        <v>2</v>
      </c>
      <c r="AM51" s="220">
        <v>4</v>
      </c>
      <c r="AN51" s="220">
        <v>11</v>
      </c>
      <c r="AO51" s="220">
        <v>13</v>
      </c>
      <c r="AP51" s="231">
        <v>1</v>
      </c>
      <c r="AQ51" s="429"/>
      <c r="AR51" s="221">
        <f t="shared" si="106"/>
        <v>64</v>
      </c>
      <c r="AS51" s="221">
        <f t="shared" si="107"/>
        <v>69</v>
      </c>
    </row>
    <row r="52" spans="2:45" ht="15.75" customHeight="1">
      <c r="B52" s="227" t="s">
        <v>2096</v>
      </c>
      <c r="C52" s="332" t="s">
        <v>2073</v>
      </c>
      <c r="D52" s="399">
        <v>1</v>
      </c>
      <c r="E52" s="332" t="s">
        <v>204</v>
      </c>
      <c r="F52" s="427" t="s">
        <v>2349</v>
      </c>
      <c r="G52" s="220">
        <v>4</v>
      </c>
      <c r="H52" s="220">
        <v>5</v>
      </c>
      <c r="I52" s="220">
        <v>11</v>
      </c>
      <c r="J52" s="220">
        <v>9</v>
      </c>
      <c r="K52" s="220">
        <v>10</v>
      </c>
      <c r="L52" s="220">
        <v>12</v>
      </c>
      <c r="M52" s="220">
        <v>6</v>
      </c>
      <c r="N52" s="220">
        <v>5</v>
      </c>
      <c r="O52" s="220">
        <v>7</v>
      </c>
      <c r="P52" s="220">
        <v>10</v>
      </c>
      <c r="Q52" s="220">
        <v>8</v>
      </c>
      <c r="R52" s="220">
        <v>8</v>
      </c>
      <c r="S52" s="428">
        <v>4</v>
      </c>
      <c r="T52" s="220">
        <v>4</v>
      </c>
      <c r="U52" s="220">
        <v>6</v>
      </c>
      <c r="V52" s="220">
        <v>11</v>
      </c>
      <c r="W52" s="220">
        <v>11</v>
      </c>
      <c r="X52" s="220">
        <v>7</v>
      </c>
      <c r="Y52" s="220">
        <v>4</v>
      </c>
      <c r="Z52" s="220">
        <v>8</v>
      </c>
      <c r="AA52" s="220">
        <v>6</v>
      </c>
      <c r="AB52" s="220">
        <v>8</v>
      </c>
      <c r="AC52" s="220">
        <v>12</v>
      </c>
      <c r="AD52" s="231">
        <v>6</v>
      </c>
      <c r="AE52" s="428">
        <v>8</v>
      </c>
      <c r="AF52" s="220">
        <v>5</v>
      </c>
      <c r="AG52" s="220">
        <v>8</v>
      </c>
      <c r="AH52" s="220">
        <v>6</v>
      </c>
      <c r="AI52" s="220">
        <v>9</v>
      </c>
      <c r="AJ52" s="220">
        <v>9</v>
      </c>
      <c r="AK52" s="220">
        <v>4</v>
      </c>
      <c r="AL52" s="220">
        <v>7</v>
      </c>
      <c r="AM52" s="220">
        <v>6</v>
      </c>
      <c r="AN52" s="220">
        <v>11</v>
      </c>
      <c r="AO52" s="220">
        <v>10</v>
      </c>
      <c r="AP52" s="231">
        <v>8</v>
      </c>
      <c r="AQ52" s="429"/>
      <c r="AR52" s="221">
        <f t="shared" si="106"/>
        <v>87</v>
      </c>
      <c r="AS52" s="221">
        <f t="shared" si="107"/>
        <v>91</v>
      </c>
    </row>
    <row r="53" spans="2:45" ht="15.75" customHeight="1">
      <c r="B53" s="227" t="s">
        <v>2096</v>
      </c>
      <c r="C53" s="332" t="s">
        <v>2074</v>
      </c>
      <c r="D53" s="399">
        <v>1</v>
      </c>
      <c r="E53" s="332" t="s">
        <v>204</v>
      </c>
      <c r="F53" s="427" t="s">
        <v>2349</v>
      </c>
      <c r="G53" s="220">
        <v>1</v>
      </c>
      <c r="H53" s="220">
        <v>5</v>
      </c>
      <c r="I53" s="220">
        <v>6</v>
      </c>
      <c r="J53" s="220">
        <v>9</v>
      </c>
      <c r="K53" s="220">
        <v>13</v>
      </c>
      <c r="L53" s="220">
        <v>7</v>
      </c>
      <c r="M53" s="220">
        <v>6</v>
      </c>
      <c r="N53" s="220">
        <v>5</v>
      </c>
      <c r="O53" s="220">
        <v>12</v>
      </c>
      <c r="P53" s="220">
        <v>15</v>
      </c>
      <c r="Q53" s="220">
        <v>9</v>
      </c>
      <c r="R53" s="220">
        <v>6</v>
      </c>
      <c r="S53" s="428">
        <v>2</v>
      </c>
      <c r="T53" s="220">
        <v>4</v>
      </c>
      <c r="U53" s="220">
        <v>4</v>
      </c>
      <c r="V53" s="220">
        <v>8</v>
      </c>
      <c r="W53" s="220">
        <v>7</v>
      </c>
      <c r="X53" s="220">
        <v>5</v>
      </c>
      <c r="Y53" s="220">
        <v>6</v>
      </c>
      <c r="Z53" s="220">
        <v>4</v>
      </c>
      <c r="AA53" s="220">
        <v>9</v>
      </c>
      <c r="AB53" s="220">
        <v>9</v>
      </c>
      <c r="AC53" s="220">
        <v>12</v>
      </c>
      <c r="AD53" s="231">
        <v>5</v>
      </c>
      <c r="AE53" s="428">
        <v>6</v>
      </c>
      <c r="AF53" s="220">
        <v>4</v>
      </c>
      <c r="AG53" s="220">
        <v>4</v>
      </c>
      <c r="AH53" s="220">
        <v>5</v>
      </c>
      <c r="AI53" s="220">
        <v>7</v>
      </c>
      <c r="AJ53" s="220">
        <v>8</v>
      </c>
      <c r="AK53" s="220">
        <v>4</v>
      </c>
      <c r="AL53" s="220">
        <v>9</v>
      </c>
      <c r="AM53" s="220">
        <v>11</v>
      </c>
      <c r="AN53" s="220">
        <v>12</v>
      </c>
      <c r="AO53" s="220">
        <v>10</v>
      </c>
      <c r="AP53" s="231">
        <v>5</v>
      </c>
      <c r="AQ53" s="429"/>
      <c r="AR53" s="221">
        <f t="shared" si="106"/>
        <v>75</v>
      </c>
      <c r="AS53" s="221">
        <f t="shared" si="107"/>
        <v>85</v>
      </c>
    </row>
    <row r="54" spans="2:45" ht="15.75" customHeight="1">
      <c r="B54" s="227" t="s">
        <v>2096</v>
      </c>
      <c r="C54" s="332" t="s">
        <v>2075</v>
      </c>
      <c r="D54" s="399">
        <v>1</v>
      </c>
      <c r="E54" s="332" t="s">
        <v>204</v>
      </c>
      <c r="F54" s="427" t="s">
        <v>2349</v>
      </c>
      <c r="G54" s="220">
        <v>0</v>
      </c>
      <c r="H54" s="220">
        <v>0</v>
      </c>
      <c r="I54" s="220">
        <v>3</v>
      </c>
      <c r="J54" s="220">
        <v>5</v>
      </c>
      <c r="K54" s="220">
        <v>7</v>
      </c>
      <c r="L54" s="220">
        <v>9</v>
      </c>
      <c r="M54" s="220">
        <v>5</v>
      </c>
      <c r="N54" s="220">
        <v>8</v>
      </c>
      <c r="O54" s="220">
        <v>14</v>
      </c>
      <c r="P54" s="220">
        <v>12</v>
      </c>
      <c r="Q54" s="220">
        <v>9</v>
      </c>
      <c r="R54" s="220">
        <v>9</v>
      </c>
      <c r="S54" s="428">
        <v>10</v>
      </c>
      <c r="T54" s="220">
        <v>6</v>
      </c>
      <c r="U54" s="220">
        <v>10</v>
      </c>
      <c r="V54" s="220">
        <v>10</v>
      </c>
      <c r="W54" s="220">
        <v>12</v>
      </c>
      <c r="X54" s="220">
        <v>13</v>
      </c>
      <c r="Y54" s="220">
        <v>6</v>
      </c>
      <c r="Z54" s="220">
        <v>13</v>
      </c>
      <c r="AA54" s="220">
        <v>8</v>
      </c>
      <c r="AB54" s="220">
        <v>14</v>
      </c>
      <c r="AC54" s="220">
        <v>17</v>
      </c>
      <c r="AD54" s="231">
        <v>14</v>
      </c>
      <c r="AE54" s="428">
        <v>4</v>
      </c>
      <c r="AF54" s="220">
        <v>10</v>
      </c>
      <c r="AG54" s="220">
        <v>12</v>
      </c>
      <c r="AH54" s="220">
        <v>11</v>
      </c>
      <c r="AI54" s="220">
        <v>15</v>
      </c>
      <c r="AJ54" s="220">
        <v>14</v>
      </c>
      <c r="AK54" s="220">
        <v>11</v>
      </c>
      <c r="AL54" s="220">
        <v>11</v>
      </c>
      <c r="AM54" s="220">
        <v>11</v>
      </c>
      <c r="AN54" s="220">
        <v>19</v>
      </c>
      <c r="AO54" s="220">
        <v>12</v>
      </c>
      <c r="AP54" s="231">
        <v>9</v>
      </c>
      <c r="AQ54" s="429"/>
      <c r="AR54" s="221">
        <f t="shared" si="106"/>
        <v>133</v>
      </c>
      <c r="AS54" s="221">
        <f t="shared" si="107"/>
        <v>139</v>
      </c>
    </row>
    <row r="55" spans="2:45" ht="15.75" customHeight="1">
      <c r="B55" s="227" t="s">
        <v>2096</v>
      </c>
      <c r="C55" s="332" t="s">
        <v>2076</v>
      </c>
      <c r="D55" s="399">
        <v>1</v>
      </c>
      <c r="E55" s="332" t="s">
        <v>204</v>
      </c>
      <c r="F55" s="427" t="s">
        <v>2349</v>
      </c>
      <c r="G55" s="220">
        <v>0</v>
      </c>
      <c r="H55" s="220">
        <v>0</v>
      </c>
      <c r="I55" s="220">
        <v>0</v>
      </c>
      <c r="J55" s="220">
        <v>0</v>
      </c>
      <c r="K55" s="220">
        <v>0</v>
      </c>
      <c r="L55" s="220">
        <v>0</v>
      </c>
      <c r="M55" s="220">
        <v>0</v>
      </c>
      <c r="N55" s="220">
        <v>0</v>
      </c>
      <c r="O55" s="220">
        <v>1</v>
      </c>
      <c r="P55" s="220">
        <v>0</v>
      </c>
      <c r="Q55" s="220">
        <v>1</v>
      </c>
      <c r="R55" s="220">
        <v>3</v>
      </c>
      <c r="S55" s="428">
        <v>1</v>
      </c>
      <c r="T55" s="220">
        <v>3</v>
      </c>
      <c r="U55" s="220">
        <v>7</v>
      </c>
      <c r="V55" s="220">
        <v>4</v>
      </c>
      <c r="W55" s="220">
        <v>4</v>
      </c>
      <c r="X55" s="220">
        <v>10</v>
      </c>
      <c r="Y55" s="220">
        <v>4</v>
      </c>
      <c r="Z55" s="220">
        <v>6</v>
      </c>
      <c r="AA55" s="220">
        <v>5</v>
      </c>
      <c r="AB55" s="220">
        <v>9</v>
      </c>
      <c r="AC55" s="220">
        <v>9</v>
      </c>
      <c r="AD55" s="231">
        <v>4</v>
      </c>
      <c r="AE55" s="428">
        <v>3</v>
      </c>
      <c r="AF55" s="220">
        <v>5</v>
      </c>
      <c r="AG55" s="220">
        <v>4</v>
      </c>
      <c r="AH55" s="220">
        <v>7</v>
      </c>
      <c r="AI55" s="220">
        <v>5</v>
      </c>
      <c r="AJ55" s="220">
        <v>5</v>
      </c>
      <c r="AK55" s="220">
        <v>4</v>
      </c>
      <c r="AL55" s="220">
        <v>3</v>
      </c>
      <c r="AM55" s="220">
        <v>4</v>
      </c>
      <c r="AN55" s="220">
        <v>11</v>
      </c>
      <c r="AO55" s="220">
        <v>6</v>
      </c>
      <c r="AP55" s="231">
        <v>8</v>
      </c>
      <c r="AQ55" s="429"/>
      <c r="AR55" s="221">
        <f t="shared" si="106"/>
        <v>66</v>
      </c>
      <c r="AS55" s="221">
        <f t="shared" si="107"/>
        <v>65</v>
      </c>
    </row>
    <row r="56" spans="2:45" ht="15.75" customHeight="1">
      <c r="B56" s="227" t="s">
        <v>2096</v>
      </c>
      <c r="C56" s="332" t="s">
        <v>2077</v>
      </c>
      <c r="D56" s="399">
        <v>1</v>
      </c>
      <c r="E56" s="332" t="s">
        <v>204</v>
      </c>
      <c r="F56" s="427" t="s">
        <v>2349</v>
      </c>
      <c r="G56" s="220">
        <v>4</v>
      </c>
      <c r="H56" s="220">
        <v>4</v>
      </c>
      <c r="I56" s="220">
        <v>5</v>
      </c>
      <c r="J56" s="220">
        <v>7</v>
      </c>
      <c r="K56" s="220">
        <v>5</v>
      </c>
      <c r="L56" s="220">
        <v>5</v>
      </c>
      <c r="M56" s="220">
        <v>3</v>
      </c>
      <c r="N56" s="220">
        <v>5</v>
      </c>
      <c r="O56" s="220">
        <v>10</v>
      </c>
      <c r="P56" s="220">
        <v>15</v>
      </c>
      <c r="Q56" s="220">
        <v>5</v>
      </c>
      <c r="R56" s="220">
        <v>3</v>
      </c>
      <c r="S56" s="428">
        <v>10</v>
      </c>
      <c r="T56" s="220">
        <v>5</v>
      </c>
      <c r="U56" s="220">
        <v>2</v>
      </c>
      <c r="V56" s="220">
        <v>9</v>
      </c>
      <c r="W56" s="220">
        <v>6</v>
      </c>
      <c r="X56" s="220">
        <v>4</v>
      </c>
      <c r="Y56" s="220">
        <v>4</v>
      </c>
      <c r="Z56" s="220">
        <v>7</v>
      </c>
      <c r="AA56" s="220">
        <v>5</v>
      </c>
      <c r="AB56" s="220">
        <v>12</v>
      </c>
      <c r="AC56" s="220">
        <v>7</v>
      </c>
      <c r="AD56" s="231">
        <v>8</v>
      </c>
      <c r="AE56" s="428">
        <v>7</v>
      </c>
      <c r="AF56" s="220">
        <v>2</v>
      </c>
      <c r="AG56" s="220">
        <v>8</v>
      </c>
      <c r="AH56" s="220">
        <v>7</v>
      </c>
      <c r="AI56" s="220">
        <v>7</v>
      </c>
      <c r="AJ56" s="220">
        <v>3</v>
      </c>
      <c r="AK56" s="220">
        <v>2</v>
      </c>
      <c r="AL56" s="220">
        <v>6</v>
      </c>
      <c r="AM56" s="220">
        <v>1</v>
      </c>
      <c r="AN56" s="220">
        <v>10</v>
      </c>
      <c r="AO56" s="220">
        <v>8</v>
      </c>
      <c r="AP56" s="231">
        <v>5</v>
      </c>
      <c r="AQ56" s="429"/>
      <c r="AR56" s="221">
        <f t="shared" si="106"/>
        <v>79</v>
      </c>
      <c r="AS56" s="221">
        <f t="shared" si="107"/>
        <v>66</v>
      </c>
    </row>
    <row r="57" spans="2:45" ht="15.75" customHeight="1">
      <c r="B57" s="227" t="s">
        <v>2096</v>
      </c>
      <c r="C57" s="332" t="s">
        <v>2078</v>
      </c>
      <c r="D57" s="399">
        <v>2</v>
      </c>
      <c r="E57" s="332" t="s">
        <v>2058</v>
      </c>
      <c r="F57" s="427" t="s">
        <v>2058</v>
      </c>
      <c r="G57" s="220">
        <v>3</v>
      </c>
      <c r="H57" s="220">
        <v>5</v>
      </c>
      <c r="I57" s="220">
        <v>15</v>
      </c>
      <c r="J57" s="220">
        <v>11</v>
      </c>
      <c r="K57" s="220">
        <v>12</v>
      </c>
      <c r="L57" s="220">
        <v>12</v>
      </c>
      <c r="M57" s="220">
        <v>5</v>
      </c>
      <c r="N57" s="220">
        <v>0</v>
      </c>
      <c r="O57" s="220">
        <v>15</v>
      </c>
      <c r="P57" s="220">
        <v>29</v>
      </c>
      <c r="Q57" s="220">
        <v>25</v>
      </c>
      <c r="R57" s="220">
        <v>12</v>
      </c>
      <c r="S57" s="428">
        <v>3</v>
      </c>
      <c r="T57" s="220">
        <v>7</v>
      </c>
      <c r="U57" s="220">
        <v>20</v>
      </c>
      <c r="V57" s="220">
        <v>21</v>
      </c>
      <c r="W57" s="220">
        <v>14</v>
      </c>
      <c r="X57" s="220">
        <v>9</v>
      </c>
      <c r="Y57" s="220">
        <v>4</v>
      </c>
      <c r="Z57" s="220">
        <v>6</v>
      </c>
      <c r="AA57" s="220">
        <v>6</v>
      </c>
      <c r="AB57" s="220">
        <v>29</v>
      </c>
      <c r="AC57" s="220">
        <v>28</v>
      </c>
      <c r="AD57" s="231">
        <v>11</v>
      </c>
      <c r="AE57" s="428">
        <v>5</v>
      </c>
      <c r="AF57" s="220">
        <v>1</v>
      </c>
      <c r="AG57" s="220">
        <v>15</v>
      </c>
      <c r="AH57" s="220">
        <v>12</v>
      </c>
      <c r="AI57" s="220">
        <v>14</v>
      </c>
      <c r="AJ57" s="220">
        <v>5</v>
      </c>
      <c r="AK57" s="220">
        <v>6</v>
      </c>
      <c r="AL57" s="220">
        <v>4</v>
      </c>
      <c r="AM57" s="220">
        <v>13</v>
      </c>
      <c r="AN57" s="220">
        <v>19</v>
      </c>
      <c r="AO57" s="220">
        <v>26</v>
      </c>
      <c r="AP57" s="231">
        <v>11</v>
      </c>
      <c r="AQ57" s="429"/>
      <c r="AR57" s="221">
        <f t="shared" si="106"/>
        <v>158</v>
      </c>
      <c r="AS57" s="221">
        <f t="shared" si="107"/>
        <v>131</v>
      </c>
    </row>
    <row r="58" spans="2:45" ht="15.75" customHeight="1">
      <c r="B58" s="227" t="s">
        <v>2096</v>
      </c>
      <c r="C58" s="332" t="s">
        <v>2169</v>
      </c>
      <c r="D58" s="399">
        <v>1</v>
      </c>
      <c r="E58" s="332" t="s">
        <v>2058</v>
      </c>
      <c r="F58" s="427" t="s">
        <v>2058</v>
      </c>
      <c r="G58" s="220">
        <v>4</v>
      </c>
      <c r="H58" s="220">
        <v>5</v>
      </c>
      <c r="I58" s="220">
        <v>14</v>
      </c>
      <c r="J58" s="220">
        <v>11</v>
      </c>
      <c r="K58" s="220">
        <v>10</v>
      </c>
      <c r="L58" s="220">
        <v>7</v>
      </c>
      <c r="M58" s="220">
        <v>6</v>
      </c>
      <c r="N58" s="220">
        <v>5</v>
      </c>
      <c r="O58" s="220">
        <v>12</v>
      </c>
      <c r="P58" s="220">
        <v>13</v>
      </c>
      <c r="Q58" s="220">
        <v>13</v>
      </c>
      <c r="R58" s="220">
        <v>12</v>
      </c>
      <c r="S58" s="428">
        <v>6</v>
      </c>
      <c r="T58" s="220">
        <v>4</v>
      </c>
      <c r="U58" s="220">
        <v>12</v>
      </c>
      <c r="V58" s="220">
        <v>15</v>
      </c>
      <c r="W58" s="220">
        <v>11</v>
      </c>
      <c r="X58" s="220">
        <v>11</v>
      </c>
      <c r="Y58" s="220">
        <v>11</v>
      </c>
      <c r="Z58" s="220">
        <v>6</v>
      </c>
      <c r="AA58" s="220">
        <v>8</v>
      </c>
      <c r="AB58" s="220">
        <v>20</v>
      </c>
      <c r="AC58" s="220">
        <v>19</v>
      </c>
      <c r="AD58" s="231">
        <v>8</v>
      </c>
      <c r="AE58" s="428">
        <v>6</v>
      </c>
      <c r="AF58" s="220">
        <v>3</v>
      </c>
      <c r="AG58" s="220">
        <v>14</v>
      </c>
      <c r="AH58" s="220">
        <v>14</v>
      </c>
      <c r="AI58" s="220">
        <v>11</v>
      </c>
      <c r="AJ58" s="220">
        <v>6</v>
      </c>
      <c r="AK58" s="220">
        <v>6</v>
      </c>
      <c r="AL58" s="220">
        <v>5</v>
      </c>
      <c r="AM58" s="220">
        <v>4</v>
      </c>
      <c r="AN58" s="220">
        <v>10</v>
      </c>
      <c r="AO58" s="220">
        <v>12</v>
      </c>
      <c r="AP58" s="231">
        <v>3</v>
      </c>
      <c r="AQ58" s="429"/>
      <c r="AR58" s="221">
        <f t="shared" si="106"/>
        <v>131</v>
      </c>
      <c r="AS58" s="221">
        <f t="shared" si="107"/>
        <v>94</v>
      </c>
    </row>
    <row r="59" spans="2:45" ht="15.75" customHeight="1">
      <c r="B59" s="227" t="s">
        <v>2096</v>
      </c>
      <c r="C59" s="332" t="s">
        <v>2080</v>
      </c>
      <c r="D59" s="399">
        <v>2</v>
      </c>
      <c r="E59" s="332" t="s">
        <v>2058</v>
      </c>
      <c r="F59" s="427" t="s">
        <v>2058</v>
      </c>
      <c r="G59" s="220">
        <v>0</v>
      </c>
      <c r="H59" s="220">
        <v>0</v>
      </c>
      <c r="I59" s="220">
        <v>0</v>
      </c>
      <c r="J59" s="220">
        <v>0</v>
      </c>
      <c r="K59" s="220">
        <v>0</v>
      </c>
      <c r="L59" s="220">
        <v>0</v>
      </c>
      <c r="M59" s="220">
        <v>0</v>
      </c>
      <c r="N59" s="220">
        <v>0</v>
      </c>
      <c r="O59" s="220">
        <v>0</v>
      </c>
      <c r="P59" s="220">
        <v>0</v>
      </c>
      <c r="Q59" s="220">
        <v>0</v>
      </c>
      <c r="R59" s="220">
        <v>0</v>
      </c>
      <c r="S59" s="428">
        <v>0</v>
      </c>
      <c r="T59" s="220">
        <v>0</v>
      </c>
      <c r="U59" s="220">
        <v>0</v>
      </c>
      <c r="V59" s="220">
        <v>0</v>
      </c>
      <c r="W59" s="220">
        <v>0</v>
      </c>
      <c r="X59" s="220">
        <v>0</v>
      </c>
      <c r="Y59" s="220">
        <v>0</v>
      </c>
      <c r="Z59" s="220">
        <v>0</v>
      </c>
      <c r="AA59" s="220">
        <v>0</v>
      </c>
      <c r="AB59" s="220">
        <v>0</v>
      </c>
      <c r="AC59" s="220">
        <v>0</v>
      </c>
      <c r="AD59" s="231">
        <v>0</v>
      </c>
      <c r="AE59" s="428">
        <v>0</v>
      </c>
      <c r="AF59" s="220">
        <v>0</v>
      </c>
      <c r="AG59" s="220">
        <v>0</v>
      </c>
      <c r="AH59" s="220">
        <v>0</v>
      </c>
      <c r="AI59" s="220">
        <v>0</v>
      </c>
      <c r="AJ59" s="220">
        <v>0</v>
      </c>
      <c r="AK59" s="220">
        <v>0</v>
      </c>
      <c r="AL59" s="220">
        <v>0</v>
      </c>
      <c r="AM59" s="220">
        <v>0</v>
      </c>
      <c r="AN59" s="220">
        <v>0</v>
      </c>
      <c r="AO59" s="220">
        <v>0</v>
      </c>
      <c r="AP59" s="231">
        <v>0</v>
      </c>
      <c r="AQ59" s="429"/>
      <c r="AR59" s="221">
        <f t="shared" si="106"/>
        <v>0</v>
      </c>
      <c r="AS59" s="221">
        <f t="shared" si="107"/>
        <v>0</v>
      </c>
    </row>
    <row r="60" spans="2:45" ht="15.75" customHeight="1">
      <c r="B60" s="227" t="s">
        <v>2096</v>
      </c>
      <c r="C60" s="332" t="s">
        <v>2081</v>
      </c>
      <c r="D60" s="399">
        <v>1</v>
      </c>
      <c r="E60" s="332" t="s">
        <v>2058</v>
      </c>
      <c r="F60" s="427" t="s">
        <v>2058</v>
      </c>
      <c r="G60" s="220">
        <v>1</v>
      </c>
      <c r="H60" s="220">
        <v>3</v>
      </c>
      <c r="I60" s="220">
        <v>5</v>
      </c>
      <c r="J60" s="220">
        <v>4</v>
      </c>
      <c r="K60" s="220">
        <v>4</v>
      </c>
      <c r="L60" s="220">
        <v>6</v>
      </c>
      <c r="M60" s="220">
        <v>5</v>
      </c>
      <c r="N60" s="220">
        <v>4</v>
      </c>
      <c r="O60" s="220">
        <v>4</v>
      </c>
      <c r="P60" s="220">
        <v>10</v>
      </c>
      <c r="Q60" s="220">
        <v>11</v>
      </c>
      <c r="R60" s="220">
        <v>6</v>
      </c>
      <c r="S60" s="428">
        <v>3</v>
      </c>
      <c r="T60" s="220">
        <v>4</v>
      </c>
      <c r="U60" s="220">
        <v>6</v>
      </c>
      <c r="V60" s="220">
        <v>7</v>
      </c>
      <c r="W60" s="220">
        <v>8</v>
      </c>
      <c r="X60" s="220">
        <v>2</v>
      </c>
      <c r="Y60" s="220">
        <v>0</v>
      </c>
      <c r="Z60" s="220">
        <v>1</v>
      </c>
      <c r="AA60" s="220">
        <v>2</v>
      </c>
      <c r="AB60" s="220">
        <v>12</v>
      </c>
      <c r="AC60" s="220">
        <v>12</v>
      </c>
      <c r="AD60" s="231">
        <v>5</v>
      </c>
      <c r="AE60" s="428">
        <v>6</v>
      </c>
      <c r="AF60" s="220">
        <v>4</v>
      </c>
      <c r="AG60" s="220">
        <v>3</v>
      </c>
      <c r="AH60" s="220">
        <v>1</v>
      </c>
      <c r="AI60" s="220">
        <v>5</v>
      </c>
      <c r="AJ60" s="220">
        <v>1</v>
      </c>
      <c r="AK60" s="220">
        <v>2</v>
      </c>
      <c r="AL60" s="220">
        <v>2</v>
      </c>
      <c r="AM60" s="220">
        <v>3</v>
      </c>
      <c r="AN60" s="220">
        <v>7</v>
      </c>
      <c r="AO60" s="220">
        <v>3</v>
      </c>
      <c r="AP60" s="231">
        <v>4</v>
      </c>
      <c r="AQ60" s="429"/>
      <c r="AR60" s="221">
        <f t="shared" si="106"/>
        <v>62</v>
      </c>
      <c r="AS60" s="221">
        <f t="shared" si="107"/>
        <v>41</v>
      </c>
    </row>
    <row r="61" spans="2:45" ht="15.75" customHeight="1">
      <c r="B61" s="227" t="s">
        <v>2096</v>
      </c>
      <c r="C61" s="332" t="s">
        <v>2082</v>
      </c>
      <c r="D61" s="399">
        <v>1</v>
      </c>
      <c r="E61" s="332" t="s">
        <v>2058</v>
      </c>
      <c r="F61" s="427" t="s">
        <v>2058</v>
      </c>
      <c r="G61" s="220">
        <v>5</v>
      </c>
      <c r="H61" s="220">
        <v>6</v>
      </c>
      <c r="I61" s="220">
        <v>12</v>
      </c>
      <c r="J61" s="220">
        <v>8</v>
      </c>
      <c r="K61" s="220">
        <v>10</v>
      </c>
      <c r="L61" s="220">
        <v>13</v>
      </c>
      <c r="M61" s="220">
        <v>10</v>
      </c>
      <c r="N61" s="220">
        <v>9</v>
      </c>
      <c r="O61" s="220">
        <v>12</v>
      </c>
      <c r="P61" s="220">
        <v>17</v>
      </c>
      <c r="Q61" s="220">
        <v>14</v>
      </c>
      <c r="R61" s="220">
        <v>16</v>
      </c>
      <c r="S61" s="428">
        <v>2</v>
      </c>
      <c r="T61" s="220">
        <v>1</v>
      </c>
      <c r="U61" s="220">
        <v>5</v>
      </c>
      <c r="V61" s="220">
        <v>14</v>
      </c>
      <c r="W61" s="220">
        <v>14</v>
      </c>
      <c r="X61" s="220">
        <v>10</v>
      </c>
      <c r="Y61" s="220">
        <v>6</v>
      </c>
      <c r="Z61" s="220">
        <v>2</v>
      </c>
      <c r="AA61" s="220">
        <v>14</v>
      </c>
      <c r="AB61" s="220">
        <v>17</v>
      </c>
      <c r="AC61" s="220">
        <v>18</v>
      </c>
      <c r="AD61" s="231">
        <v>8</v>
      </c>
      <c r="AE61" s="428">
        <v>2</v>
      </c>
      <c r="AF61" s="220">
        <v>2</v>
      </c>
      <c r="AG61" s="220">
        <v>12</v>
      </c>
      <c r="AH61" s="220">
        <v>10</v>
      </c>
      <c r="AI61" s="220">
        <v>9</v>
      </c>
      <c r="AJ61" s="220">
        <v>4</v>
      </c>
      <c r="AK61" s="220">
        <v>3</v>
      </c>
      <c r="AL61" s="220">
        <v>3</v>
      </c>
      <c r="AM61" s="220">
        <v>5</v>
      </c>
      <c r="AN61" s="220">
        <v>13</v>
      </c>
      <c r="AO61" s="220">
        <v>11</v>
      </c>
      <c r="AP61" s="231">
        <v>7</v>
      </c>
      <c r="AQ61" s="429"/>
      <c r="AR61" s="221">
        <f t="shared" si="106"/>
        <v>111</v>
      </c>
      <c r="AS61" s="221">
        <f t="shared" si="107"/>
        <v>81</v>
      </c>
    </row>
    <row r="62" spans="2:45" ht="15.75" customHeight="1">
      <c r="B62" s="227" t="s">
        <v>2096</v>
      </c>
      <c r="C62" s="332" t="s">
        <v>2083</v>
      </c>
      <c r="D62" s="399">
        <v>2</v>
      </c>
      <c r="E62" s="332" t="s">
        <v>2058</v>
      </c>
      <c r="F62" s="427" t="s">
        <v>2058</v>
      </c>
      <c r="G62" s="220">
        <v>6</v>
      </c>
      <c r="H62" s="220">
        <v>3</v>
      </c>
      <c r="I62" s="220">
        <v>16</v>
      </c>
      <c r="J62" s="220">
        <v>8</v>
      </c>
      <c r="K62" s="220">
        <v>9</v>
      </c>
      <c r="L62" s="220">
        <v>6</v>
      </c>
      <c r="M62" s="220">
        <v>7</v>
      </c>
      <c r="N62" s="220">
        <v>10</v>
      </c>
      <c r="O62" s="220">
        <v>11</v>
      </c>
      <c r="P62" s="220">
        <v>27</v>
      </c>
      <c r="Q62" s="220">
        <v>20</v>
      </c>
      <c r="R62" s="220">
        <v>12</v>
      </c>
      <c r="S62" s="428">
        <v>6</v>
      </c>
      <c r="T62" s="220">
        <v>6</v>
      </c>
      <c r="U62" s="220">
        <v>19</v>
      </c>
      <c r="V62" s="220">
        <v>10</v>
      </c>
      <c r="W62" s="220">
        <v>6</v>
      </c>
      <c r="X62" s="220">
        <v>6</v>
      </c>
      <c r="Y62" s="220">
        <v>6</v>
      </c>
      <c r="Z62" s="220">
        <v>4</v>
      </c>
      <c r="AA62" s="220">
        <v>12</v>
      </c>
      <c r="AB62" s="220">
        <v>22</v>
      </c>
      <c r="AC62" s="220">
        <v>25</v>
      </c>
      <c r="AD62" s="231">
        <v>15</v>
      </c>
      <c r="AE62" s="428">
        <v>2</v>
      </c>
      <c r="AF62" s="220">
        <v>5</v>
      </c>
      <c r="AG62" s="220">
        <v>9</v>
      </c>
      <c r="AH62" s="220">
        <v>8</v>
      </c>
      <c r="AI62" s="220">
        <v>7</v>
      </c>
      <c r="AJ62" s="220">
        <v>6</v>
      </c>
      <c r="AK62" s="220">
        <v>0</v>
      </c>
      <c r="AL62" s="220">
        <v>3</v>
      </c>
      <c r="AM62" s="220">
        <v>4</v>
      </c>
      <c r="AN62" s="220">
        <v>12</v>
      </c>
      <c r="AO62" s="220">
        <v>15</v>
      </c>
      <c r="AP62" s="231">
        <v>10</v>
      </c>
      <c r="AQ62" s="429"/>
      <c r="AR62" s="221">
        <f t="shared" si="106"/>
        <v>137</v>
      </c>
      <c r="AS62" s="221">
        <f t="shared" si="107"/>
        <v>81</v>
      </c>
    </row>
    <row r="63" spans="2:45" ht="15.75" customHeight="1">
      <c r="B63" s="227" t="s">
        <v>2096</v>
      </c>
      <c r="C63" s="332" t="s">
        <v>2084</v>
      </c>
      <c r="D63" s="399">
        <v>1</v>
      </c>
      <c r="E63" s="332" t="s">
        <v>2058</v>
      </c>
      <c r="F63" s="427" t="s">
        <v>2058</v>
      </c>
      <c r="G63" s="220">
        <v>0</v>
      </c>
      <c r="H63" s="220">
        <v>0</v>
      </c>
      <c r="I63" s="220">
        <v>0</v>
      </c>
      <c r="J63" s="220">
        <v>0</v>
      </c>
      <c r="K63" s="220">
        <v>0</v>
      </c>
      <c r="L63" s="220">
        <v>0</v>
      </c>
      <c r="M63" s="220">
        <v>0</v>
      </c>
      <c r="N63" s="220">
        <v>0</v>
      </c>
      <c r="O63" s="220">
        <v>0</v>
      </c>
      <c r="P63" s="220">
        <v>0</v>
      </c>
      <c r="Q63" s="220">
        <v>1</v>
      </c>
      <c r="R63" s="220">
        <v>0</v>
      </c>
      <c r="S63" s="428">
        <v>0</v>
      </c>
      <c r="T63" s="220">
        <v>0</v>
      </c>
      <c r="U63" s="220">
        <v>0</v>
      </c>
      <c r="V63" s="220">
        <v>5</v>
      </c>
      <c r="W63" s="220">
        <v>1</v>
      </c>
      <c r="X63" s="220">
        <v>0</v>
      </c>
      <c r="Y63" s="220">
        <v>0</v>
      </c>
      <c r="Z63" s="220">
        <v>0</v>
      </c>
      <c r="AA63" s="220">
        <v>1</v>
      </c>
      <c r="AB63" s="220">
        <v>3</v>
      </c>
      <c r="AC63" s="220">
        <v>5</v>
      </c>
      <c r="AD63" s="231">
        <v>2</v>
      </c>
      <c r="AE63" s="428">
        <v>3</v>
      </c>
      <c r="AF63" s="220">
        <v>2</v>
      </c>
      <c r="AG63" s="220">
        <v>10</v>
      </c>
      <c r="AH63" s="220">
        <v>3</v>
      </c>
      <c r="AI63" s="220">
        <v>6</v>
      </c>
      <c r="AJ63" s="220">
        <v>3</v>
      </c>
      <c r="AK63" s="220">
        <v>1</v>
      </c>
      <c r="AL63" s="220">
        <v>2</v>
      </c>
      <c r="AM63" s="220">
        <v>3</v>
      </c>
      <c r="AN63" s="220">
        <v>3</v>
      </c>
      <c r="AO63" s="220">
        <v>5</v>
      </c>
      <c r="AP63" s="231">
        <v>1</v>
      </c>
      <c r="AQ63" s="429"/>
      <c r="AR63" s="221">
        <f t="shared" si="106"/>
        <v>17</v>
      </c>
      <c r="AS63" s="221">
        <f t="shared" si="107"/>
        <v>42</v>
      </c>
    </row>
    <row r="64" spans="2:45" ht="15.75" customHeight="1">
      <c r="B64" s="227" t="s">
        <v>2096</v>
      </c>
      <c r="C64" s="332" t="s">
        <v>2085</v>
      </c>
      <c r="D64" s="399">
        <v>1</v>
      </c>
      <c r="E64" s="332" t="s">
        <v>2059</v>
      </c>
      <c r="F64" s="427" t="s">
        <v>2059</v>
      </c>
      <c r="G64" s="220">
        <v>8</v>
      </c>
      <c r="H64" s="220">
        <v>9</v>
      </c>
      <c r="I64" s="220">
        <v>8</v>
      </c>
      <c r="J64" s="220">
        <v>12</v>
      </c>
      <c r="K64" s="220">
        <v>5</v>
      </c>
      <c r="L64" s="220">
        <v>6</v>
      </c>
      <c r="M64" s="220">
        <v>5</v>
      </c>
      <c r="N64" s="220">
        <v>10</v>
      </c>
      <c r="O64" s="220">
        <v>9</v>
      </c>
      <c r="P64" s="220">
        <v>13</v>
      </c>
      <c r="Q64" s="220">
        <v>11</v>
      </c>
      <c r="R64" s="220">
        <v>12</v>
      </c>
      <c r="S64" s="428">
        <v>9</v>
      </c>
      <c r="T64" s="220">
        <v>9</v>
      </c>
      <c r="U64" s="220">
        <v>12</v>
      </c>
      <c r="V64" s="220">
        <v>7</v>
      </c>
      <c r="W64" s="220">
        <v>8</v>
      </c>
      <c r="X64" s="220">
        <v>7</v>
      </c>
      <c r="Y64" s="220">
        <v>9</v>
      </c>
      <c r="Z64" s="220">
        <v>5</v>
      </c>
      <c r="AA64" s="220">
        <v>3</v>
      </c>
      <c r="AB64" s="220">
        <v>10</v>
      </c>
      <c r="AC64" s="220">
        <v>10</v>
      </c>
      <c r="AD64" s="231">
        <v>9</v>
      </c>
      <c r="AE64" s="428">
        <v>6</v>
      </c>
      <c r="AF64" s="220">
        <v>6</v>
      </c>
      <c r="AG64" s="220">
        <v>11</v>
      </c>
      <c r="AH64" s="220">
        <v>7</v>
      </c>
      <c r="AI64" s="220">
        <v>13</v>
      </c>
      <c r="AJ64" s="220">
        <v>7</v>
      </c>
      <c r="AK64" s="220">
        <v>7</v>
      </c>
      <c r="AL64" s="220">
        <v>13</v>
      </c>
      <c r="AM64" s="220">
        <v>8</v>
      </c>
      <c r="AN64" s="220">
        <v>7</v>
      </c>
      <c r="AO64" s="220">
        <v>11</v>
      </c>
      <c r="AP64" s="231">
        <v>9</v>
      </c>
      <c r="AQ64" s="429"/>
      <c r="AR64" s="221">
        <f t="shared" si="106"/>
        <v>98</v>
      </c>
      <c r="AS64" s="221">
        <f t="shared" si="107"/>
        <v>105</v>
      </c>
    </row>
    <row r="65" spans="2:45" ht="15.75" customHeight="1">
      <c r="B65" s="227" t="s">
        <v>2096</v>
      </c>
      <c r="C65" s="332" t="s">
        <v>2086</v>
      </c>
      <c r="D65" s="399">
        <v>1</v>
      </c>
      <c r="E65" s="332" t="s">
        <v>2059</v>
      </c>
      <c r="F65" s="427" t="s">
        <v>2059</v>
      </c>
      <c r="G65" s="220">
        <v>6</v>
      </c>
      <c r="H65" s="220">
        <v>6</v>
      </c>
      <c r="I65" s="220">
        <v>9</v>
      </c>
      <c r="J65" s="220">
        <v>7</v>
      </c>
      <c r="K65" s="220">
        <v>7</v>
      </c>
      <c r="L65" s="220">
        <v>8</v>
      </c>
      <c r="M65" s="220">
        <v>10</v>
      </c>
      <c r="N65" s="220">
        <v>1</v>
      </c>
      <c r="O65" s="220">
        <v>5</v>
      </c>
      <c r="P65" s="220">
        <v>8</v>
      </c>
      <c r="Q65" s="220">
        <v>8</v>
      </c>
      <c r="R65" s="220">
        <v>10</v>
      </c>
      <c r="S65" s="428">
        <v>9</v>
      </c>
      <c r="T65" s="220">
        <v>9</v>
      </c>
      <c r="U65" s="220">
        <v>5</v>
      </c>
      <c r="V65" s="220">
        <v>8</v>
      </c>
      <c r="W65" s="220">
        <v>7</v>
      </c>
      <c r="X65" s="220">
        <v>7</v>
      </c>
      <c r="Y65" s="220">
        <v>6</v>
      </c>
      <c r="Z65" s="220">
        <v>6</v>
      </c>
      <c r="AA65" s="220">
        <v>1</v>
      </c>
      <c r="AB65" s="220">
        <v>9</v>
      </c>
      <c r="AC65" s="220">
        <v>8</v>
      </c>
      <c r="AD65" s="231">
        <v>11</v>
      </c>
      <c r="AE65" s="428">
        <v>3</v>
      </c>
      <c r="AF65" s="220">
        <v>9</v>
      </c>
      <c r="AG65" s="220">
        <v>8</v>
      </c>
      <c r="AH65" s="220">
        <v>7</v>
      </c>
      <c r="AI65" s="220">
        <v>10</v>
      </c>
      <c r="AJ65" s="220">
        <v>11</v>
      </c>
      <c r="AK65" s="220">
        <v>5</v>
      </c>
      <c r="AL65" s="220">
        <v>9</v>
      </c>
      <c r="AM65" s="220">
        <v>9</v>
      </c>
      <c r="AN65" s="220">
        <v>9</v>
      </c>
      <c r="AO65" s="220">
        <v>12</v>
      </c>
      <c r="AP65" s="231">
        <v>9</v>
      </c>
      <c r="AQ65" s="429"/>
      <c r="AR65" s="221">
        <f t="shared" si="106"/>
        <v>86</v>
      </c>
      <c r="AS65" s="221">
        <f t="shared" si="107"/>
        <v>101</v>
      </c>
    </row>
    <row r="66" spans="2:45" ht="15.75" customHeight="1">
      <c r="B66" s="227" t="s">
        <v>2096</v>
      </c>
      <c r="C66" s="332" t="s">
        <v>2170</v>
      </c>
      <c r="D66" s="399">
        <v>1</v>
      </c>
      <c r="E66" s="332" t="s">
        <v>2059</v>
      </c>
      <c r="F66" s="427" t="s">
        <v>2059</v>
      </c>
      <c r="G66" s="220">
        <v>0</v>
      </c>
      <c r="H66" s="220">
        <v>0</v>
      </c>
      <c r="I66" s="220">
        <v>0</v>
      </c>
      <c r="J66" s="220">
        <v>0</v>
      </c>
      <c r="K66" s="220">
        <v>0</v>
      </c>
      <c r="L66" s="220">
        <v>0</v>
      </c>
      <c r="M66" s="220">
        <v>0</v>
      </c>
      <c r="N66" s="220">
        <v>0</v>
      </c>
      <c r="O66" s="220">
        <v>0</v>
      </c>
      <c r="P66" s="220">
        <v>0</v>
      </c>
      <c r="Q66" s="220">
        <v>0</v>
      </c>
      <c r="R66" s="220">
        <v>0</v>
      </c>
      <c r="S66" s="428">
        <v>0</v>
      </c>
      <c r="T66" s="220">
        <v>0</v>
      </c>
      <c r="U66" s="220">
        <v>0</v>
      </c>
      <c r="V66" s="220">
        <v>0</v>
      </c>
      <c r="W66" s="220">
        <v>0</v>
      </c>
      <c r="X66" s="220">
        <v>0</v>
      </c>
      <c r="Y66" s="220">
        <v>0</v>
      </c>
      <c r="Z66" s="220">
        <v>0</v>
      </c>
      <c r="AA66" s="220">
        <v>0</v>
      </c>
      <c r="AB66" s="220">
        <v>0</v>
      </c>
      <c r="AC66" s="220">
        <v>0</v>
      </c>
      <c r="AD66" s="231">
        <v>0</v>
      </c>
      <c r="AE66" s="428">
        <v>0</v>
      </c>
      <c r="AF66" s="220">
        <v>0</v>
      </c>
      <c r="AG66" s="220">
        <v>0</v>
      </c>
      <c r="AH66" s="220">
        <v>0</v>
      </c>
      <c r="AI66" s="220">
        <v>0</v>
      </c>
      <c r="AJ66" s="220">
        <v>0</v>
      </c>
      <c r="AK66" s="220">
        <v>0</v>
      </c>
      <c r="AL66" s="220">
        <v>0</v>
      </c>
      <c r="AM66" s="220">
        <v>5</v>
      </c>
      <c r="AN66" s="220">
        <v>12</v>
      </c>
      <c r="AO66" s="220">
        <v>12</v>
      </c>
      <c r="AP66" s="231">
        <v>9</v>
      </c>
      <c r="AQ66" s="429"/>
      <c r="AR66" s="221">
        <f t="shared" si="106"/>
        <v>0</v>
      </c>
      <c r="AS66" s="221">
        <f t="shared" si="107"/>
        <v>38</v>
      </c>
    </row>
    <row r="67" spans="2:45" ht="15.75" customHeight="1">
      <c r="B67" s="227" t="s">
        <v>2096</v>
      </c>
      <c r="C67" s="332" t="s">
        <v>2087</v>
      </c>
      <c r="D67" s="399">
        <v>1</v>
      </c>
      <c r="E67" s="332" t="s">
        <v>2059</v>
      </c>
      <c r="F67" s="427" t="s">
        <v>2059</v>
      </c>
      <c r="G67" s="220">
        <v>7</v>
      </c>
      <c r="H67" s="220">
        <v>8</v>
      </c>
      <c r="I67" s="220">
        <v>5</v>
      </c>
      <c r="J67" s="220">
        <v>7</v>
      </c>
      <c r="K67" s="220">
        <v>1</v>
      </c>
      <c r="L67" s="220">
        <v>6</v>
      </c>
      <c r="M67" s="220">
        <v>5</v>
      </c>
      <c r="N67" s="220">
        <v>4</v>
      </c>
      <c r="O67" s="220">
        <v>5</v>
      </c>
      <c r="P67" s="220">
        <v>11</v>
      </c>
      <c r="Q67" s="220">
        <v>9</v>
      </c>
      <c r="R67" s="220">
        <v>6</v>
      </c>
      <c r="S67" s="428">
        <v>7</v>
      </c>
      <c r="T67" s="220">
        <v>7</v>
      </c>
      <c r="U67" s="220">
        <v>8</v>
      </c>
      <c r="V67" s="220">
        <v>9</v>
      </c>
      <c r="W67" s="220">
        <v>5</v>
      </c>
      <c r="X67" s="220">
        <v>7</v>
      </c>
      <c r="Y67" s="220">
        <v>5</v>
      </c>
      <c r="Z67" s="220">
        <v>7</v>
      </c>
      <c r="AA67" s="220">
        <v>4</v>
      </c>
      <c r="AB67" s="220">
        <v>8</v>
      </c>
      <c r="AC67" s="220">
        <v>10</v>
      </c>
      <c r="AD67" s="231">
        <v>6</v>
      </c>
      <c r="AE67" s="428">
        <v>6</v>
      </c>
      <c r="AF67" s="220">
        <v>4</v>
      </c>
      <c r="AG67" s="220">
        <v>6</v>
      </c>
      <c r="AH67" s="220">
        <v>5</v>
      </c>
      <c r="AI67" s="220">
        <v>7</v>
      </c>
      <c r="AJ67" s="220">
        <v>6</v>
      </c>
      <c r="AK67" s="220">
        <v>4</v>
      </c>
      <c r="AL67" s="220">
        <v>8</v>
      </c>
      <c r="AM67" s="220">
        <v>3</v>
      </c>
      <c r="AN67" s="220">
        <v>9</v>
      </c>
      <c r="AO67" s="220">
        <v>5</v>
      </c>
      <c r="AP67" s="231">
        <v>4</v>
      </c>
      <c r="AQ67" s="429"/>
      <c r="AR67" s="221">
        <f t="shared" si="106"/>
        <v>83</v>
      </c>
      <c r="AS67" s="221">
        <f t="shared" si="107"/>
        <v>67</v>
      </c>
    </row>
    <row r="68" spans="2:45" ht="15.75" customHeight="1">
      <c r="B68" s="227" t="s">
        <v>2096</v>
      </c>
      <c r="C68" s="332" t="s">
        <v>2088</v>
      </c>
      <c r="D68" s="399">
        <v>1</v>
      </c>
      <c r="E68" s="332" t="s">
        <v>2059</v>
      </c>
      <c r="F68" s="427" t="s">
        <v>2059</v>
      </c>
      <c r="G68" s="220">
        <v>12</v>
      </c>
      <c r="H68" s="220">
        <v>8</v>
      </c>
      <c r="I68" s="220">
        <v>12</v>
      </c>
      <c r="J68" s="220">
        <v>12</v>
      </c>
      <c r="K68" s="220">
        <v>11</v>
      </c>
      <c r="L68" s="220">
        <v>10</v>
      </c>
      <c r="M68" s="220">
        <v>12</v>
      </c>
      <c r="N68" s="220">
        <v>5</v>
      </c>
      <c r="O68" s="220">
        <v>9</v>
      </c>
      <c r="P68" s="220">
        <v>9</v>
      </c>
      <c r="Q68" s="220">
        <v>8</v>
      </c>
      <c r="R68" s="220">
        <v>9</v>
      </c>
      <c r="S68" s="428">
        <v>3</v>
      </c>
      <c r="T68" s="220">
        <v>6</v>
      </c>
      <c r="U68" s="220">
        <v>8</v>
      </c>
      <c r="V68" s="220">
        <v>9</v>
      </c>
      <c r="W68" s="220">
        <v>7</v>
      </c>
      <c r="X68" s="220">
        <v>5</v>
      </c>
      <c r="Y68" s="220">
        <v>6</v>
      </c>
      <c r="Z68" s="220">
        <v>7</v>
      </c>
      <c r="AA68" s="220">
        <v>3</v>
      </c>
      <c r="AB68" s="220">
        <v>14</v>
      </c>
      <c r="AC68" s="220">
        <v>8</v>
      </c>
      <c r="AD68" s="231">
        <v>7</v>
      </c>
      <c r="AE68" s="428">
        <v>7</v>
      </c>
      <c r="AF68" s="220">
        <v>4</v>
      </c>
      <c r="AG68" s="220">
        <v>9</v>
      </c>
      <c r="AH68" s="220">
        <v>7</v>
      </c>
      <c r="AI68" s="220">
        <v>7</v>
      </c>
      <c r="AJ68" s="220">
        <v>5</v>
      </c>
      <c r="AK68" s="220">
        <v>4</v>
      </c>
      <c r="AL68" s="220">
        <v>9</v>
      </c>
      <c r="AM68" s="220">
        <v>3</v>
      </c>
      <c r="AN68" s="220">
        <v>11</v>
      </c>
      <c r="AO68" s="220">
        <v>10</v>
      </c>
      <c r="AP68" s="231">
        <v>7</v>
      </c>
      <c r="AQ68" s="429"/>
      <c r="AR68" s="221">
        <f t="shared" si="106"/>
        <v>83</v>
      </c>
      <c r="AS68" s="221">
        <f t="shared" si="107"/>
        <v>83</v>
      </c>
    </row>
    <row r="69" spans="2:45" ht="15.75" customHeight="1">
      <c r="B69" s="227" t="s">
        <v>2096</v>
      </c>
      <c r="C69" s="332" t="s">
        <v>2089</v>
      </c>
      <c r="D69" s="399">
        <v>2</v>
      </c>
      <c r="E69" s="332" t="s">
        <v>2059</v>
      </c>
      <c r="F69" s="427" t="s">
        <v>2059</v>
      </c>
      <c r="G69" s="220">
        <v>0</v>
      </c>
      <c r="H69" s="220">
        <v>0</v>
      </c>
      <c r="I69" s="220">
        <v>0</v>
      </c>
      <c r="J69" s="220">
        <v>0</v>
      </c>
      <c r="K69" s="220">
        <v>0</v>
      </c>
      <c r="L69" s="220">
        <v>0</v>
      </c>
      <c r="M69" s="220">
        <v>0</v>
      </c>
      <c r="N69" s="220">
        <v>0</v>
      </c>
      <c r="O69" s="220">
        <v>2</v>
      </c>
      <c r="P69" s="220">
        <v>4</v>
      </c>
      <c r="Q69" s="220">
        <v>9</v>
      </c>
      <c r="R69" s="220">
        <v>5</v>
      </c>
      <c r="S69" s="428">
        <v>5</v>
      </c>
      <c r="T69" s="220">
        <v>4</v>
      </c>
      <c r="U69" s="220">
        <v>5</v>
      </c>
      <c r="V69" s="220">
        <v>5</v>
      </c>
      <c r="W69" s="220">
        <v>1</v>
      </c>
      <c r="X69" s="220">
        <v>4</v>
      </c>
      <c r="Y69" s="220">
        <v>2</v>
      </c>
      <c r="Z69" s="220">
        <v>1</v>
      </c>
      <c r="AA69" s="220">
        <v>1</v>
      </c>
      <c r="AB69" s="220">
        <v>8</v>
      </c>
      <c r="AC69" s="220">
        <v>7</v>
      </c>
      <c r="AD69" s="231">
        <v>5</v>
      </c>
      <c r="AE69" s="428">
        <v>2</v>
      </c>
      <c r="AF69" s="220">
        <v>4</v>
      </c>
      <c r="AG69" s="220">
        <v>6</v>
      </c>
      <c r="AH69" s="220">
        <v>8</v>
      </c>
      <c r="AI69" s="220">
        <v>8</v>
      </c>
      <c r="AJ69" s="220">
        <v>4</v>
      </c>
      <c r="AK69" s="220">
        <v>4</v>
      </c>
      <c r="AL69" s="220">
        <v>6</v>
      </c>
      <c r="AM69" s="220">
        <v>7</v>
      </c>
      <c r="AN69" s="220">
        <v>8</v>
      </c>
      <c r="AO69" s="220">
        <v>12</v>
      </c>
      <c r="AP69" s="231">
        <v>9</v>
      </c>
      <c r="AQ69" s="429"/>
      <c r="AR69" s="221">
        <f t="shared" si="106"/>
        <v>48</v>
      </c>
      <c r="AS69" s="221">
        <f t="shared" si="107"/>
        <v>78</v>
      </c>
    </row>
    <row r="70" spans="2:45" ht="15.75" customHeight="1">
      <c r="B70" s="227" t="s">
        <v>2096</v>
      </c>
      <c r="C70" s="332" t="s">
        <v>2090</v>
      </c>
      <c r="D70" s="399">
        <v>2</v>
      </c>
      <c r="E70" s="332" t="s">
        <v>2059</v>
      </c>
      <c r="F70" s="427" t="s">
        <v>2059</v>
      </c>
      <c r="G70" s="220">
        <v>16</v>
      </c>
      <c r="H70" s="220">
        <v>13</v>
      </c>
      <c r="I70" s="220">
        <v>22</v>
      </c>
      <c r="J70" s="220">
        <v>17</v>
      </c>
      <c r="K70" s="220">
        <v>14</v>
      </c>
      <c r="L70" s="220">
        <v>6</v>
      </c>
      <c r="M70" s="220">
        <v>20</v>
      </c>
      <c r="N70" s="220">
        <v>11</v>
      </c>
      <c r="O70" s="220">
        <v>16</v>
      </c>
      <c r="P70" s="220">
        <v>21</v>
      </c>
      <c r="Q70" s="220">
        <v>18</v>
      </c>
      <c r="R70" s="220">
        <v>24</v>
      </c>
      <c r="S70" s="428">
        <v>15</v>
      </c>
      <c r="T70" s="220">
        <v>19</v>
      </c>
      <c r="U70" s="220">
        <v>20</v>
      </c>
      <c r="V70" s="220">
        <v>21</v>
      </c>
      <c r="W70" s="220">
        <v>14</v>
      </c>
      <c r="X70" s="220">
        <v>10</v>
      </c>
      <c r="Y70" s="220">
        <v>9</v>
      </c>
      <c r="Z70" s="220">
        <v>9</v>
      </c>
      <c r="AA70" s="220">
        <v>15</v>
      </c>
      <c r="AB70" s="220">
        <v>28</v>
      </c>
      <c r="AC70" s="220">
        <v>25</v>
      </c>
      <c r="AD70" s="231">
        <v>14</v>
      </c>
      <c r="AE70" s="428">
        <v>9</v>
      </c>
      <c r="AF70" s="220">
        <v>14</v>
      </c>
      <c r="AG70" s="220">
        <v>17</v>
      </c>
      <c r="AH70" s="220">
        <v>13</v>
      </c>
      <c r="AI70" s="220">
        <v>18</v>
      </c>
      <c r="AJ70" s="220">
        <v>20</v>
      </c>
      <c r="AK70" s="220">
        <v>12</v>
      </c>
      <c r="AL70" s="220">
        <v>14</v>
      </c>
      <c r="AM70" s="220">
        <v>16</v>
      </c>
      <c r="AN70" s="220">
        <v>21</v>
      </c>
      <c r="AO70" s="220">
        <v>26</v>
      </c>
      <c r="AP70" s="231">
        <v>15</v>
      </c>
      <c r="AQ70" s="429"/>
      <c r="AR70" s="221">
        <f t="shared" si="106"/>
        <v>199</v>
      </c>
      <c r="AS70" s="221">
        <f t="shared" si="107"/>
        <v>195</v>
      </c>
    </row>
    <row r="71" spans="2:45" ht="15.75" customHeight="1">
      <c r="B71" s="227" t="s">
        <v>2096</v>
      </c>
      <c r="C71" s="332" t="s">
        <v>2091</v>
      </c>
      <c r="D71" s="399">
        <v>1</v>
      </c>
      <c r="E71" s="332" t="s">
        <v>2059</v>
      </c>
      <c r="F71" s="427" t="s">
        <v>2059</v>
      </c>
      <c r="G71" s="220">
        <v>0</v>
      </c>
      <c r="H71" s="220">
        <v>0</v>
      </c>
      <c r="I71" s="220">
        <v>0</v>
      </c>
      <c r="J71" s="220">
        <v>0</v>
      </c>
      <c r="K71" s="220">
        <v>0</v>
      </c>
      <c r="L71" s="220">
        <v>0</v>
      </c>
      <c r="M71" s="220">
        <v>0</v>
      </c>
      <c r="N71" s="220">
        <v>0</v>
      </c>
      <c r="O71" s="220">
        <v>0</v>
      </c>
      <c r="P71" s="220">
        <v>0</v>
      </c>
      <c r="Q71" s="220">
        <v>0</v>
      </c>
      <c r="R71" s="220">
        <v>0</v>
      </c>
      <c r="S71" s="428">
        <v>0</v>
      </c>
      <c r="T71" s="220">
        <v>0</v>
      </c>
      <c r="U71" s="220">
        <v>0</v>
      </c>
      <c r="V71" s="220">
        <v>0</v>
      </c>
      <c r="W71" s="220">
        <v>0</v>
      </c>
      <c r="X71" s="220">
        <v>0</v>
      </c>
      <c r="Y71" s="220">
        <v>0</v>
      </c>
      <c r="Z71" s="220">
        <v>0</v>
      </c>
      <c r="AA71" s="220">
        <v>0</v>
      </c>
      <c r="AB71" s="220">
        <v>0</v>
      </c>
      <c r="AC71" s="220">
        <v>0</v>
      </c>
      <c r="AD71" s="231">
        <v>0</v>
      </c>
      <c r="AE71" s="428">
        <v>1</v>
      </c>
      <c r="AF71" s="220">
        <v>1</v>
      </c>
      <c r="AG71" s="220">
        <v>3</v>
      </c>
      <c r="AH71" s="220">
        <v>5</v>
      </c>
      <c r="AI71" s="220">
        <v>4</v>
      </c>
      <c r="AJ71" s="220">
        <v>4</v>
      </c>
      <c r="AK71" s="220">
        <v>0</v>
      </c>
      <c r="AL71" s="220">
        <v>0</v>
      </c>
      <c r="AM71" s="220">
        <v>8</v>
      </c>
      <c r="AN71" s="220">
        <v>5</v>
      </c>
      <c r="AO71" s="220">
        <v>5</v>
      </c>
      <c r="AP71" s="231">
        <v>3</v>
      </c>
      <c r="AQ71" s="429"/>
      <c r="AR71" s="221">
        <f t="shared" si="106"/>
        <v>0</v>
      </c>
      <c r="AS71" s="221">
        <f t="shared" si="107"/>
        <v>39</v>
      </c>
    </row>
    <row r="72" spans="2:45" ht="15.75" customHeight="1">
      <c r="B72" s="227" t="s">
        <v>2096</v>
      </c>
      <c r="C72" s="332" t="s">
        <v>2092</v>
      </c>
      <c r="D72" s="399">
        <v>1</v>
      </c>
      <c r="E72" s="332" t="s">
        <v>2060</v>
      </c>
      <c r="F72" s="427" t="s">
        <v>2060</v>
      </c>
      <c r="G72" s="220">
        <v>9</v>
      </c>
      <c r="H72" s="220">
        <v>19</v>
      </c>
      <c r="I72" s="220">
        <v>23</v>
      </c>
      <c r="J72" s="220">
        <v>23</v>
      </c>
      <c r="K72" s="220">
        <v>20</v>
      </c>
      <c r="L72" s="220">
        <v>25</v>
      </c>
      <c r="M72" s="220">
        <v>27</v>
      </c>
      <c r="N72" s="220">
        <v>19</v>
      </c>
      <c r="O72" s="220">
        <v>31</v>
      </c>
      <c r="P72" s="220">
        <v>34</v>
      </c>
      <c r="Q72" s="220">
        <v>27</v>
      </c>
      <c r="R72" s="220">
        <v>25</v>
      </c>
      <c r="S72" s="428">
        <v>14</v>
      </c>
      <c r="T72" s="220">
        <v>16</v>
      </c>
      <c r="U72" s="220">
        <v>21</v>
      </c>
      <c r="V72" s="220">
        <v>20</v>
      </c>
      <c r="W72" s="220">
        <v>24</v>
      </c>
      <c r="X72" s="220">
        <v>22</v>
      </c>
      <c r="Y72" s="220">
        <v>20</v>
      </c>
      <c r="Z72" s="220">
        <v>23</v>
      </c>
      <c r="AA72" s="220">
        <v>25</v>
      </c>
      <c r="AB72" s="220">
        <v>28</v>
      </c>
      <c r="AC72" s="220">
        <v>25</v>
      </c>
      <c r="AD72" s="231">
        <v>21</v>
      </c>
      <c r="AE72" s="428">
        <v>12</v>
      </c>
      <c r="AF72" s="220">
        <v>11</v>
      </c>
      <c r="AG72" s="220">
        <v>18</v>
      </c>
      <c r="AH72" s="220">
        <v>19</v>
      </c>
      <c r="AI72" s="220">
        <v>28</v>
      </c>
      <c r="AJ72" s="220">
        <v>29</v>
      </c>
      <c r="AK72" s="220">
        <v>16</v>
      </c>
      <c r="AL72" s="220">
        <v>21</v>
      </c>
      <c r="AM72" s="220">
        <v>21</v>
      </c>
      <c r="AN72" s="220">
        <v>27</v>
      </c>
      <c r="AO72" s="220">
        <v>26</v>
      </c>
      <c r="AP72" s="231">
        <v>17</v>
      </c>
      <c r="AQ72" s="429"/>
      <c r="AR72" s="221">
        <f t="shared" si="106"/>
        <v>259</v>
      </c>
      <c r="AS72" s="221">
        <f t="shared" si="107"/>
        <v>245</v>
      </c>
    </row>
    <row r="73" spans="2:45" ht="15.75" customHeight="1">
      <c r="B73" s="431" t="s">
        <v>2096</v>
      </c>
      <c r="C73" s="432" t="s">
        <v>2093</v>
      </c>
      <c r="D73" s="433">
        <v>1</v>
      </c>
      <c r="E73" s="434" t="s">
        <v>204</v>
      </c>
      <c r="F73" s="435" t="s">
        <v>2349</v>
      </c>
      <c r="G73" s="436">
        <v>0</v>
      </c>
      <c r="H73" s="436">
        <v>0</v>
      </c>
      <c r="I73" s="436">
        <v>0</v>
      </c>
      <c r="J73" s="436">
        <v>0</v>
      </c>
      <c r="K73" s="436">
        <v>0</v>
      </c>
      <c r="L73" s="436">
        <v>0</v>
      </c>
      <c r="M73" s="436">
        <v>0</v>
      </c>
      <c r="N73" s="436">
        <v>0</v>
      </c>
      <c r="O73" s="436">
        <v>0</v>
      </c>
      <c r="P73" s="436">
        <v>0</v>
      </c>
      <c r="Q73" s="436">
        <v>0</v>
      </c>
      <c r="R73" s="436">
        <v>0</v>
      </c>
      <c r="S73" s="437">
        <v>0</v>
      </c>
      <c r="T73" s="436">
        <v>0</v>
      </c>
      <c r="U73" s="436">
        <v>0</v>
      </c>
      <c r="V73" s="436">
        <v>0</v>
      </c>
      <c r="W73" s="436">
        <v>0</v>
      </c>
      <c r="X73" s="436">
        <v>0</v>
      </c>
      <c r="Y73" s="436">
        <v>0</v>
      </c>
      <c r="Z73" s="436">
        <v>0</v>
      </c>
      <c r="AA73" s="436">
        <v>0</v>
      </c>
      <c r="AB73" s="436">
        <v>0</v>
      </c>
      <c r="AC73" s="436">
        <v>0</v>
      </c>
      <c r="AD73" s="438">
        <v>0</v>
      </c>
      <c r="AE73" s="437">
        <v>0</v>
      </c>
      <c r="AF73" s="436">
        <v>0</v>
      </c>
      <c r="AG73" s="436">
        <v>0</v>
      </c>
      <c r="AH73" s="436">
        <v>6</v>
      </c>
      <c r="AI73" s="436">
        <v>14</v>
      </c>
      <c r="AJ73" s="436">
        <v>7</v>
      </c>
      <c r="AK73" s="436">
        <v>4</v>
      </c>
      <c r="AL73" s="436">
        <v>2</v>
      </c>
      <c r="AM73" s="436">
        <v>6</v>
      </c>
      <c r="AN73" s="436">
        <v>13</v>
      </c>
      <c r="AO73" s="436">
        <v>14</v>
      </c>
      <c r="AP73" s="438">
        <v>7</v>
      </c>
      <c r="AQ73" s="429"/>
      <c r="AR73" s="221">
        <f t="shared" si="106"/>
        <v>0</v>
      </c>
      <c r="AS73" s="221">
        <f t="shared" si="107"/>
        <v>73</v>
      </c>
    </row>
    <row r="74" spans="2:45" ht="15.75" customHeight="1">
      <c r="B74" s="227" t="s">
        <v>2350</v>
      </c>
      <c r="C74" s="332" t="s">
        <v>2061</v>
      </c>
      <c r="D74" s="399">
        <v>1</v>
      </c>
      <c r="E74" s="332" t="s">
        <v>204</v>
      </c>
      <c r="F74" s="427" t="s">
        <v>2347</v>
      </c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428">
        <v>3</v>
      </c>
      <c r="T74" s="220">
        <v>2</v>
      </c>
      <c r="U74" s="220">
        <v>3</v>
      </c>
      <c r="V74" s="220">
        <v>7</v>
      </c>
      <c r="W74" s="220">
        <v>8</v>
      </c>
      <c r="X74" s="220">
        <v>5</v>
      </c>
      <c r="Y74" s="220">
        <v>4</v>
      </c>
      <c r="Z74" s="220">
        <v>4</v>
      </c>
      <c r="AA74" s="220">
        <v>3</v>
      </c>
      <c r="AB74" s="220">
        <v>5</v>
      </c>
      <c r="AC74" s="220">
        <v>9</v>
      </c>
      <c r="AD74" s="231">
        <v>5</v>
      </c>
      <c r="AE74" s="428">
        <v>4</v>
      </c>
      <c r="AF74" s="220">
        <v>1</v>
      </c>
      <c r="AG74" s="220">
        <v>6</v>
      </c>
      <c r="AH74" s="220">
        <v>3</v>
      </c>
      <c r="AI74" s="220">
        <v>4</v>
      </c>
      <c r="AJ74" s="220">
        <v>1</v>
      </c>
      <c r="AK74" s="220">
        <v>2</v>
      </c>
      <c r="AL74" s="220">
        <v>2</v>
      </c>
      <c r="AM74" s="220">
        <v>1</v>
      </c>
      <c r="AN74" s="220">
        <v>8</v>
      </c>
      <c r="AO74" s="220">
        <v>8</v>
      </c>
      <c r="AP74" s="231">
        <v>3</v>
      </c>
      <c r="AQ74" s="430"/>
      <c r="AR74" s="221">
        <f t="shared" si="106"/>
        <v>58</v>
      </c>
      <c r="AS74" s="221">
        <f t="shared" si="107"/>
        <v>43</v>
      </c>
    </row>
    <row r="75" spans="2:45" ht="15.75" customHeight="1">
      <c r="B75" s="227" t="s">
        <v>2350</v>
      </c>
      <c r="C75" s="332" t="s">
        <v>2062</v>
      </c>
      <c r="D75" s="399">
        <v>2</v>
      </c>
      <c r="E75" s="332" t="s">
        <v>204</v>
      </c>
      <c r="F75" s="427" t="s">
        <v>2347</v>
      </c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428">
        <v>1</v>
      </c>
      <c r="T75" s="220">
        <v>4</v>
      </c>
      <c r="U75" s="220">
        <v>6</v>
      </c>
      <c r="V75" s="220">
        <v>7</v>
      </c>
      <c r="W75" s="220">
        <v>7</v>
      </c>
      <c r="X75" s="220">
        <v>5</v>
      </c>
      <c r="Y75" s="220">
        <v>6</v>
      </c>
      <c r="Z75" s="220">
        <v>5</v>
      </c>
      <c r="AA75" s="220">
        <v>10</v>
      </c>
      <c r="AB75" s="220">
        <v>9</v>
      </c>
      <c r="AC75" s="220">
        <v>7</v>
      </c>
      <c r="AD75" s="231">
        <v>7</v>
      </c>
      <c r="AE75" s="428">
        <v>6</v>
      </c>
      <c r="AF75" s="220">
        <v>2</v>
      </c>
      <c r="AG75" s="220">
        <v>2</v>
      </c>
      <c r="AH75" s="220">
        <v>4</v>
      </c>
      <c r="AI75" s="220">
        <v>4</v>
      </c>
      <c r="AJ75" s="220">
        <v>4</v>
      </c>
      <c r="AK75" s="220">
        <v>4</v>
      </c>
      <c r="AL75" s="220">
        <v>4</v>
      </c>
      <c r="AM75" s="220">
        <v>4</v>
      </c>
      <c r="AN75" s="220">
        <v>11</v>
      </c>
      <c r="AO75" s="220">
        <v>9</v>
      </c>
      <c r="AP75" s="231">
        <v>2</v>
      </c>
      <c r="AQ75" s="430"/>
      <c r="AR75" s="221">
        <f t="shared" si="106"/>
        <v>74</v>
      </c>
      <c r="AS75" s="221">
        <f t="shared" si="107"/>
        <v>56</v>
      </c>
    </row>
    <row r="76" spans="2:45" ht="15.75" customHeight="1">
      <c r="B76" s="227" t="s">
        <v>2350</v>
      </c>
      <c r="C76" s="332" t="s">
        <v>2063</v>
      </c>
      <c r="D76" s="399">
        <v>2</v>
      </c>
      <c r="E76" s="332" t="s">
        <v>204</v>
      </c>
      <c r="F76" s="427" t="s">
        <v>2347</v>
      </c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428">
        <v>2</v>
      </c>
      <c r="T76" s="220">
        <v>5</v>
      </c>
      <c r="U76" s="220">
        <v>5</v>
      </c>
      <c r="V76" s="220">
        <v>9</v>
      </c>
      <c r="W76" s="220">
        <v>6</v>
      </c>
      <c r="X76" s="220">
        <v>13</v>
      </c>
      <c r="Y76" s="220">
        <v>7</v>
      </c>
      <c r="Z76" s="220">
        <v>2</v>
      </c>
      <c r="AA76" s="220">
        <v>4</v>
      </c>
      <c r="AB76" s="220">
        <v>13</v>
      </c>
      <c r="AC76" s="220">
        <v>9</v>
      </c>
      <c r="AD76" s="231">
        <v>7</v>
      </c>
      <c r="AE76" s="428">
        <v>4</v>
      </c>
      <c r="AF76" s="220">
        <v>2</v>
      </c>
      <c r="AG76" s="220">
        <v>3</v>
      </c>
      <c r="AH76" s="220">
        <v>5</v>
      </c>
      <c r="AI76" s="220">
        <v>14</v>
      </c>
      <c r="AJ76" s="220">
        <v>8</v>
      </c>
      <c r="AK76" s="220">
        <v>1</v>
      </c>
      <c r="AL76" s="220">
        <v>5</v>
      </c>
      <c r="AM76" s="220">
        <v>3</v>
      </c>
      <c r="AN76" s="220">
        <v>12</v>
      </c>
      <c r="AO76" s="220">
        <v>8</v>
      </c>
      <c r="AP76" s="231">
        <v>6</v>
      </c>
      <c r="AQ76" s="430"/>
      <c r="AR76" s="221">
        <f t="shared" si="106"/>
        <v>82</v>
      </c>
      <c r="AS76" s="221">
        <f t="shared" si="107"/>
        <v>71</v>
      </c>
    </row>
    <row r="77" spans="2:45" ht="15.75" customHeight="1">
      <c r="B77" s="227" t="s">
        <v>2350</v>
      </c>
      <c r="C77" s="332" t="s">
        <v>2064</v>
      </c>
      <c r="D77" s="399">
        <v>1</v>
      </c>
      <c r="E77" s="332" t="s">
        <v>204</v>
      </c>
      <c r="F77" s="427" t="s">
        <v>2347</v>
      </c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428">
        <v>6</v>
      </c>
      <c r="T77" s="220">
        <v>7</v>
      </c>
      <c r="U77" s="220">
        <v>13</v>
      </c>
      <c r="V77" s="220">
        <v>6</v>
      </c>
      <c r="W77" s="220">
        <v>12</v>
      </c>
      <c r="X77" s="220">
        <v>14</v>
      </c>
      <c r="Y77" s="220">
        <v>5</v>
      </c>
      <c r="Z77" s="220">
        <v>11</v>
      </c>
      <c r="AA77" s="220">
        <v>7</v>
      </c>
      <c r="AB77" s="220">
        <v>12</v>
      </c>
      <c r="AC77" s="220">
        <v>12</v>
      </c>
      <c r="AD77" s="231">
        <v>7</v>
      </c>
      <c r="AE77" s="428">
        <v>9</v>
      </c>
      <c r="AF77" s="220">
        <v>8</v>
      </c>
      <c r="AG77" s="220">
        <v>14</v>
      </c>
      <c r="AH77" s="220">
        <v>8</v>
      </c>
      <c r="AI77" s="220">
        <v>13</v>
      </c>
      <c r="AJ77" s="220">
        <v>13</v>
      </c>
      <c r="AK77" s="220">
        <v>5</v>
      </c>
      <c r="AL77" s="220">
        <v>8</v>
      </c>
      <c r="AM77" s="220">
        <v>6</v>
      </c>
      <c r="AN77" s="220">
        <v>13</v>
      </c>
      <c r="AO77" s="220">
        <v>15</v>
      </c>
      <c r="AP77" s="231">
        <v>7</v>
      </c>
      <c r="AQ77" s="430"/>
      <c r="AR77" s="221">
        <f t="shared" si="106"/>
        <v>112</v>
      </c>
      <c r="AS77" s="221">
        <f t="shared" si="107"/>
        <v>119</v>
      </c>
    </row>
    <row r="78" spans="2:45" ht="15.75" customHeight="1">
      <c r="B78" s="227" t="s">
        <v>2350</v>
      </c>
      <c r="C78" s="332" t="s">
        <v>2065</v>
      </c>
      <c r="D78" s="399">
        <v>1</v>
      </c>
      <c r="E78" s="332" t="s">
        <v>204</v>
      </c>
      <c r="F78" s="427" t="s">
        <v>2347</v>
      </c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428">
        <v>4</v>
      </c>
      <c r="T78" s="220">
        <v>4</v>
      </c>
      <c r="U78" s="220">
        <v>3</v>
      </c>
      <c r="V78" s="220">
        <v>6</v>
      </c>
      <c r="W78" s="220">
        <v>2</v>
      </c>
      <c r="X78" s="220">
        <v>3</v>
      </c>
      <c r="Y78" s="220">
        <v>4</v>
      </c>
      <c r="Z78" s="220">
        <v>2</v>
      </c>
      <c r="AA78" s="220">
        <v>3</v>
      </c>
      <c r="AB78" s="220">
        <v>7</v>
      </c>
      <c r="AC78" s="220">
        <v>6</v>
      </c>
      <c r="AD78" s="231">
        <v>4</v>
      </c>
      <c r="AE78" s="428">
        <v>2</v>
      </c>
      <c r="AF78" s="220">
        <v>2</v>
      </c>
      <c r="AG78" s="220">
        <v>1</v>
      </c>
      <c r="AH78" s="220">
        <v>6</v>
      </c>
      <c r="AI78" s="220">
        <v>4</v>
      </c>
      <c r="AJ78" s="220">
        <v>4</v>
      </c>
      <c r="AK78" s="220">
        <v>0</v>
      </c>
      <c r="AL78" s="220">
        <v>3</v>
      </c>
      <c r="AM78" s="220">
        <v>0</v>
      </c>
      <c r="AN78" s="220">
        <v>4</v>
      </c>
      <c r="AO78" s="220">
        <v>4</v>
      </c>
      <c r="AP78" s="231">
        <v>3</v>
      </c>
      <c r="AQ78" s="430"/>
      <c r="AR78" s="221">
        <f t="shared" si="106"/>
        <v>48</v>
      </c>
      <c r="AS78" s="221">
        <f t="shared" si="107"/>
        <v>33</v>
      </c>
    </row>
    <row r="79" spans="2:45" ht="15.75" customHeight="1">
      <c r="B79" s="227" t="s">
        <v>2350</v>
      </c>
      <c r="C79" s="332" t="s">
        <v>2066</v>
      </c>
      <c r="D79" s="399">
        <v>1</v>
      </c>
      <c r="E79" s="332" t="s">
        <v>204</v>
      </c>
      <c r="F79" s="427" t="s">
        <v>2348</v>
      </c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428">
        <v>7</v>
      </c>
      <c r="T79" s="220">
        <v>6</v>
      </c>
      <c r="U79" s="220">
        <v>11</v>
      </c>
      <c r="V79" s="220">
        <v>9</v>
      </c>
      <c r="W79" s="220">
        <v>11</v>
      </c>
      <c r="X79" s="220">
        <v>18</v>
      </c>
      <c r="Y79" s="220">
        <v>15</v>
      </c>
      <c r="Z79" s="220">
        <v>11</v>
      </c>
      <c r="AA79" s="220">
        <v>11</v>
      </c>
      <c r="AB79" s="220">
        <v>14</v>
      </c>
      <c r="AC79" s="220">
        <v>12</v>
      </c>
      <c r="AD79" s="231">
        <v>4</v>
      </c>
      <c r="AE79" s="428">
        <v>6</v>
      </c>
      <c r="AF79" s="220">
        <v>9</v>
      </c>
      <c r="AG79" s="220">
        <v>7</v>
      </c>
      <c r="AH79" s="220">
        <v>9</v>
      </c>
      <c r="AI79" s="220">
        <v>14</v>
      </c>
      <c r="AJ79" s="220">
        <v>14</v>
      </c>
      <c r="AK79" s="220">
        <v>10</v>
      </c>
      <c r="AL79" s="220">
        <v>11</v>
      </c>
      <c r="AM79" s="220">
        <v>14</v>
      </c>
      <c r="AN79" s="220">
        <v>12</v>
      </c>
      <c r="AO79" s="220">
        <v>10</v>
      </c>
      <c r="AP79" s="231">
        <v>9</v>
      </c>
      <c r="AQ79" s="430"/>
      <c r="AR79" s="221">
        <f t="shared" si="106"/>
        <v>129</v>
      </c>
      <c r="AS79" s="221">
        <f t="shared" si="107"/>
        <v>125</v>
      </c>
    </row>
    <row r="80" spans="2:45" ht="15.75" customHeight="1">
      <c r="B80" s="227" t="s">
        <v>2350</v>
      </c>
      <c r="C80" s="332" t="s">
        <v>2067</v>
      </c>
      <c r="D80" s="399">
        <v>1</v>
      </c>
      <c r="E80" s="332" t="s">
        <v>204</v>
      </c>
      <c r="F80" s="427" t="s">
        <v>2348</v>
      </c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428">
        <v>1</v>
      </c>
      <c r="T80" s="220">
        <v>2</v>
      </c>
      <c r="U80" s="220">
        <v>1</v>
      </c>
      <c r="V80" s="220">
        <v>4</v>
      </c>
      <c r="W80" s="220">
        <v>1</v>
      </c>
      <c r="X80" s="220">
        <v>2</v>
      </c>
      <c r="Y80" s="220">
        <v>3</v>
      </c>
      <c r="Z80" s="220">
        <v>6</v>
      </c>
      <c r="AA80" s="220">
        <v>4</v>
      </c>
      <c r="AB80" s="220">
        <v>11</v>
      </c>
      <c r="AC80" s="220">
        <v>8</v>
      </c>
      <c r="AD80" s="231">
        <v>3</v>
      </c>
      <c r="AE80" s="428">
        <v>3</v>
      </c>
      <c r="AF80" s="220">
        <v>5</v>
      </c>
      <c r="AG80" s="220">
        <v>7</v>
      </c>
      <c r="AH80" s="220">
        <v>5</v>
      </c>
      <c r="AI80" s="220">
        <v>2</v>
      </c>
      <c r="AJ80" s="220">
        <v>5</v>
      </c>
      <c r="AK80" s="220">
        <v>2</v>
      </c>
      <c r="AL80" s="220">
        <v>2</v>
      </c>
      <c r="AM80" s="220">
        <v>2</v>
      </c>
      <c r="AN80" s="220">
        <v>4</v>
      </c>
      <c r="AO80" s="220">
        <v>3</v>
      </c>
      <c r="AP80" s="231">
        <v>4</v>
      </c>
      <c r="AQ80" s="430"/>
      <c r="AR80" s="221">
        <f t="shared" si="106"/>
        <v>46</v>
      </c>
      <c r="AS80" s="221">
        <f t="shared" si="107"/>
        <v>44</v>
      </c>
    </row>
    <row r="81" spans="2:45" ht="15.75" customHeight="1">
      <c r="B81" s="227" t="s">
        <v>2350</v>
      </c>
      <c r="C81" s="332" t="s">
        <v>2068</v>
      </c>
      <c r="D81" s="399">
        <v>2</v>
      </c>
      <c r="E81" s="332" t="s">
        <v>204</v>
      </c>
      <c r="F81" s="427" t="s">
        <v>2348</v>
      </c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428">
        <v>3</v>
      </c>
      <c r="T81" s="220">
        <v>2</v>
      </c>
      <c r="U81" s="220">
        <v>10</v>
      </c>
      <c r="V81" s="220">
        <v>10</v>
      </c>
      <c r="W81" s="220">
        <v>7</v>
      </c>
      <c r="X81" s="220">
        <v>8</v>
      </c>
      <c r="Y81" s="220">
        <v>3</v>
      </c>
      <c r="Z81" s="220">
        <v>8</v>
      </c>
      <c r="AA81" s="220">
        <v>6</v>
      </c>
      <c r="AB81" s="220">
        <v>18</v>
      </c>
      <c r="AC81" s="220">
        <v>20</v>
      </c>
      <c r="AD81" s="231">
        <v>7</v>
      </c>
      <c r="AE81" s="428">
        <v>4</v>
      </c>
      <c r="AF81" s="220">
        <v>5</v>
      </c>
      <c r="AG81" s="220">
        <v>8</v>
      </c>
      <c r="AH81" s="220">
        <v>5</v>
      </c>
      <c r="AI81" s="220">
        <v>10</v>
      </c>
      <c r="AJ81" s="220">
        <v>9</v>
      </c>
      <c r="AK81" s="220">
        <v>2</v>
      </c>
      <c r="AL81" s="220">
        <v>6</v>
      </c>
      <c r="AM81" s="220">
        <v>10</v>
      </c>
      <c r="AN81" s="220">
        <v>14</v>
      </c>
      <c r="AO81" s="220">
        <v>13</v>
      </c>
      <c r="AP81" s="231">
        <v>7</v>
      </c>
      <c r="AQ81" s="430"/>
      <c r="AR81" s="221">
        <f t="shared" si="106"/>
        <v>102</v>
      </c>
      <c r="AS81" s="221">
        <f t="shared" si="107"/>
        <v>93</v>
      </c>
    </row>
    <row r="82" spans="2:45" ht="15.75" customHeight="1">
      <c r="B82" s="227" t="s">
        <v>2350</v>
      </c>
      <c r="C82" s="332" t="s">
        <v>2069</v>
      </c>
      <c r="D82" s="399">
        <v>1</v>
      </c>
      <c r="E82" s="332" t="s">
        <v>204</v>
      </c>
      <c r="F82" s="427" t="s">
        <v>2348</v>
      </c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428">
        <v>2</v>
      </c>
      <c r="T82" s="220">
        <v>1</v>
      </c>
      <c r="U82" s="220">
        <v>7</v>
      </c>
      <c r="V82" s="220">
        <v>11</v>
      </c>
      <c r="W82" s="220">
        <v>7</v>
      </c>
      <c r="X82" s="220">
        <v>5</v>
      </c>
      <c r="Y82" s="220">
        <v>4</v>
      </c>
      <c r="Z82" s="220">
        <v>10</v>
      </c>
      <c r="AA82" s="220">
        <v>9</v>
      </c>
      <c r="AB82" s="220">
        <v>9</v>
      </c>
      <c r="AC82" s="220">
        <v>14</v>
      </c>
      <c r="AD82" s="231">
        <v>9</v>
      </c>
      <c r="AE82" s="428">
        <v>3</v>
      </c>
      <c r="AF82" s="220">
        <v>7</v>
      </c>
      <c r="AG82" s="220">
        <v>5</v>
      </c>
      <c r="AH82" s="220">
        <v>7</v>
      </c>
      <c r="AI82" s="220">
        <v>13</v>
      </c>
      <c r="AJ82" s="220">
        <v>6</v>
      </c>
      <c r="AK82" s="220">
        <v>4</v>
      </c>
      <c r="AL82" s="220">
        <v>6</v>
      </c>
      <c r="AM82" s="220">
        <v>6</v>
      </c>
      <c r="AN82" s="220">
        <v>12</v>
      </c>
      <c r="AO82" s="220">
        <v>14</v>
      </c>
      <c r="AP82" s="231">
        <v>5</v>
      </c>
      <c r="AQ82" s="430"/>
      <c r="AR82" s="221">
        <f t="shared" si="106"/>
        <v>88</v>
      </c>
      <c r="AS82" s="221">
        <f t="shared" si="107"/>
        <v>88</v>
      </c>
    </row>
    <row r="83" spans="2:45" ht="15.75" customHeight="1">
      <c r="B83" s="227" t="s">
        <v>2350</v>
      </c>
      <c r="C83" s="332" t="s">
        <v>2070</v>
      </c>
      <c r="D83" s="399">
        <v>1</v>
      </c>
      <c r="E83" s="332" t="s">
        <v>204</v>
      </c>
      <c r="F83" s="427" t="s">
        <v>2348</v>
      </c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428">
        <v>4</v>
      </c>
      <c r="T83" s="220">
        <v>7</v>
      </c>
      <c r="U83" s="220">
        <v>13</v>
      </c>
      <c r="V83" s="220">
        <v>18</v>
      </c>
      <c r="W83" s="220">
        <v>18</v>
      </c>
      <c r="X83" s="220">
        <v>15</v>
      </c>
      <c r="Y83" s="220">
        <v>10</v>
      </c>
      <c r="Z83" s="220">
        <v>12</v>
      </c>
      <c r="AA83" s="220">
        <v>13</v>
      </c>
      <c r="AB83" s="220">
        <v>16</v>
      </c>
      <c r="AC83" s="220">
        <v>19</v>
      </c>
      <c r="AD83" s="231">
        <v>11</v>
      </c>
      <c r="AE83" s="428">
        <v>4</v>
      </c>
      <c r="AF83" s="220">
        <v>8</v>
      </c>
      <c r="AG83" s="220">
        <v>12</v>
      </c>
      <c r="AH83" s="220">
        <v>14</v>
      </c>
      <c r="AI83" s="220">
        <v>14</v>
      </c>
      <c r="AJ83" s="220">
        <v>9</v>
      </c>
      <c r="AK83" s="220">
        <v>8</v>
      </c>
      <c r="AL83" s="220">
        <v>9</v>
      </c>
      <c r="AM83" s="220">
        <v>13</v>
      </c>
      <c r="AN83" s="220">
        <v>16</v>
      </c>
      <c r="AO83" s="220">
        <v>18</v>
      </c>
      <c r="AP83" s="231">
        <v>8</v>
      </c>
      <c r="AQ83" s="430"/>
      <c r="AR83" s="221">
        <f t="shared" si="106"/>
        <v>156</v>
      </c>
      <c r="AS83" s="221">
        <f t="shared" si="107"/>
        <v>133</v>
      </c>
    </row>
    <row r="84" spans="2:45" ht="15.75" customHeight="1">
      <c r="B84" s="227" t="s">
        <v>2350</v>
      </c>
      <c r="C84" s="332" t="s">
        <v>2071</v>
      </c>
      <c r="D84" s="399">
        <v>2</v>
      </c>
      <c r="E84" s="332" t="s">
        <v>204</v>
      </c>
      <c r="F84" s="427" t="s">
        <v>2348</v>
      </c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428">
        <v>0</v>
      </c>
      <c r="T84" s="220">
        <v>0</v>
      </c>
      <c r="U84" s="220">
        <v>0</v>
      </c>
      <c r="V84" s="220">
        <v>0</v>
      </c>
      <c r="W84" s="220">
        <v>0</v>
      </c>
      <c r="X84" s="220">
        <v>0</v>
      </c>
      <c r="Y84" s="220">
        <v>0</v>
      </c>
      <c r="Z84" s="220">
        <v>0</v>
      </c>
      <c r="AA84" s="220">
        <v>0</v>
      </c>
      <c r="AB84" s="220">
        <v>0</v>
      </c>
      <c r="AC84" s="220">
        <v>0</v>
      </c>
      <c r="AD84" s="231">
        <v>0</v>
      </c>
      <c r="AE84" s="428">
        <v>0</v>
      </c>
      <c r="AF84" s="220">
        <v>0</v>
      </c>
      <c r="AG84" s="220">
        <v>4</v>
      </c>
      <c r="AH84" s="220">
        <v>5</v>
      </c>
      <c r="AI84" s="220">
        <v>4</v>
      </c>
      <c r="AJ84" s="220">
        <v>0</v>
      </c>
      <c r="AK84" s="220">
        <v>2</v>
      </c>
      <c r="AL84" s="220">
        <v>2</v>
      </c>
      <c r="AM84" s="220">
        <v>3</v>
      </c>
      <c r="AN84" s="220">
        <v>5</v>
      </c>
      <c r="AO84" s="220">
        <v>5</v>
      </c>
      <c r="AP84" s="231">
        <v>1</v>
      </c>
      <c r="AQ84" s="430"/>
      <c r="AR84" s="221">
        <f t="shared" si="106"/>
        <v>0</v>
      </c>
      <c r="AS84" s="221">
        <f t="shared" si="107"/>
        <v>31</v>
      </c>
    </row>
    <row r="85" spans="2:45" ht="15.75" customHeight="1">
      <c r="B85" s="227" t="s">
        <v>2350</v>
      </c>
      <c r="C85" s="332" t="s">
        <v>2072</v>
      </c>
      <c r="D85" s="399">
        <v>1</v>
      </c>
      <c r="E85" s="332" t="s">
        <v>204</v>
      </c>
      <c r="F85" s="427" t="s">
        <v>2348</v>
      </c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428">
        <v>1</v>
      </c>
      <c r="T85" s="220">
        <v>1</v>
      </c>
      <c r="U85" s="220">
        <v>2</v>
      </c>
      <c r="V85" s="220">
        <v>2</v>
      </c>
      <c r="W85" s="220">
        <v>8</v>
      </c>
      <c r="X85" s="220">
        <v>8</v>
      </c>
      <c r="Y85" s="220">
        <v>1</v>
      </c>
      <c r="Z85" s="220">
        <v>2</v>
      </c>
      <c r="AA85" s="220">
        <v>6</v>
      </c>
      <c r="AB85" s="220">
        <v>9</v>
      </c>
      <c r="AC85" s="220">
        <v>8</v>
      </c>
      <c r="AD85" s="231">
        <v>7</v>
      </c>
      <c r="AE85" s="428">
        <v>0</v>
      </c>
      <c r="AF85" s="220">
        <v>2</v>
      </c>
      <c r="AG85" s="220">
        <v>4</v>
      </c>
      <c r="AH85" s="220">
        <v>6</v>
      </c>
      <c r="AI85" s="220">
        <v>13</v>
      </c>
      <c r="AJ85" s="220">
        <v>2</v>
      </c>
      <c r="AK85" s="220">
        <v>4</v>
      </c>
      <c r="AL85" s="220">
        <v>2</v>
      </c>
      <c r="AM85" s="220">
        <v>4</v>
      </c>
      <c r="AN85" s="220">
        <v>5</v>
      </c>
      <c r="AO85" s="220">
        <v>6</v>
      </c>
      <c r="AP85" s="231">
        <v>1</v>
      </c>
      <c r="AQ85" s="430"/>
      <c r="AR85" s="221">
        <f t="shared" si="106"/>
        <v>55</v>
      </c>
      <c r="AS85" s="221">
        <f t="shared" si="107"/>
        <v>49</v>
      </c>
    </row>
    <row r="86" spans="2:45" ht="15.75" customHeight="1">
      <c r="B86" s="227" t="s">
        <v>2350</v>
      </c>
      <c r="C86" s="332" t="s">
        <v>2073</v>
      </c>
      <c r="D86" s="399">
        <v>1</v>
      </c>
      <c r="E86" s="332" t="s">
        <v>204</v>
      </c>
      <c r="F86" s="427" t="s">
        <v>2349</v>
      </c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428">
        <v>2</v>
      </c>
      <c r="T86" s="220">
        <v>4</v>
      </c>
      <c r="U86" s="220">
        <v>5</v>
      </c>
      <c r="V86" s="220">
        <v>10</v>
      </c>
      <c r="W86" s="220">
        <v>10</v>
      </c>
      <c r="X86" s="220">
        <v>7</v>
      </c>
      <c r="Y86" s="220">
        <v>4</v>
      </c>
      <c r="Z86" s="220">
        <v>7</v>
      </c>
      <c r="AA86" s="220">
        <v>6</v>
      </c>
      <c r="AB86" s="220">
        <v>8</v>
      </c>
      <c r="AC86" s="220">
        <v>9</v>
      </c>
      <c r="AD86" s="231">
        <v>5</v>
      </c>
      <c r="AE86" s="428">
        <v>7</v>
      </c>
      <c r="AF86" s="220">
        <v>5</v>
      </c>
      <c r="AG86" s="220">
        <v>7</v>
      </c>
      <c r="AH86" s="220">
        <v>5</v>
      </c>
      <c r="AI86" s="220">
        <v>7</v>
      </c>
      <c r="AJ86" s="220">
        <v>8</v>
      </c>
      <c r="AK86" s="220">
        <v>4</v>
      </c>
      <c r="AL86" s="220">
        <v>6</v>
      </c>
      <c r="AM86" s="220">
        <v>3</v>
      </c>
      <c r="AN86" s="220">
        <v>10</v>
      </c>
      <c r="AO86" s="220">
        <v>6</v>
      </c>
      <c r="AP86" s="231">
        <v>5</v>
      </c>
      <c r="AQ86" s="430"/>
      <c r="AR86" s="221">
        <f t="shared" si="106"/>
        <v>77</v>
      </c>
      <c r="AS86" s="221">
        <f t="shared" si="107"/>
        <v>73</v>
      </c>
    </row>
    <row r="87" spans="2:45" ht="15.75" customHeight="1">
      <c r="B87" s="227" t="s">
        <v>2350</v>
      </c>
      <c r="C87" s="332" t="s">
        <v>2074</v>
      </c>
      <c r="D87" s="399">
        <v>1</v>
      </c>
      <c r="E87" s="332" t="s">
        <v>204</v>
      </c>
      <c r="F87" s="427" t="s">
        <v>2349</v>
      </c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428">
        <v>2</v>
      </c>
      <c r="T87" s="220">
        <v>4</v>
      </c>
      <c r="U87" s="220">
        <v>3</v>
      </c>
      <c r="V87" s="220">
        <v>8</v>
      </c>
      <c r="W87" s="220">
        <v>7</v>
      </c>
      <c r="X87" s="220">
        <v>5</v>
      </c>
      <c r="Y87" s="220">
        <v>5</v>
      </c>
      <c r="Z87" s="220">
        <v>4</v>
      </c>
      <c r="AA87" s="220">
        <v>8</v>
      </c>
      <c r="AB87" s="220">
        <v>9</v>
      </c>
      <c r="AC87" s="220">
        <v>12</v>
      </c>
      <c r="AD87" s="231">
        <v>4</v>
      </c>
      <c r="AE87" s="428">
        <v>5</v>
      </c>
      <c r="AF87" s="220">
        <v>2</v>
      </c>
      <c r="AG87" s="220">
        <v>4</v>
      </c>
      <c r="AH87" s="220">
        <v>5</v>
      </c>
      <c r="AI87" s="220">
        <v>6</v>
      </c>
      <c r="AJ87" s="220">
        <v>7</v>
      </c>
      <c r="AK87" s="220">
        <v>2</v>
      </c>
      <c r="AL87" s="220">
        <v>5</v>
      </c>
      <c r="AM87" s="220">
        <v>6</v>
      </c>
      <c r="AN87" s="220">
        <v>8</v>
      </c>
      <c r="AO87" s="220">
        <v>5</v>
      </c>
      <c r="AP87" s="231">
        <v>4</v>
      </c>
      <c r="AQ87" s="430"/>
      <c r="AR87" s="221">
        <f t="shared" si="106"/>
        <v>71</v>
      </c>
      <c r="AS87" s="221">
        <f t="shared" si="107"/>
        <v>59</v>
      </c>
    </row>
    <row r="88" spans="2:45" ht="15.75" customHeight="1">
      <c r="B88" s="227" t="s">
        <v>2350</v>
      </c>
      <c r="C88" s="332" t="s">
        <v>2075</v>
      </c>
      <c r="D88" s="399">
        <v>1</v>
      </c>
      <c r="E88" s="332" t="s">
        <v>204</v>
      </c>
      <c r="F88" s="427" t="s">
        <v>2349</v>
      </c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428">
        <v>9</v>
      </c>
      <c r="T88" s="220">
        <v>6</v>
      </c>
      <c r="U88" s="220">
        <v>10</v>
      </c>
      <c r="V88" s="220">
        <v>10</v>
      </c>
      <c r="W88" s="220">
        <v>12</v>
      </c>
      <c r="X88" s="220">
        <v>11</v>
      </c>
      <c r="Y88" s="220">
        <v>6</v>
      </c>
      <c r="Z88" s="220">
        <v>13</v>
      </c>
      <c r="AA88" s="220">
        <v>8</v>
      </c>
      <c r="AB88" s="220">
        <v>14</v>
      </c>
      <c r="AC88" s="220">
        <v>15</v>
      </c>
      <c r="AD88" s="231">
        <v>13</v>
      </c>
      <c r="AE88" s="428">
        <v>4</v>
      </c>
      <c r="AF88" s="220">
        <v>9</v>
      </c>
      <c r="AG88" s="220">
        <v>11</v>
      </c>
      <c r="AH88" s="220">
        <v>10</v>
      </c>
      <c r="AI88" s="220">
        <v>12</v>
      </c>
      <c r="AJ88" s="220">
        <v>13</v>
      </c>
      <c r="AK88" s="220">
        <v>9</v>
      </c>
      <c r="AL88" s="220">
        <v>9</v>
      </c>
      <c r="AM88" s="220">
        <v>8</v>
      </c>
      <c r="AN88" s="220">
        <v>16</v>
      </c>
      <c r="AO88" s="220">
        <v>11</v>
      </c>
      <c r="AP88" s="231">
        <v>6</v>
      </c>
      <c r="AQ88" s="430"/>
      <c r="AR88" s="221">
        <f t="shared" si="106"/>
        <v>127</v>
      </c>
      <c r="AS88" s="221">
        <f t="shared" si="107"/>
        <v>118</v>
      </c>
    </row>
    <row r="89" spans="2:45" ht="15.75" customHeight="1">
      <c r="B89" s="227" t="s">
        <v>2350</v>
      </c>
      <c r="C89" s="332" t="s">
        <v>2076</v>
      </c>
      <c r="D89" s="399">
        <v>1</v>
      </c>
      <c r="E89" s="332" t="s">
        <v>204</v>
      </c>
      <c r="F89" s="427" t="s">
        <v>2349</v>
      </c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428">
        <v>1</v>
      </c>
      <c r="T89" s="220">
        <v>3</v>
      </c>
      <c r="U89" s="220">
        <v>7</v>
      </c>
      <c r="V89" s="220">
        <v>4</v>
      </c>
      <c r="W89" s="220">
        <v>4</v>
      </c>
      <c r="X89" s="220">
        <v>10</v>
      </c>
      <c r="Y89" s="220">
        <v>3</v>
      </c>
      <c r="Z89" s="220">
        <v>6</v>
      </c>
      <c r="AA89" s="220">
        <v>5</v>
      </c>
      <c r="AB89" s="220">
        <v>8</v>
      </c>
      <c r="AC89" s="220">
        <v>9</v>
      </c>
      <c r="AD89" s="231">
        <v>3</v>
      </c>
      <c r="AE89" s="428">
        <v>3</v>
      </c>
      <c r="AF89" s="220">
        <v>4</v>
      </c>
      <c r="AG89" s="220">
        <v>4</v>
      </c>
      <c r="AH89" s="220">
        <v>6</v>
      </c>
      <c r="AI89" s="220">
        <v>3</v>
      </c>
      <c r="AJ89" s="220">
        <v>3</v>
      </c>
      <c r="AK89" s="220">
        <v>1</v>
      </c>
      <c r="AL89" s="220">
        <v>1</v>
      </c>
      <c r="AM89" s="220">
        <v>2</v>
      </c>
      <c r="AN89" s="220">
        <v>8</v>
      </c>
      <c r="AO89" s="220">
        <v>5</v>
      </c>
      <c r="AP89" s="231">
        <v>5</v>
      </c>
      <c r="AQ89" s="430"/>
      <c r="AR89" s="221">
        <f t="shared" si="106"/>
        <v>63</v>
      </c>
      <c r="AS89" s="221">
        <f t="shared" si="107"/>
        <v>45</v>
      </c>
    </row>
    <row r="90" spans="2:45" ht="15.75" customHeight="1">
      <c r="B90" s="227" t="s">
        <v>2350</v>
      </c>
      <c r="C90" s="332" t="s">
        <v>2077</v>
      </c>
      <c r="D90" s="399">
        <v>1</v>
      </c>
      <c r="E90" s="332" t="s">
        <v>204</v>
      </c>
      <c r="F90" s="427" t="s">
        <v>2349</v>
      </c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428">
        <v>8</v>
      </c>
      <c r="T90" s="220">
        <v>3</v>
      </c>
      <c r="U90" s="220">
        <v>2</v>
      </c>
      <c r="V90" s="220">
        <v>7</v>
      </c>
      <c r="W90" s="220">
        <v>5</v>
      </c>
      <c r="X90" s="220">
        <v>4</v>
      </c>
      <c r="Y90" s="220">
        <v>3</v>
      </c>
      <c r="Z90" s="220">
        <v>5</v>
      </c>
      <c r="AA90" s="220">
        <v>5</v>
      </c>
      <c r="AB90" s="220">
        <v>12</v>
      </c>
      <c r="AC90" s="220">
        <v>7</v>
      </c>
      <c r="AD90" s="231">
        <v>8</v>
      </c>
      <c r="AE90" s="428">
        <v>7</v>
      </c>
      <c r="AF90" s="220">
        <v>1</v>
      </c>
      <c r="AG90" s="220">
        <v>6</v>
      </c>
      <c r="AH90" s="220">
        <v>6</v>
      </c>
      <c r="AI90" s="220">
        <v>7</v>
      </c>
      <c r="AJ90" s="220">
        <v>3</v>
      </c>
      <c r="AK90" s="220">
        <v>0</v>
      </c>
      <c r="AL90" s="220">
        <v>3</v>
      </c>
      <c r="AM90" s="220">
        <v>1</v>
      </c>
      <c r="AN90" s="220">
        <v>6</v>
      </c>
      <c r="AO90" s="220">
        <v>3</v>
      </c>
      <c r="AP90" s="231">
        <v>1</v>
      </c>
      <c r="AQ90" s="430"/>
      <c r="AR90" s="221">
        <f t="shared" si="106"/>
        <v>69</v>
      </c>
      <c r="AS90" s="221">
        <f t="shared" si="107"/>
        <v>44</v>
      </c>
    </row>
    <row r="91" spans="2:45" ht="15.75" customHeight="1">
      <c r="B91" s="227" t="s">
        <v>2350</v>
      </c>
      <c r="C91" s="332" t="s">
        <v>2078</v>
      </c>
      <c r="D91" s="399">
        <v>2</v>
      </c>
      <c r="E91" s="332" t="s">
        <v>2058</v>
      </c>
      <c r="F91" s="427" t="s">
        <v>2058</v>
      </c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428">
        <v>3</v>
      </c>
      <c r="T91" s="220">
        <v>7</v>
      </c>
      <c r="U91" s="220">
        <v>20</v>
      </c>
      <c r="V91" s="220">
        <v>21</v>
      </c>
      <c r="W91" s="220">
        <v>13</v>
      </c>
      <c r="X91" s="220">
        <v>9</v>
      </c>
      <c r="Y91" s="220">
        <v>4</v>
      </c>
      <c r="Z91" s="220">
        <v>5</v>
      </c>
      <c r="AA91" s="220">
        <v>6</v>
      </c>
      <c r="AB91" s="220">
        <v>28</v>
      </c>
      <c r="AC91" s="220">
        <v>28</v>
      </c>
      <c r="AD91" s="231">
        <v>11</v>
      </c>
      <c r="AE91" s="428">
        <v>5</v>
      </c>
      <c r="AF91" s="220">
        <v>1</v>
      </c>
      <c r="AG91" s="220">
        <v>15</v>
      </c>
      <c r="AH91" s="220">
        <v>10</v>
      </c>
      <c r="AI91" s="220">
        <v>13</v>
      </c>
      <c r="AJ91" s="220">
        <v>5</v>
      </c>
      <c r="AK91" s="220">
        <v>6</v>
      </c>
      <c r="AL91" s="220">
        <v>4</v>
      </c>
      <c r="AM91" s="220">
        <v>11</v>
      </c>
      <c r="AN91" s="220">
        <v>17</v>
      </c>
      <c r="AO91" s="220">
        <v>22</v>
      </c>
      <c r="AP91" s="231">
        <v>10</v>
      </c>
      <c r="AQ91" s="430"/>
      <c r="AR91" s="221">
        <f t="shared" si="106"/>
        <v>155</v>
      </c>
      <c r="AS91" s="221">
        <f t="shared" si="107"/>
        <v>119</v>
      </c>
    </row>
    <row r="92" spans="2:45" ht="15.75" customHeight="1">
      <c r="B92" s="227" t="s">
        <v>2350</v>
      </c>
      <c r="C92" s="332" t="s">
        <v>2169</v>
      </c>
      <c r="D92" s="399">
        <v>1</v>
      </c>
      <c r="E92" s="332" t="s">
        <v>2058</v>
      </c>
      <c r="F92" s="427" t="s">
        <v>2058</v>
      </c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428">
        <v>6</v>
      </c>
      <c r="T92" s="220">
        <v>3</v>
      </c>
      <c r="U92" s="220">
        <v>12</v>
      </c>
      <c r="V92" s="220">
        <v>15</v>
      </c>
      <c r="W92" s="220">
        <v>11</v>
      </c>
      <c r="X92" s="220">
        <v>11</v>
      </c>
      <c r="Y92" s="220">
        <v>11</v>
      </c>
      <c r="Z92" s="220">
        <v>6</v>
      </c>
      <c r="AA92" s="220">
        <v>7</v>
      </c>
      <c r="AB92" s="220">
        <v>19</v>
      </c>
      <c r="AC92" s="220">
        <v>19</v>
      </c>
      <c r="AD92" s="231">
        <v>8</v>
      </c>
      <c r="AE92" s="428">
        <v>6</v>
      </c>
      <c r="AF92" s="220">
        <v>1</v>
      </c>
      <c r="AG92" s="220">
        <v>13</v>
      </c>
      <c r="AH92" s="220">
        <v>12</v>
      </c>
      <c r="AI92" s="220">
        <v>11</v>
      </c>
      <c r="AJ92" s="220">
        <v>5</v>
      </c>
      <c r="AK92" s="220">
        <v>4</v>
      </c>
      <c r="AL92" s="220">
        <v>5</v>
      </c>
      <c r="AM92" s="220">
        <v>4</v>
      </c>
      <c r="AN92" s="220">
        <v>9</v>
      </c>
      <c r="AO92" s="220">
        <v>12</v>
      </c>
      <c r="AP92" s="231">
        <v>3</v>
      </c>
      <c r="AQ92" s="430"/>
      <c r="AR92" s="221">
        <f t="shared" si="106"/>
        <v>128</v>
      </c>
      <c r="AS92" s="221">
        <f t="shared" si="107"/>
        <v>85</v>
      </c>
    </row>
    <row r="93" spans="2:45" ht="15.75" customHeight="1">
      <c r="B93" s="227" t="s">
        <v>2350</v>
      </c>
      <c r="C93" s="332" t="s">
        <v>2080</v>
      </c>
      <c r="D93" s="399">
        <v>2</v>
      </c>
      <c r="E93" s="332" t="s">
        <v>2058</v>
      </c>
      <c r="F93" s="427" t="s">
        <v>2058</v>
      </c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428">
        <v>0</v>
      </c>
      <c r="T93" s="220">
        <v>0</v>
      </c>
      <c r="U93" s="220">
        <v>0</v>
      </c>
      <c r="V93" s="220">
        <v>0</v>
      </c>
      <c r="W93" s="220">
        <v>0</v>
      </c>
      <c r="X93" s="220">
        <v>0</v>
      </c>
      <c r="Y93" s="220">
        <v>0</v>
      </c>
      <c r="Z93" s="220">
        <v>0</v>
      </c>
      <c r="AA93" s="220">
        <v>0</v>
      </c>
      <c r="AB93" s="220">
        <v>0</v>
      </c>
      <c r="AC93" s="220">
        <v>0</v>
      </c>
      <c r="AD93" s="231">
        <v>0</v>
      </c>
      <c r="AE93" s="428">
        <v>0</v>
      </c>
      <c r="AF93" s="220">
        <v>0</v>
      </c>
      <c r="AG93" s="220">
        <v>0</v>
      </c>
      <c r="AH93" s="220">
        <v>0</v>
      </c>
      <c r="AI93" s="220">
        <v>0</v>
      </c>
      <c r="AJ93" s="220">
        <v>0</v>
      </c>
      <c r="AK93" s="220">
        <v>0</v>
      </c>
      <c r="AL93" s="220">
        <v>0</v>
      </c>
      <c r="AM93" s="220">
        <v>0</v>
      </c>
      <c r="AN93" s="220">
        <v>0</v>
      </c>
      <c r="AO93" s="220">
        <v>0</v>
      </c>
      <c r="AP93" s="231">
        <v>0</v>
      </c>
      <c r="AQ93" s="430"/>
      <c r="AR93" s="221">
        <f t="shared" si="106"/>
        <v>0</v>
      </c>
      <c r="AS93" s="221">
        <f t="shared" si="107"/>
        <v>0</v>
      </c>
    </row>
    <row r="94" spans="2:45" ht="15.75" customHeight="1">
      <c r="B94" s="227" t="s">
        <v>2350</v>
      </c>
      <c r="C94" s="332" t="s">
        <v>2081</v>
      </c>
      <c r="D94" s="399">
        <v>1</v>
      </c>
      <c r="E94" s="332" t="s">
        <v>2058</v>
      </c>
      <c r="F94" s="427" t="s">
        <v>2058</v>
      </c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428">
        <v>2</v>
      </c>
      <c r="T94" s="220">
        <v>4</v>
      </c>
      <c r="U94" s="220">
        <v>6</v>
      </c>
      <c r="V94" s="220">
        <v>7</v>
      </c>
      <c r="W94" s="220">
        <v>7</v>
      </c>
      <c r="X94" s="220">
        <v>2</v>
      </c>
      <c r="Y94" s="220">
        <v>0</v>
      </c>
      <c r="Z94" s="220">
        <v>1</v>
      </c>
      <c r="AA94" s="220">
        <v>2</v>
      </c>
      <c r="AB94" s="220">
        <v>12</v>
      </c>
      <c r="AC94" s="220">
        <v>12</v>
      </c>
      <c r="AD94" s="231">
        <v>5</v>
      </c>
      <c r="AE94" s="428">
        <v>6</v>
      </c>
      <c r="AF94" s="220">
        <v>2</v>
      </c>
      <c r="AG94" s="220">
        <v>2</v>
      </c>
      <c r="AH94" s="220">
        <v>1</v>
      </c>
      <c r="AI94" s="220">
        <v>5</v>
      </c>
      <c r="AJ94" s="220">
        <v>1</v>
      </c>
      <c r="AK94" s="220">
        <v>1</v>
      </c>
      <c r="AL94" s="220">
        <v>1</v>
      </c>
      <c r="AM94" s="220">
        <v>3</v>
      </c>
      <c r="AN94" s="220">
        <v>7</v>
      </c>
      <c r="AO94" s="220">
        <v>3</v>
      </c>
      <c r="AP94" s="231">
        <v>4</v>
      </c>
      <c r="AQ94" s="430"/>
      <c r="AR94" s="221">
        <f t="shared" si="106"/>
        <v>60</v>
      </c>
      <c r="AS94" s="221">
        <f t="shared" si="107"/>
        <v>36</v>
      </c>
    </row>
    <row r="95" spans="2:45" ht="15.75" customHeight="1">
      <c r="B95" s="227" t="s">
        <v>2350</v>
      </c>
      <c r="C95" s="332" t="s">
        <v>2082</v>
      </c>
      <c r="D95" s="399">
        <v>1</v>
      </c>
      <c r="E95" s="332" t="s">
        <v>2058</v>
      </c>
      <c r="F95" s="427" t="s">
        <v>2058</v>
      </c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428">
        <v>2</v>
      </c>
      <c r="T95" s="220">
        <v>1</v>
      </c>
      <c r="U95" s="220">
        <v>5</v>
      </c>
      <c r="V95" s="220">
        <v>12</v>
      </c>
      <c r="W95" s="220">
        <v>12</v>
      </c>
      <c r="X95" s="220">
        <v>10</v>
      </c>
      <c r="Y95" s="220">
        <v>6</v>
      </c>
      <c r="Z95" s="220">
        <v>2</v>
      </c>
      <c r="AA95" s="220">
        <v>14</v>
      </c>
      <c r="AB95" s="220">
        <v>17</v>
      </c>
      <c r="AC95" s="220">
        <v>18</v>
      </c>
      <c r="AD95" s="231">
        <v>8</v>
      </c>
      <c r="AE95" s="428">
        <v>2</v>
      </c>
      <c r="AF95" s="220">
        <v>2</v>
      </c>
      <c r="AG95" s="220">
        <v>12</v>
      </c>
      <c r="AH95" s="220">
        <v>7</v>
      </c>
      <c r="AI95" s="220">
        <v>6</v>
      </c>
      <c r="AJ95" s="220">
        <v>2</v>
      </c>
      <c r="AK95" s="220">
        <v>2</v>
      </c>
      <c r="AL95" s="220">
        <v>1</v>
      </c>
      <c r="AM95" s="220">
        <v>4</v>
      </c>
      <c r="AN95" s="220">
        <v>13</v>
      </c>
      <c r="AO95" s="220">
        <v>9</v>
      </c>
      <c r="AP95" s="231">
        <v>6</v>
      </c>
      <c r="AQ95" s="430"/>
      <c r="AR95" s="221">
        <f t="shared" si="106"/>
        <v>107</v>
      </c>
      <c r="AS95" s="221">
        <f t="shared" si="107"/>
        <v>66</v>
      </c>
    </row>
    <row r="96" spans="2:45" ht="15.75" customHeight="1">
      <c r="B96" s="227" t="s">
        <v>2350</v>
      </c>
      <c r="C96" s="332" t="s">
        <v>2083</v>
      </c>
      <c r="D96" s="399">
        <v>2</v>
      </c>
      <c r="E96" s="332" t="s">
        <v>2058</v>
      </c>
      <c r="F96" s="427" t="s">
        <v>2058</v>
      </c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428">
        <v>6</v>
      </c>
      <c r="T96" s="220">
        <v>5</v>
      </c>
      <c r="U96" s="220">
        <v>19</v>
      </c>
      <c r="V96" s="220">
        <v>10</v>
      </c>
      <c r="W96" s="220">
        <v>5</v>
      </c>
      <c r="X96" s="220">
        <v>6</v>
      </c>
      <c r="Y96" s="220">
        <v>6</v>
      </c>
      <c r="Z96" s="220">
        <v>4</v>
      </c>
      <c r="AA96" s="220">
        <v>10</v>
      </c>
      <c r="AB96" s="220">
        <v>21</v>
      </c>
      <c r="AC96" s="220">
        <v>24</v>
      </c>
      <c r="AD96" s="231">
        <v>13</v>
      </c>
      <c r="AE96" s="428">
        <v>1</v>
      </c>
      <c r="AF96" s="220">
        <v>3</v>
      </c>
      <c r="AG96" s="220">
        <v>6</v>
      </c>
      <c r="AH96" s="220">
        <v>7</v>
      </c>
      <c r="AI96" s="220">
        <v>6</v>
      </c>
      <c r="AJ96" s="220">
        <v>6</v>
      </c>
      <c r="AK96" s="220">
        <v>0</v>
      </c>
      <c r="AL96" s="220">
        <v>3</v>
      </c>
      <c r="AM96" s="220">
        <v>4</v>
      </c>
      <c r="AN96" s="220">
        <v>11</v>
      </c>
      <c r="AO96" s="220">
        <v>13</v>
      </c>
      <c r="AP96" s="231">
        <v>9</v>
      </c>
      <c r="AQ96" s="430"/>
      <c r="AR96" s="221">
        <f t="shared" si="106"/>
        <v>129</v>
      </c>
      <c r="AS96" s="221">
        <f t="shared" si="107"/>
        <v>69</v>
      </c>
    </row>
    <row r="97" spans="2:45" ht="15.75" customHeight="1">
      <c r="B97" s="227" t="s">
        <v>2350</v>
      </c>
      <c r="C97" s="332" t="s">
        <v>2084</v>
      </c>
      <c r="D97" s="399">
        <v>1</v>
      </c>
      <c r="E97" s="332" t="s">
        <v>2058</v>
      </c>
      <c r="F97" s="427" t="s">
        <v>2058</v>
      </c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428">
        <v>0</v>
      </c>
      <c r="T97" s="220">
        <v>0</v>
      </c>
      <c r="U97" s="220">
        <v>0</v>
      </c>
      <c r="V97" s="220">
        <v>0</v>
      </c>
      <c r="W97" s="220">
        <v>0</v>
      </c>
      <c r="X97" s="220">
        <v>0</v>
      </c>
      <c r="Y97" s="220">
        <v>0</v>
      </c>
      <c r="Z97" s="220">
        <v>0</v>
      </c>
      <c r="AA97" s="220">
        <v>0</v>
      </c>
      <c r="AB97" s="220">
        <v>2</v>
      </c>
      <c r="AC97" s="220">
        <v>5</v>
      </c>
      <c r="AD97" s="231">
        <v>1</v>
      </c>
      <c r="AE97" s="428">
        <v>3</v>
      </c>
      <c r="AF97" s="220">
        <v>1</v>
      </c>
      <c r="AG97" s="220">
        <v>8</v>
      </c>
      <c r="AH97" s="220">
        <v>3</v>
      </c>
      <c r="AI97" s="220">
        <v>5</v>
      </c>
      <c r="AJ97" s="220">
        <v>3</v>
      </c>
      <c r="AK97" s="220">
        <v>1</v>
      </c>
      <c r="AL97" s="220">
        <v>2</v>
      </c>
      <c r="AM97" s="220">
        <v>2</v>
      </c>
      <c r="AN97" s="220">
        <v>2</v>
      </c>
      <c r="AO97" s="220">
        <v>3</v>
      </c>
      <c r="AP97" s="231">
        <v>1</v>
      </c>
      <c r="AQ97" s="430"/>
      <c r="AR97" s="221">
        <f t="shared" si="106"/>
        <v>8</v>
      </c>
      <c r="AS97" s="221">
        <f t="shared" si="107"/>
        <v>34</v>
      </c>
    </row>
    <row r="98" spans="2:45" ht="15.75" customHeight="1">
      <c r="B98" s="227" t="s">
        <v>2350</v>
      </c>
      <c r="C98" s="332" t="s">
        <v>2085</v>
      </c>
      <c r="D98" s="399">
        <v>1</v>
      </c>
      <c r="E98" s="332" t="s">
        <v>2059</v>
      </c>
      <c r="F98" s="427" t="s">
        <v>2059</v>
      </c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428">
        <v>7</v>
      </c>
      <c r="T98" s="220">
        <v>9</v>
      </c>
      <c r="U98" s="220">
        <v>11</v>
      </c>
      <c r="V98" s="220">
        <v>7</v>
      </c>
      <c r="W98" s="220">
        <v>8</v>
      </c>
      <c r="X98" s="220">
        <v>7</v>
      </c>
      <c r="Y98" s="220">
        <v>9</v>
      </c>
      <c r="Z98" s="220">
        <v>5</v>
      </c>
      <c r="AA98" s="220">
        <v>3</v>
      </c>
      <c r="AB98" s="220">
        <v>10</v>
      </c>
      <c r="AC98" s="220">
        <v>10</v>
      </c>
      <c r="AD98" s="231">
        <v>9</v>
      </c>
      <c r="AE98" s="428">
        <v>6</v>
      </c>
      <c r="AF98" s="220">
        <v>6</v>
      </c>
      <c r="AG98" s="220">
        <v>10</v>
      </c>
      <c r="AH98" s="220">
        <v>7</v>
      </c>
      <c r="AI98" s="220">
        <v>11</v>
      </c>
      <c r="AJ98" s="220">
        <v>7</v>
      </c>
      <c r="AK98" s="220">
        <v>4</v>
      </c>
      <c r="AL98" s="220">
        <v>8</v>
      </c>
      <c r="AM98" s="220">
        <v>5</v>
      </c>
      <c r="AN98" s="220">
        <v>7</v>
      </c>
      <c r="AO98" s="220">
        <v>11</v>
      </c>
      <c r="AP98" s="231">
        <v>6</v>
      </c>
      <c r="AQ98" s="430"/>
      <c r="AR98" s="221">
        <f t="shared" si="106"/>
        <v>95</v>
      </c>
      <c r="AS98" s="221">
        <f t="shared" si="107"/>
        <v>88</v>
      </c>
    </row>
    <row r="99" spans="2:45" ht="15.75" customHeight="1">
      <c r="B99" s="227" t="s">
        <v>2350</v>
      </c>
      <c r="C99" s="332" t="s">
        <v>2086</v>
      </c>
      <c r="D99" s="399">
        <v>1</v>
      </c>
      <c r="E99" s="332" t="s">
        <v>2059</v>
      </c>
      <c r="F99" s="427" t="s">
        <v>2059</v>
      </c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428">
        <v>7</v>
      </c>
      <c r="T99" s="220">
        <v>9</v>
      </c>
      <c r="U99" s="220">
        <v>5</v>
      </c>
      <c r="V99" s="220">
        <v>5</v>
      </c>
      <c r="W99" s="220">
        <v>6</v>
      </c>
      <c r="X99" s="220">
        <v>7</v>
      </c>
      <c r="Y99" s="220">
        <v>6</v>
      </c>
      <c r="Z99" s="220">
        <v>5</v>
      </c>
      <c r="AA99" s="220">
        <v>1</v>
      </c>
      <c r="AB99" s="220">
        <v>7</v>
      </c>
      <c r="AC99" s="220">
        <v>8</v>
      </c>
      <c r="AD99" s="231">
        <v>9</v>
      </c>
      <c r="AE99" s="428">
        <v>3</v>
      </c>
      <c r="AF99" s="220">
        <v>9</v>
      </c>
      <c r="AG99" s="220">
        <v>7</v>
      </c>
      <c r="AH99" s="220">
        <v>6</v>
      </c>
      <c r="AI99" s="220">
        <v>7</v>
      </c>
      <c r="AJ99" s="220">
        <v>9</v>
      </c>
      <c r="AK99" s="220">
        <v>4</v>
      </c>
      <c r="AL99" s="220">
        <v>5</v>
      </c>
      <c r="AM99" s="220">
        <v>7</v>
      </c>
      <c r="AN99" s="220">
        <v>7</v>
      </c>
      <c r="AO99" s="220">
        <v>8</v>
      </c>
      <c r="AP99" s="231">
        <v>3</v>
      </c>
      <c r="AQ99" s="430"/>
      <c r="AR99" s="221">
        <f t="shared" si="106"/>
        <v>75</v>
      </c>
      <c r="AS99" s="221">
        <f t="shared" si="107"/>
        <v>75</v>
      </c>
    </row>
    <row r="100" spans="2:45" ht="15.75" customHeight="1">
      <c r="B100" s="227" t="s">
        <v>2350</v>
      </c>
      <c r="C100" s="332" t="s">
        <v>2170</v>
      </c>
      <c r="D100" s="399">
        <v>1</v>
      </c>
      <c r="E100" s="332" t="s">
        <v>2059</v>
      </c>
      <c r="F100" s="427" t="s">
        <v>2059</v>
      </c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428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31"/>
      <c r="AE100" s="428">
        <v>0</v>
      </c>
      <c r="AF100" s="220">
        <v>0</v>
      </c>
      <c r="AG100" s="220">
        <v>0</v>
      </c>
      <c r="AH100" s="220">
        <v>0</v>
      </c>
      <c r="AI100" s="220">
        <v>0</v>
      </c>
      <c r="AJ100" s="220">
        <v>0</v>
      </c>
      <c r="AK100" s="220">
        <v>0</v>
      </c>
      <c r="AL100" s="220">
        <v>0</v>
      </c>
      <c r="AM100" s="220">
        <v>0</v>
      </c>
      <c r="AN100" s="220">
        <v>0</v>
      </c>
      <c r="AO100" s="220">
        <v>0</v>
      </c>
      <c r="AP100" s="231">
        <v>0</v>
      </c>
      <c r="AQ100" s="430"/>
      <c r="AR100" s="221">
        <f t="shared" si="106"/>
        <v>0</v>
      </c>
      <c r="AS100" s="221">
        <f t="shared" si="107"/>
        <v>0</v>
      </c>
    </row>
    <row r="101" spans="2:45" ht="15.75" customHeight="1">
      <c r="B101" s="227" t="s">
        <v>2350</v>
      </c>
      <c r="C101" s="332" t="s">
        <v>2087</v>
      </c>
      <c r="D101" s="399">
        <v>1</v>
      </c>
      <c r="E101" s="332" t="s">
        <v>2059</v>
      </c>
      <c r="F101" s="427" t="s">
        <v>2059</v>
      </c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428">
        <v>7</v>
      </c>
      <c r="T101" s="220">
        <v>7</v>
      </c>
      <c r="U101" s="220">
        <v>6</v>
      </c>
      <c r="V101" s="220">
        <v>9</v>
      </c>
      <c r="W101" s="220">
        <v>5</v>
      </c>
      <c r="X101" s="220">
        <v>7</v>
      </c>
      <c r="Y101" s="220">
        <v>5</v>
      </c>
      <c r="Z101" s="220">
        <v>6</v>
      </c>
      <c r="AA101" s="220">
        <v>4</v>
      </c>
      <c r="AB101" s="220">
        <v>8</v>
      </c>
      <c r="AC101" s="220">
        <v>9</v>
      </c>
      <c r="AD101" s="231">
        <v>6</v>
      </c>
      <c r="AE101" s="428">
        <v>4</v>
      </c>
      <c r="AF101" s="220">
        <v>3</v>
      </c>
      <c r="AG101" s="220">
        <v>5</v>
      </c>
      <c r="AH101" s="220">
        <v>5</v>
      </c>
      <c r="AI101" s="220">
        <v>7</v>
      </c>
      <c r="AJ101" s="220">
        <v>1</v>
      </c>
      <c r="AK101" s="220">
        <v>2</v>
      </c>
      <c r="AL101" s="220">
        <v>7</v>
      </c>
      <c r="AM101" s="220">
        <v>2</v>
      </c>
      <c r="AN101" s="220">
        <v>7</v>
      </c>
      <c r="AO101" s="220">
        <v>3</v>
      </c>
      <c r="AP101" s="231">
        <v>2</v>
      </c>
      <c r="AQ101" s="430"/>
      <c r="AR101" s="221">
        <f t="shared" si="106"/>
        <v>79</v>
      </c>
      <c r="AS101" s="221">
        <f t="shared" si="107"/>
        <v>48</v>
      </c>
    </row>
    <row r="102" spans="2:45" ht="15.75" customHeight="1">
      <c r="B102" s="227" t="s">
        <v>2350</v>
      </c>
      <c r="C102" s="332" t="s">
        <v>2088</v>
      </c>
      <c r="D102" s="399">
        <v>1</v>
      </c>
      <c r="E102" s="332" t="s">
        <v>2059</v>
      </c>
      <c r="F102" s="427" t="s">
        <v>2059</v>
      </c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428">
        <v>3</v>
      </c>
      <c r="T102" s="220">
        <v>6</v>
      </c>
      <c r="U102" s="220">
        <v>7</v>
      </c>
      <c r="V102" s="220">
        <v>7</v>
      </c>
      <c r="W102" s="220">
        <v>5</v>
      </c>
      <c r="X102" s="220">
        <v>4</v>
      </c>
      <c r="Y102" s="220">
        <v>6</v>
      </c>
      <c r="Z102" s="220">
        <v>7</v>
      </c>
      <c r="AA102" s="220">
        <v>2</v>
      </c>
      <c r="AB102" s="220">
        <v>13</v>
      </c>
      <c r="AC102" s="220">
        <v>8</v>
      </c>
      <c r="AD102" s="231">
        <v>7</v>
      </c>
      <c r="AE102" s="428">
        <v>6</v>
      </c>
      <c r="AF102" s="220">
        <v>4</v>
      </c>
      <c r="AG102" s="220">
        <v>7</v>
      </c>
      <c r="AH102" s="220">
        <v>6</v>
      </c>
      <c r="AI102" s="220">
        <v>6</v>
      </c>
      <c r="AJ102" s="220">
        <v>5</v>
      </c>
      <c r="AK102" s="220">
        <v>4</v>
      </c>
      <c r="AL102" s="220">
        <v>5</v>
      </c>
      <c r="AM102" s="220">
        <v>1</v>
      </c>
      <c r="AN102" s="220">
        <v>10</v>
      </c>
      <c r="AO102" s="220">
        <v>9</v>
      </c>
      <c r="AP102" s="231">
        <v>6</v>
      </c>
      <c r="AQ102" s="430"/>
      <c r="AR102" s="221">
        <f t="shared" si="106"/>
        <v>75</v>
      </c>
      <c r="AS102" s="221">
        <f t="shared" si="107"/>
        <v>69</v>
      </c>
    </row>
    <row r="103" spans="2:45" ht="15.75" customHeight="1">
      <c r="B103" s="227" t="s">
        <v>2350</v>
      </c>
      <c r="C103" s="332" t="s">
        <v>2089</v>
      </c>
      <c r="D103" s="399">
        <v>2</v>
      </c>
      <c r="E103" s="332" t="s">
        <v>2059</v>
      </c>
      <c r="F103" s="427" t="s">
        <v>2059</v>
      </c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428">
        <v>0</v>
      </c>
      <c r="T103" s="220">
        <v>0</v>
      </c>
      <c r="U103" s="220">
        <v>0</v>
      </c>
      <c r="V103" s="220">
        <v>1</v>
      </c>
      <c r="W103" s="220">
        <v>0</v>
      </c>
      <c r="X103" s="220">
        <v>2</v>
      </c>
      <c r="Y103" s="220">
        <v>1</v>
      </c>
      <c r="Z103" s="220">
        <v>0</v>
      </c>
      <c r="AA103" s="220">
        <v>1</v>
      </c>
      <c r="AB103" s="220">
        <v>6</v>
      </c>
      <c r="AC103" s="220">
        <v>7</v>
      </c>
      <c r="AD103" s="231">
        <v>5</v>
      </c>
      <c r="AE103" s="428">
        <v>2</v>
      </c>
      <c r="AF103" s="220">
        <v>4</v>
      </c>
      <c r="AG103" s="220">
        <v>6</v>
      </c>
      <c r="AH103" s="220">
        <v>8</v>
      </c>
      <c r="AI103" s="220">
        <v>7</v>
      </c>
      <c r="AJ103" s="220">
        <v>3</v>
      </c>
      <c r="AK103" s="220">
        <v>4</v>
      </c>
      <c r="AL103" s="220">
        <v>4</v>
      </c>
      <c r="AM103" s="220">
        <v>5</v>
      </c>
      <c r="AN103" s="220">
        <v>8</v>
      </c>
      <c r="AO103" s="220">
        <v>11</v>
      </c>
      <c r="AP103" s="231">
        <v>8</v>
      </c>
      <c r="AQ103" s="430"/>
      <c r="AR103" s="221">
        <f t="shared" si="106"/>
        <v>23</v>
      </c>
      <c r="AS103" s="221">
        <f t="shared" si="107"/>
        <v>70</v>
      </c>
    </row>
    <row r="104" spans="2:45" ht="15.75" customHeight="1">
      <c r="B104" s="227" t="s">
        <v>2350</v>
      </c>
      <c r="C104" s="332" t="s">
        <v>2090</v>
      </c>
      <c r="D104" s="399">
        <v>2</v>
      </c>
      <c r="E104" s="332" t="s">
        <v>2059</v>
      </c>
      <c r="F104" s="427" t="s">
        <v>2059</v>
      </c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428">
        <v>15</v>
      </c>
      <c r="T104" s="220">
        <v>19</v>
      </c>
      <c r="U104" s="220">
        <v>20</v>
      </c>
      <c r="V104" s="220">
        <v>20</v>
      </c>
      <c r="W104" s="220">
        <v>12</v>
      </c>
      <c r="X104" s="220">
        <v>10</v>
      </c>
      <c r="Y104" s="220">
        <v>8</v>
      </c>
      <c r="Z104" s="220">
        <v>9</v>
      </c>
      <c r="AA104" s="220">
        <v>15</v>
      </c>
      <c r="AB104" s="220">
        <v>27</v>
      </c>
      <c r="AC104" s="220">
        <v>25</v>
      </c>
      <c r="AD104" s="231">
        <v>14</v>
      </c>
      <c r="AE104" s="428">
        <v>9</v>
      </c>
      <c r="AF104" s="220">
        <v>14</v>
      </c>
      <c r="AG104" s="220">
        <v>17</v>
      </c>
      <c r="AH104" s="220">
        <v>13</v>
      </c>
      <c r="AI104" s="220">
        <v>17</v>
      </c>
      <c r="AJ104" s="220">
        <v>20</v>
      </c>
      <c r="AK104" s="220">
        <v>11</v>
      </c>
      <c r="AL104" s="220">
        <v>11</v>
      </c>
      <c r="AM104" s="220">
        <v>12</v>
      </c>
      <c r="AN104" s="220">
        <v>19</v>
      </c>
      <c r="AO104" s="220">
        <v>24</v>
      </c>
      <c r="AP104" s="231">
        <v>12</v>
      </c>
      <c r="AQ104" s="430"/>
      <c r="AR104" s="221">
        <f t="shared" si="106"/>
        <v>194</v>
      </c>
      <c r="AS104" s="221">
        <f t="shared" si="107"/>
        <v>179</v>
      </c>
    </row>
    <row r="105" spans="2:45" ht="15.75" customHeight="1">
      <c r="B105" s="227" t="s">
        <v>2350</v>
      </c>
      <c r="C105" s="332" t="s">
        <v>2091</v>
      </c>
      <c r="D105" s="399">
        <v>1</v>
      </c>
      <c r="E105" s="332" t="s">
        <v>2059</v>
      </c>
      <c r="F105" s="427" t="s">
        <v>2059</v>
      </c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428">
        <v>0</v>
      </c>
      <c r="T105" s="220">
        <v>0</v>
      </c>
      <c r="U105" s="220">
        <v>0</v>
      </c>
      <c r="V105" s="220">
        <v>0</v>
      </c>
      <c r="W105" s="220">
        <v>0</v>
      </c>
      <c r="X105" s="220">
        <v>0</v>
      </c>
      <c r="Y105" s="220">
        <v>0</v>
      </c>
      <c r="Z105" s="220">
        <v>0</v>
      </c>
      <c r="AA105" s="220">
        <v>0</v>
      </c>
      <c r="AB105" s="220">
        <v>0</v>
      </c>
      <c r="AC105" s="220">
        <v>0</v>
      </c>
      <c r="AD105" s="231">
        <v>0</v>
      </c>
      <c r="AE105" s="428">
        <v>0</v>
      </c>
      <c r="AF105" s="220">
        <v>0</v>
      </c>
      <c r="AG105" s="220">
        <v>0</v>
      </c>
      <c r="AH105" s="220">
        <v>0</v>
      </c>
      <c r="AI105" s="220">
        <v>2</v>
      </c>
      <c r="AJ105" s="220">
        <v>0</v>
      </c>
      <c r="AK105" s="220">
        <v>0</v>
      </c>
      <c r="AL105" s="220">
        <v>0</v>
      </c>
      <c r="AM105" s="220">
        <v>2</v>
      </c>
      <c r="AN105" s="220">
        <v>2</v>
      </c>
      <c r="AO105" s="220">
        <v>0</v>
      </c>
      <c r="AP105" s="231">
        <v>2</v>
      </c>
      <c r="AQ105" s="430"/>
      <c r="AR105" s="221">
        <f t="shared" si="106"/>
        <v>0</v>
      </c>
      <c r="AS105" s="221">
        <f t="shared" si="107"/>
        <v>8</v>
      </c>
    </row>
    <row r="106" spans="2:45" ht="15.75" customHeight="1">
      <c r="B106" s="227" t="s">
        <v>2350</v>
      </c>
      <c r="C106" s="332" t="s">
        <v>2092</v>
      </c>
      <c r="D106" s="399">
        <v>1</v>
      </c>
      <c r="E106" s="332" t="s">
        <v>2060</v>
      </c>
      <c r="F106" s="427" t="s">
        <v>2060</v>
      </c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428">
        <v>14</v>
      </c>
      <c r="T106" s="220">
        <v>15</v>
      </c>
      <c r="U106" s="220">
        <v>21</v>
      </c>
      <c r="V106" s="220">
        <v>20</v>
      </c>
      <c r="W106" s="220">
        <v>23</v>
      </c>
      <c r="X106" s="220">
        <v>22</v>
      </c>
      <c r="Y106" s="220">
        <v>20</v>
      </c>
      <c r="Z106" s="220">
        <v>23</v>
      </c>
      <c r="AA106" s="220">
        <v>25</v>
      </c>
      <c r="AB106" s="220">
        <v>27</v>
      </c>
      <c r="AC106" s="220">
        <v>25</v>
      </c>
      <c r="AD106" s="231">
        <v>19</v>
      </c>
      <c r="AE106" s="428">
        <v>12</v>
      </c>
      <c r="AF106" s="220">
        <v>11</v>
      </c>
      <c r="AG106" s="220">
        <v>17</v>
      </c>
      <c r="AH106" s="220">
        <v>18</v>
      </c>
      <c r="AI106" s="220">
        <v>28</v>
      </c>
      <c r="AJ106" s="220">
        <v>27</v>
      </c>
      <c r="AK106" s="220">
        <v>15</v>
      </c>
      <c r="AL106" s="220">
        <v>21</v>
      </c>
      <c r="AM106" s="220">
        <v>21</v>
      </c>
      <c r="AN106" s="220">
        <v>21</v>
      </c>
      <c r="AO106" s="220">
        <v>23</v>
      </c>
      <c r="AP106" s="231">
        <v>15</v>
      </c>
      <c r="AQ106" s="430"/>
      <c r="AR106" s="221">
        <f t="shared" si="106"/>
        <v>254</v>
      </c>
      <c r="AS106" s="221">
        <f t="shared" si="107"/>
        <v>229</v>
      </c>
    </row>
    <row r="107" spans="2:45" ht="15.75" customHeight="1">
      <c r="B107" s="431" t="s">
        <v>2350</v>
      </c>
      <c r="C107" s="432" t="s">
        <v>2093</v>
      </c>
      <c r="D107" s="433">
        <v>1</v>
      </c>
      <c r="E107" s="434" t="s">
        <v>204</v>
      </c>
      <c r="F107" s="435" t="s">
        <v>2349</v>
      </c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7">
        <v>0</v>
      </c>
      <c r="T107" s="436">
        <v>0</v>
      </c>
      <c r="U107" s="436">
        <v>0</v>
      </c>
      <c r="V107" s="436">
        <v>0</v>
      </c>
      <c r="W107" s="436">
        <v>0</v>
      </c>
      <c r="X107" s="436">
        <v>0</v>
      </c>
      <c r="Y107" s="436">
        <v>0</v>
      </c>
      <c r="Z107" s="436">
        <v>0</v>
      </c>
      <c r="AA107" s="436">
        <v>0</v>
      </c>
      <c r="AB107" s="436">
        <v>0</v>
      </c>
      <c r="AC107" s="436">
        <v>0</v>
      </c>
      <c r="AD107" s="438">
        <v>0</v>
      </c>
      <c r="AE107" s="437">
        <v>0</v>
      </c>
      <c r="AF107" s="436">
        <v>0</v>
      </c>
      <c r="AG107" s="436">
        <v>0</v>
      </c>
      <c r="AH107" s="436">
        <v>0</v>
      </c>
      <c r="AI107" s="436">
        <v>0</v>
      </c>
      <c r="AJ107" s="436">
        <v>1</v>
      </c>
      <c r="AK107" s="436">
        <v>0</v>
      </c>
      <c r="AL107" s="436">
        <v>0</v>
      </c>
      <c r="AM107" s="436">
        <v>2</v>
      </c>
      <c r="AN107" s="436">
        <v>0</v>
      </c>
      <c r="AO107" s="436">
        <v>1</v>
      </c>
      <c r="AP107" s="438">
        <v>0</v>
      </c>
      <c r="AQ107" s="430"/>
      <c r="AR107" s="221">
        <f t="shared" si="106"/>
        <v>0</v>
      </c>
      <c r="AS107" s="221">
        <f t="shared" si="107"/>
        <v>4</v>
      </c>
    </row>
    <row r="108" spans="2:45" ht="15.75" customHeight="1">
      <c r="B108" s="227" t="s">
        <v>216</v>
      </c>
      <c r="C108" s="332" t="s">
        <v>2061</v>
      </c>
      <c r="D108" s="399">
        <v>1</v>
      </c>
      <c r="E108" s="332" t="s">
        <v>204</v>
      </c>
      <c r="F108" s="427" t="s">
        <v>2347</v>
      </c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428">
        <v>3</v>
      </c>
      <c r="T108" s="220">
        <v>2</v>
      </c>
      <c r="U108" s="220">
        <v>3</v>
      </c>
      <c r="V108" s="220">
        <v>6</v>
      </c>
      <c r="W108" s="220">
        <v>7</v>
      </c>
      <c r="X108" s="220">
        <v>5</v>
      </c>
      <c r="Y108" s="220">
        <v>4</v>
      </c>
      <c r="Z108" s="220">
        <v>1</v>
      </c>
      <c r="AA108" s="220">
        <v>2</v>
      </c>
      <c r="AB108" s="220">
        <v>5</v>
      </c>
      <c r="AC108" s="220">
        <v>8</v>
      </c>
      <c r="AD108" s="231">
        <v>3</v>
      </c>
      <c r="AE108" s="428">
        <v>4</v>
      </c>
      <c r="AF108" s="220">
        <v>0</v>
      </c>
      <c r="AG108" s="220">
        <v>6</v>
      </c>
      <c r="AH108" s="220">
        <v>3</v>
      </c>
      <c r="AI108" s="220">
        <v>3</v>
      </c>
      <c r="AJ108" s="220">
        <v>1</v>
      </c>
      <c r="AK108" s="220">
        <v>2</v>
      </c>
      <c r="AL108" s="220">
        <v>2</v>
      </c>
      <c r="AM108" s="220">
        <v>1</v>
      </c>
      <c r="AN108" s="220">
        <v>7</v>
      </c>
      <c r="AO108" s="220">
        <v>6</v>
      </c>
      <c r="AP108" s="220">
        <v>3</v>
      </c>
      <c r="AQ108" s="430"/>
      <c r="AR108" s="221">
        <f t="shared" si="106"/>
        <v>49</v>
      </c>
      <c r="AS108" s="221">
        <f t="shared" si="107"/>
        <v>38</v>
      </c>
    </row>
    <row r="109" spans="2:45" ht="15.75" customHeight="1">
      <c r="B109" s="227" t="s">
        <v>216</v>
      </c>
      <c r="C109" s="332" t="s">
        <v>2062</v>
      </c>
      <c r="D109" s="399">
        <v>2</v>
      </c>
      <c r="E109" s="332" t="s">
        <v>204</v>
      </c>
      <c r="F109" s="427" t="s">
        <v>2347</v>
      </c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428">
        <v>0</v>
      </c>
      <c r="T109" s="220">
        <v>3</v>
      </c>
      <c r="U109" s="220">
        <v>5</v>
      </c>
      <c r="V109" s="220">
        <v>5</v>
      </c>
      <c r="W109" s="220">
        <v>2</v>
      </c>
      <c r="X109" s="220">
        <v>4</v>
      </c>
      <c r="Y109" s="220">
        <v>4</v>
      </c>
      <c r="Z109" s="220">
        <v>2</v>
      </c>
      <c r="AA109" s="220">
        <v>6</v>
      </c>
      <c r="AB109" s="220">
        <v>5</v>
      </c>
      <c r="AC109" s="220">
        <v>4</v>
      </c>
      <c r="AD109" s="231">
        <v>3</v>
      </c>
      <c r="AE109" s="428">
        <v>4</v>
      </c>
      <c r="AF109" s="220">
        <v>0</v>
      </c>
      <c r="AG109" s="220">
        <v>1</v>
      </c>
      <c r="AH109" s="220">
        <v>3</v>
      </c>
      <c r="AI109" s="220">
        <v>3</v>
      </c>
      <c r="AJ109" s="220">
        <v>3</v>
      </c>
      <c r="AK109" s="220">
        <v>2</v>
      </c>
      <c r="AL109" s="220">
        <v>4</v>
      </c>
      <c r="AM109" s="220">
        <v>3</v>
      </c>
      <c r="AN109" s="220">
        <v>9</v>
      </c>
      <c r="AO109" s="220">
        <v>8</v>
      </c>
      <c r="AP109" s="220">
        <v>2</v>
      </c>
      <c r="AQ109" s="430"/>
      <c r="AR109" s="221">
        <f t="shared" si="106"/>
        <v>43</v>
      </c>
      <c r="AS109" s="221">
        <f t="shared" si="107"/>
        <v>42</v>
      </c>
    </row>
    <row r="110" spans="2:45" ht="15.75" customHeight="1">
      <c r="B110" s="227" t="s">
        <v>216</v>
      </c>
      <c r="C110" s="332" t="s">
        <v>2063</v>
      </c>
      <c r="D110" s="399">
        <v>2</v>
      </c>
      <c r="E110" s="332" t="s">
        <v>204</v>
      </c>
      <c r="F110" s="427" t="s">
        <v>2347</v>
      </c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428">
        <v>2</v>
      </c>
      <c r="T110" s="220">
        <v>4</v>
      </c>
      <c r="U110" s="220">
        <v>5</v>
      </c>
      <c r="V110" s="220">
        <v>7</v>
      </c>
      <c r="W110" s="220">
        <v>5</v>
      </c>
      <c r="X110" s="220">
        <v>13</v>
      </c>
      <c r="Y110" s="220">
        <v>5</v>
      </c>
      <c r="Z110" s="220">
        <v>2</v>
      </c>
      <c r="AA110" s="220">
        <v>3</v>
      </c>
      <c r="AB110" s="220">
        <v>11</v>
      </c>
      <c r="AC110" s="220">
        <v>8</v>
      </c>
      <c r="AD110" s="231">
        <v>6</v>
      </c>
      <c r="AE110" s="428">
        <v>3</v>
      </c>
      <c r="AF110" s="220">
        <v>2</v>
      </c>
      <c r="AG110" s="220">
        <v>3</v>
      </c>
      <c r="AH110" s="220">
        <v>4</v>
      </c>
      <c r="AI110" s="220">
        <v>9</v>
      </c>
      <c r="AJ110" s="220">
        <v>8</v>
      </c>
      <c r="AK110" s="220">
        <v>1</v>
      </c>
      <c r="AL110" s="220">
        <v>5</v>
      </c>
      <c r="AM110" s="220">
        <v>2</v>
      </c>
      <c r="AN110" s="220">
        <v>12</v>
      </c>
      <c r="AO110" s="220">
        <v>6</v>
      </c>
      <c r="AP110" s="220">
        <v>6</v>
      </c>
      <c r="AQ110" s="430"/>
      <c r="AR110" s="221">
        <f t="shared" si="106"/>
        <v>71</v>
      </c>
      <c r="AS110" s="221">
        <f t="shared" si="107"/>
        <v>61</v>
      </c>
    </row>
    <row r="111" spans="2:45" ht="15.75" customHeight="1">
      <c r="B111" s="227" t="s">
        <v>216</v>
      </c>
      <c r="C111" s="332" t="s">
        <v>2064</v>
      </c>
      <c r="D111" s="399">
        <v>1</v>
      </c>
      <c r="E111" s="332" t="s">
        <v>204</v>
      </c>
      <c r="F111" s="427" t="s">
        <v>2347</v>
      </c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428">
        <v>5</v>
      </c>
      <c r="T111" s="220">
        <v>6</v>
      </c>
      <c r="U111" s="220">
        <v>10</v>
      </c>
      <c r="V111" s="220">
        <v>6</v>
      </c>
      <c r="W111" s="220">
        <v>10</v>
      </c>
      <c r="X111" s="220">
        <v>13</v>
      </c>
      <c r="Y111" s="220">
        <v>4</v>
      </c>
      <c r="Z111" s="220">
        <v>8</v>
      </c>
      <c r="AA111" s="220">
        <v>6</v>
      </c>
      <c r="AB111" s="220">
        <v>12</v>
      </c>
      <c r="AC111" s="220">
        <v>12</v>
      </c>
      <c r="AD111" s="231">
        <v>7</v>
      </c>
      <c r="AE111" s="428">
        <v>9</v>
      </c>
      <c r="AF111" s="220">
        <v>8</v>
      </c>
      <c r="AG111" s="220">
        <v>11</v>
      </c>
      <c r="AH111" s="220">
        <v>8</v>
      </c>
      <c r="AI111" s="220">
        <v>11</v>
      </c>
      <c r="AJ111" s="220">
        <v>10</v>
      </c>
      <c r="AK111" s="220">
        <v>5</v>
      </c>
      <c r="AL111" s="220">
        <v>7</v>
      </c>
      <c r="AM111" s="220">
        <v>6</v>
      </c>
      <c r="AN111" s="220">
        <v>13</v>
      </c>
      <c r="AO111" s="220">
        <v>13</v>
      </c>
      <c r="AP111" s="220">
        <v>6</v>
      </c>
      <c r="AQ111" s="430"/>
      <c r="AR111" s="221">
        <f t="shared" si="106"/>
        <v>99</v>
      </c>
      <c r="AS111" s="221">
        <f t="shared" si="107"/>
        <v>107</v>
      </c>
    </row>
    <row r="112" spans="2:45" ht="15.75" customHeight="1">
      <c r="B112" s="227" t="s">
        <v>216</v>
      </c>
      <c r="C112" s="332" t="s">
        <v>2065</v>
      </c>
      <c r="D112" s="399">
        <v>1</v>
      </c>
      <c r="E112" s="332" t="s">
        <v>204</v>
      </c>
      <c r="F112" s="427" t="s">
        <v>2347</v>
      </c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428">
        <v>3</v>
      </c>
      <c r="T112" s="220">
        <v>3</v>
      </c>
      <c r="U112" s="220">
        <v>2</v>
      </c>
      <c r="V112" s="220">
        <v>5</v>
      </c>
      <c r="W112" s="220">
        <v>2</v>
      </c>
      <c r="X112" s="220">
        <v>3</v>
      </c>
      <c r="Y112" s="220">
        <v>2</v>
      </c>
      <c r="Z112" s="220">
        <v>2</v>
      </c>
      <c r="AA112" s="220">
        <v>2</v>
      </c>
      <c r="AB112" s="220">
        <v>5</v>
      </c>
      <c r="AC112" s="220">
        <v>4</v>
      </c>
      <c r="AD112" s="231">
        <v>0</v>
      </c>
      <c r="AE112" s="428">
        <v>1</v>
      </c>
      <c r="AF112" s="220">
        <v>2</v>
      </c>
      <c r="AG112" s="220">
        <v>1</v>
      </c>
      <c r="AH112" s="220">
        <v>4</v>
      </c>
      <c r="AI112" s="220">
        <v>3</v>
      </c>
      <c r="AJ112" s="220">
        <v>4</v>
      </c>
      <c r="AK112" s="220">
        <v>0</v>
      </c>
      <c r="AL112" s="220">
        <v>2</v>
      </c>
      <c r="AM112" s="220">
        <v>0</v>
      </c>
      <c r="AN112" s="220">
        <v>3</v>
      </c>
      <c r="AO112" s="220">
        <v>3</v>
      </c>
      <c r="AP112" s="220">
        <v>2</v>
      </c>
      <c r="AQ112" s="430"/>
      <c r="AR112" s="221">
        <f t="shared" si="106"/>
        <v>33</v>
      </c>
      <c r="AS112" s="221">
        <f t="shared" si="107"/>
        <v>25</v>
      </c>
    </row>
    <row r="113" spans="2:45" ht="15.75" customHeight="1">
      <c r="B113" s="227" t="s">
        <v>216</v>
      </c>
      <c r="C113" s="332" t="s">
        <v>2066</v>
      </c>
      <c r="D113" s="399">
        <v>1</v>
      </c>
      <c r="E113" s="332" t="s">
        <v>204</v>
      </c>
      <c r="F113" s="427" t="s">
        <v>2348</v>
      </c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428">
        <v>6</v>
      </c>
      <c r="T113" s="220">
        <v>6</v>
      </c>
      <c r="U113" s="220">
        <v>11</v>
      </c>
      <c r="V113" s="220">
        <v>7</v>
      </c>
      <c r="W113" s="220">
        <v>11</v>
      </c>
      <c r="X113" s="220">
        <v>15</v>
      </c>
      <c r="Y113" s="220">
        <v>16</v>
      </c>
      <c r="Z113" s="220">
        <v>9</v>
      </c>
      <c r="AA113" s="220">
        <v>10</v>
      </c>
      <c r="AB113" s="220">
        <v>13</v>
      </c>
      <c r="AC113" s="220">
        <v>10</v>
      </c>
      <c r="AD113" s="231">
        <v>3</v>
      </c>
      <c r="AE113" s="428">
        <v>6</v>
      </c>
      <c r="AF113" s="220">
        <v>9</v>
      </c>
      <c r="AG113" s="220">
        <v>7</v>
      </c>
      <c r="AH113" s="220">
        <v>7</v>
      </c>
      <c r="AI113" s="220">
        <v>10</v>
      </c>
      <c r="AJ113" s="220">
        <v>14</v>
      </c>
      <c r="AK113" s="220">
        <v>10</v>
      </c>
      <c r="AL113" s="220">
        <v>11</v>
      </c>
      <c r="AM113" s="220">
        <v>11</v>
      </c>
      <c r="AN113" s="220">
        <v>11</v>
      </c>
      <c r="AO113" s="220">
        <v>9</v>
      </c>
      <c r="AP113" s="220">
        <v>7</v>
      </c>
      <c r="AQ113" s="430"/>
      <c r="AR113" s="221">
        <f t="shared" si="106"/>
        <v>117</v>
      </c>
      <c r="AS113" s="221">
        <f t="shared" si="107"/>
        <v>112</v>
      </c>
    </row>
    <row r="114" spans="2:45" ht="15.75" customHeight="1">
      <c r="B114" s="227" t="s">
        <v>216</v>
      </c>
      <c r="C114" s="332" t="s">
        <v>2067</v>
      </c>
      <c r="D114" s="399">
        <v>1</v>
      </c>
      <c r="E114" s="332" t="s">
        <v>204</v>
      </c>
      <c r="F114" s="427" t="s">
        <v>2348</v>
      </c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428">
        <v>1</v>
      </c>
      <c r="T114" s="220">
        <v>1</v>
      </c>
      <c r="U114" s="220">
        <v>0</v>
      </c>
      <c r="V114" s="220">
        <v>3</v>
      </c>
      <c r="W114" s="220">
        <v>1</v>
      </c>
      <c r="X114" s="220">
        <v>2</v>
      </c>
      <c r="Y114" s="220">
        <v>2</v>
      </c>
      <c r="Z114" s="220">
        <v>4</v>
      </c>
      <c r="AA114" s="220">
        <v>3</v>
      </c>
      <c r="AB114" s="220">
        <v>10</v>
      </c>
      <c r="AC114" s="220">
        <v>8</v>
      </c>
      <c r="AD114" s="231">
        <v>2</v>
      </c>
      <c r="AE114" s="428">
        <v>3</v>
      </c>
      <c r="AF114" s="220">
        <v>5</v>
      </c>
      <c r="AG114" s="220">
        <v>6</v>
      </c>
      <c r="AH114" s="220">
        <v>4</v>
      </c>
      <c r="AI114" s="220">
        <v>1</v>
      </c>
      <c r="AJ114" s="220">
        <v>5</v>
      </c>
      <c r="AK114" s="220">
        <v>2</v>
      </c>
      <c r="AL114" s="220">
        <v>2</v>
      </c>
      <c r="AM114" s="220">
        <v>2</v>
      </c>
      <c r="AN114" s="220">
        <v>3</v>
      </c>
      <c r="AO114" s="220">
        <v>2</v>
      </c>
      <c r="AP114" s="220">
        <v>4</v>
      </c>
      <c r="AQ114" s="430"/>
      <c r="AR114" s="221">
        <f t="shared" si="106"/>
        <v>37</v>
      </c>
      <c r="AS114" s="221">
        <f t="shared" si="107"/>
        <v>39</v>
      </c>
    </row>
    <row r="115" spans="2:45" ht="15.75" customHeight="1">
      <c r="B115" s="227" t="s">
        <v>216</v>
      </c>
      <c r="C115" s="332" t="s">
        <v>2068</v>
      </c>
      <c r="D115" s="399">
        <v>2</v>
      </c>
      <c r="E115" s="332" t="s">
        <v>204</v>
      </c>
      <c r="F115" s="427" t="s">
        <v>2348</v>
      </c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428">
        <v>2</v>
      </c>
      <c r="T115" s="220">
        <v>2</v>
      </c>
      <c r="U115" s="220">
        <v>9</v>
      </c>
      <c r="V115" s="220">
        <v>10</v>
      </c>
      <c r="W115" s="220">
        <v>5</v>
      </c>
      <c r="X115" s="220">
        <v>8</v>
      </c>
      <c r="Y115" s="220">
        <v>3</v>
      </c>
      <c r="Z115" s="220">
        <v>6</v>
      </c>
      <c r="AA115" s="220">
        <v>6</v>
      </c>
      <c r="AB115" s="220">
        <v>13</v>
      </c>
      <c r="AC115" s="220">
        <v>16</v>
      </c>
      <c r="AD115" s="231">
        <v>6</v>
      </c>
      <c r="AE115" s="428">
        <v>4</v>
      </c>
      <c r="AF115" s="220">
        <v>3</v>
      </c>
      <c r="AG115" s="220">
        <v>7</v>
      </c>
      <c r="AH115" s="220">
        <v>4</v>
      </c>
      <c r="AI115" s="220">
        <v>10</v>
      </c>
      <c r="AJ115" s="220">
        <v>9</v>
      </c>
      <c r="AK115" s="220">
        <v>2</v>
      </c>
      <c r="AL115" s="220">
        <v>6</v>
      </c>
      <c r="AM115" s="220">
        <v>9</v>
      </c>
      <c r="AN115" s="220">
        <v>11</v>
      </c>
      <c r="AO115" s="220">
        <v>11</v>
      </c>
      <c r="AP115" s="220">
        <v>6</v>
      </c>
      <c r="AQ115" s="430"/>
      <c r="AR115" s="221">
        <f t="shared" si="106"/>
        <v>86</v>
      </c>
      <c r="AS115" s="221">
        <f t="shared" si="107"/>
        <v>82</v>
      </c>
    </row>
    <row r="116" spans="2:45" ht="15.75" customHeight="1">
      <c r="B116" s="227" t="s">
        <v>216</v>
      </c>
      <c r="C116" s="332" t="s">
        <v>2069</v>
      </c>
      <c r="D116" s="399">
        <v>1</v>
      </c>
      <c r="E116" s="332" t="s">
        <v>204</v>
      </c>
      <c r="F116" s="427" t="s">
        <v>2348</v>
      </c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428">
        <v>2</v>
      </c>
      <c r="T116" s="220">
        <v>1</v>
      </c>
      <c r="U116" s="220">
        <v>7</v>
      </c>
      <c r="V116" s="220">
        <v>11</v>
      </c>
      <c r="W116" s="220">
        <v>6</v>
      </c>
      <c r="X116" s="220">
        <v>5</v>
      </c>
      <c r="Y116" s="220">
        <v>3</v>
      </c>
      <c r="Z116" s="220">
        <v>8</v>
      </c>
      <c r="AA116" s="220">
        <v>9</v>
      </c>
      <c r="AB116" s="220">
        <v>8</v>
      </c>
      <c r="AC116" s="220">
        <v>12</v>
      </c>
      <c r="AD116" s="231">
        <v>7</v>
      </c>
      <c r="AE116" s="428">
        <v>3</v>
      </c>
      <c r="AF116" s="220">
        <v>5</v>
      </c>
      <c r="AG116" s="220">
        <v>5</v>
      </c>
      <c r="AH116" s="220">
        <v>7</v>
      </c>
      <c r="AI116" s="220">
        <v>13</v>
      </c>
      <c r="AJ116" s="220">
        <v>6</v>
      </c>
      <c r="AK116" s="220">
        <v>4</v>
      </c>
      <c r="AL116" s="220">
        <v>6</v>
      </c>
      <c r="AM116" s="220">
        <v>6</v>
      </c>
      <c r="AN116" s="220">
        <v>12</v>
      </c>
      <c r="AO116" s="220">
        <v>14</v>
      </c>
      <c r="AP116" s="220">
        <v>5</v>
      </c>
      <c r="AQ116" s="430"/>
      <c r="AR116" s="221">
        <f t="shared" si="106"/>
        <v>79</v>
      </c>
      <c r="AS116" s="221">
        <f t="shared" si="107"/>
        <v>86</v>
      </c>
    </row>
    <row r="117" spans="2:45" ht="15.75" customHeight="1">
      <c r="B117" s="227" t="s">
        <v>216</v>
      </c>
      <c r="C117" s="332" t="s">
        <v>2070</v>
      </c>
      <c r="D117" s="399">
        <v>1</v>
      </c>
      <c r="E117" s="332" t="s">
        <v>204</v>
      </c>
      <c r="F117" s="427" t="s">
        <v>2348</v>
      </c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428">
        <v>4</v>
      </c>
      <c r="T117" s="220">
        <v>5</v>
      </c>
      <c r="U117" s="220">
        <v>13</v>
      </c>
      <c r="V117" s="220">
        <v>16</v>
      </c>
      <c r="W117" s="220">
        <v>13</v>
      </c>
      <c r="X117" s="220">
        <v>15</v>
      </c>
      <c r="Y117" s="220">
        <v>9</v>
      </c>
      <c r="Z117" s="220">
        <v>11</v>
      </c>
      <c r="AA117" s="220">
        <v>11</v>
      </c>
      <c r="AB117" s="220">
        <v>15</v>
      </c>
      <c r="AC117" s="220">
        <v>16</v>
      </c>
      <c r="AD117" s="231">
        <v>11</v>
      </c>
      <c r="AE117" s="428">
        <v>4</v>
      </c>
      <c r="AF117" s="220">
        <v>6</v>
      </c>
      <c r="AG117" s="220">
        <v>12</v>
      </c>
      <c r="AH117" s="220">
        <v>12</v>
      </c>
      <c r="AI117" s="220">
        <v>13</v>
      </c>
      <c r="AJ117" s="220">
        <v>9</v>
      </c>
      <c r="AK117" s="220">
        <v>7</v>
      </c>
      <c r="AL117" s="220">
        <v>6</v>
      </c>
      <c r="AM117" s="220">
        <v>11</v>
      </c>
      <c r="AN117" s="220">
        <v>15</v>
      </c>
      <c r="AO117" s="220">
        <v>15</v>
      </c>
      <c r="AP117" s="220">
        <v>6</v>
      </c>
      <c r="AQ117" s="430"/>
      <c r="AR117" s="221">
        <f t="shared" si="106"/>
        <v>139</v>
      </c>
      <c r="AS117" s="221">
        <f t="shared" si="107"/>
        <v>116</v>
      </c>
    </row>
    <row r="118" spans="2:45" ht="15.75" customHeight="1">
      <c r="B118" s="227" t="s">
        <v>216</v>
      </c>
      <c r="C118" s="332" t="s">
        <v>2071</v>
      </c>
      <c r="D118" s="399">
        <v>2</v>
      </c>
      <c r="E118" s="332" t="s">
        <v>204</v>
      </c>
      <c r="F118" s="427" t="s">
        <v>2348</v>
      </c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428">
        <v>0</v>
      </c>
      <c r="T118" s="220">
        <v>0</v>
      </c>
      <c r="U118" s="220">
        <v>0</v>
      </c>
      <c r="V118" s="220">
        <v>0</v>
      </c>
      <c r="W118" s="220">
        <v>0</v>
      </c>
      <c r="X118" s="220">
        <v>0</v>
      </c>
      <c r="Y118" s="220">
        <v>0</v>
      </c>
      <c r="Z118" s="220">
        <v>0</v>
      </c>
      <c r="AA118" s="220">
        <v>0</v>
      </c>
      <c r="AB118" s="220">
        <v>0</v>
      </c>
      <c r="AC118" s="220">
        <v>0</v>
      </c>
      <c r="AD118" s="231">
        <v>0</v>
      </c>
      <c r="AE118" s="428">
        <v>0</v>
      </c>
      <c r="AF118" s="220">
        <v>0</v>
      </c>
      <c r="AG118" s="220">
        <v>3</v>
      </c>
      <c r="AH118" s="220">
        <v>5</v>
      </c>
      <c r="AI118" s="220">
        <v>4</v>
      </c>
      <c r="AJ118" s="220">
        <v>0</v>
      </c>
      <c r="AK118" s="220">
        <v>2</v>
      </c>
      <c r="AL118" s="220">
        <v>2</v>
      </c>
      <c r="AM118" s="220">
        <v>3</v>
      </c>
      <c r="AN118" s="220">
        <v>5</v>
      </c>
      <c r="AO118" s="220">
        <v>5</v>
      </c>
      <c r="AP118" s="220">
        <v>1</v>
      </c>
      <c r="AQ118" s="430"/>
      <c r="AR118" s="221">
        <f t="shared" si="106"/>
        <v>0</v>
      </c>
      <c r="AS118" s="221">
        <f t="shared" si="107"/>
        <v>30</v>
      </c>
    </row>
    <row r="119" spans="2:45" ht="15.75" customHeight="1">
      <c r="B119" s="227" t="s">
        <v>216</v>
      </c>
      <c r="C119" s="332" t="s">
        <v>2072</v>
      </c>
      <c r="D119" s="399">
        <v>1</v>
      </c>
      <c r="E119" s="332" t="s">
        <v>204</v>
      </c>
      <c r="F119" s="427" t="s">
        <v>2348</v>
      </c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428">
        <v>1</v>
      </c>
      <c r="T119" s="220">
        <v>1</v>
      </c>
      <c r="U119" s="220">
        <v>2</v>
      </c>
      <c r="V119" s="220">
        <v>2</v>
      </c>
      <c r="W119" s="220">
        <v>8</v>
      </c>
      <c r="X119" s="220">
        <v>6</v>
      </c>
      <c r="Y119" s="220">
        <v>0</v>
      </c>
      <c r="Z119" s="220">
        <v>1</v>
      </c>
      <c r="AA119" s="220">
        <v>4</v>
      </c>
      <c r="AB119" s="220">
        <v>8</v>
      </c>
      <c r="AC119" s="220">
        <v>7</v>
      </c>
      <c r="AD119" s="231">
        <v>6</v>
      </c>
      <c r="AE119" s="428">
        <v>0</v>
      </c>
      <c r="AF119" s="220">
        <v>1</v>
      </c>
      <c r="AG119" s="220">
        <v>3</v>
      </c>
      <c r="AH119" s="220">
        <v>6</v>
      </c>
      <c r="AI119" s="220">
        <v>8</v>
      </c>
      <c r="AJ119" s="220">
        <v>2</v>
      </c>
      <c r="AK119" s="220">
        <v>4</v>
      </c>
      <c r="AL119" s="220">
        <v>0</v>
      </c>
      <c r="AM119" s="220">
        <v>4</v>
      </c>
      <c r="AN119" s="220">
        <v>4</v>
      </c>
      <c r="AO119" s="220">
        <v>6</v>
      </c>
      <c r="AP119" s="220">
        <v>0</v>
      </c>
      <c r="AQ119" s="430"/>
      <c r="AR119" s="221">
        <f t="shared" si="106"/>
        <v>46</v>
      </c>
      <c r="AS119" s="221">
        <f t="shared" si="107"/>
        <v>38</v>
      </c>
    </row>
    <row r="120" spans="2:45" ht="15.75" customHeight="1">
      <c r="B120" s="227" t="s">
        <v>216</v>
      </c>
      <c r="C120" s="332" t="s">
        <v>2073</v>
      </c>
      <c r="D120" s="399">
        <v>1</v>
      </c>
      <c r="E120" s="332" t="s">
        <v>204</v>
      </c>
      <c r="F120" s="427" t="s">
        <v>2349</v>
      </c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428">
        <v>2</v>
      </c>
      <c r="T120" s="220">
        <v>4</v>
      </c>
      <c r="U120" s="220">
        <v>5</v>
      </c>
      <c r="V120" s="220">
        <v>8</v>
      </c>
      <c r="W120" s="220">
        <v>9</v>
      </c>
      <c r="X120" s="220">
        <v>5</v>
      </c>
      <c r="Y120" s="220">
        <v>2</v>
      </c>
      <c r="Z120" s="220">
        <v>5</v>
      </c>
      <c r="AA120" s="220">
        <v>5</v>
      </c>
      <c r="AB120" s="220">
        <v>6</v>
      </c>
      <c r="AC120" s="220">
        <v>7</v>
      </c>
      <c r="AD120" s="231">
        <v>4</v>
      </c>
      <c r="AE120" s="428">
        <v>7</v>
      </c>
      <c r="AF120" s="220">
        <v>4</v>
      </c>
      <c r="AG120" s="220">
        <v>6</v>
      </c>
      <c r="AH120" s="220">
        <v>5</v>
      </c>
      <c r="AI120" s="220">
        <v>5</v>
      </c>
      <c r="AJ120" s="220">
        <v>7</v>
      </c>
      <c r="AK120" s="220">
        <v>3</v>
      </c>
      <c r="AL120" s="220">
        <v>4</v>
      </c>
      <c r="AM120" s="220">
        <v>3</v>
      </c>
      <c r="AN120" s="220">
        <v>10</v>
      </c>
      <c r="AO120" s="220">
        <v>6</v>
      </c>
      <c r="AP120" s="220">
        <v>5</v>
      </c>
      <c r="AQ120" s="430"/>
      <c r="AR120" s="221">
        <f t="shared" si="106"/>
        <v>62</v>
      </c>
      <c r="AS120" s="221">
        <f t="shared" si="107"/>
        <v>65</v>
      </c>
    </row>
    <row r="121" spans="2:45" ht="15.75" customHeight="1">
      <c r="B121" s="227" t="s">
        <v>216</v>
      </c>
      <c r="C121" s="332" t="s">
        <v>2074</v>
      </c>
      <c r="D121" s="399">
        <v>1</v>
      </c>
      <c r="E121" s="332" t="s">
        <v>204</v>
      </c>
      <c r="F121" s="427" t="s">
        <v>2349</v>
      </c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428">
        <v>2</v>
      </c>
      <c r="T121" s="220">
        <v>3</v>
      </c>
      <c r="U121" s="220">
        <v>3</v>
      </c>
      <c r="V121" s="220">
        <v>6</v>
      </c>
      <c r="W121" s="220">
        <v>6</v>
      </c>
      <c r="X121" s="220">
        <v>3</v>
      </c>
      <c r="Y121" s="220">
        <v>4</v>
      </c>
      <c r="Z121" s="220">
        <v>4</v>
      </c>
      <c r="AA121" s="220">
        <v>8</v>
      </c>
      <c r="AB121" s="220">
        <v>5</v>
      </c>
      <c r="AC121" s="220">
        <v>9</v>
      </c>
      <c r="AD121" s="231">
        <v>2</v>
      </c>
      <c r="AE121" s="428">
        <v>4</v>
      </c>
      <c r="AF121" s="220">
        <v>1</v>
      </c>
      <c r="AG121" s="220">
        <v>3</v>
      </c>
      <c r="AH121" s="220">
        <v>5</v>
      </c>
      <c r="AI121" s="220">
        <v>5</v>
      </c>
      <c r="AJ121" s="220">
        <v>6</v>
      </c>
      <c r="AK121" s="220">
        <v>2</v>
      </c>
      <c r="AL121" s="220">
        <v>4</v>
      </c>
      <c r="AM121" s="220">
        <v>6</v>
      </c>
      <c r="AN121" s="220">
        <v>6</v>
      </c>
      <c r="AO121" s="220">
        <v>3</v>
      </c>
      <c r="AP121" s="220">
        <v>4</v>
      </c>
      <c r="AQ121" s="430"/>
      <c r="AR121" s="221">
        <f t="shared" si="106"/>
        <v>55</v>
      </c>
      <c r="AS121" s="221">
        <f t="shared" si="107"/>
        <v>49</v>
      </c>
    </row>
    <row r="122" spans="2:45" ht="15.75" customHeight="1">
      <c r="B122" s="227" t="s">
        <v>216</v>
      </c>
      <c r="C122" s="332" t="s">
        <v>2075</v>
      </c>
      <c r="D122" s="399">
        <v>1</v>
      </c>
      <c r="E122" s="332" t="s">
        <v>204</v>
      </c>
      <c r="F122" s="427" t="s">
        <v>2349</v>
      </c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428">
        <v>9</v>
      </c>
      <c r="T122" s="220">
        <v>6</v>
      </c>
      <c r="U122" s="220">
        <v>9</v>
      </c>
      <c r="V122" s="220">
        <v>9</v>
      </c>
      <c r="W122" s="220">
        <v>11</v>
      </c>
      <c r="X122" s="220">
        <v>9</v>
      </c>
      <c r="Y122" s="220">
        <v>5</v>
      </c>
      <c r="Z122" s="220">
        <v>12</v>
      </c>
      <c r="AA122" s="220">
        <v>8</v>
      </c>
      <c r="AB122" s="220">
        <v>13</v>
      </c>
      <c r="AC122" s="220">
        <v>12</v>
      </c>
      <c r="AD122" s="231">
        <v>13</v>
      </c>
      <c r="AE122" s="428">
        <v>4</v>
      </c>
      <c r="AF122" s="220">
        <v>9</v>
      </c>
      <c r="AG122" s="220">
        <v>10</v>
      </c>
      <c r="AH122" s="220">
        <v>9</v>
      </c>
      <c r="AI122" s="220">
        <v>11</v>
      </c>
      <c r="AJ122" s="220">
        <v>12</v>
      </c>
      <c r="AK122" s="220">
        <v>9</v>
      </c>
      <c r="AL122" s="220">
        <v>7</v>
      </c>
      <c r="AM122" s="220">
        <v>8</v>
      </c>
      <c r="AN122" s="220">
        <v>16</v>
      </c>
      <c r="AO122" s="220">
        <v>8</v>
      </c>
      <c r="AP122" s="220">
        <v>5</v>
      </c>
      <c r="AQ122" s="430"/>
      <c r="AR122" s="221">
        <f t="shared" si="106"/>
        <v>116</v>
      </c>
      <c r="AS122" s="221">
        <f t="shared" si="107"/>
        <v>108</v>
      </c>
    </row>
    <row r="123" spans="2:45" ht="15.75" customHeight="1">
      <c r="B123" s="227" t="s">
        <v>216</v>
      </c>
      <c r="C123" s="332" t="s">
        <v>2076</v>
      </c>
      <c r="D123" s="399">
        <v>1</v>
      </c>
      <c r="E123" s="332" t="s">
        <v>204</v>
      </c>
      <c r="F123" s="427" t="s">
        <v>2349</v>
      </c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428">
        <v>1</v>
      </c>
      <c r="T123" s="220">
        <v>2</v>
      </c>
      <c r="U123" s="220">
        <v>6</v>
      </c>
      <c r="V123" s="220">
        <v>3</v>
      </c>
      <c r="W123" s="220">
        <v>3</v>
      </c>
      <c r="X123" s="220">
        <v>5</v>
      </c>
      <c r="Y123" s="220">
        <v>3</v>
      </c>
      <c r="Z123" s="220">
        <v>5</v>
      </c>
      <c r="AA123" s="220">
        <v>4</v>
      </c>
      <c r="AB123" s="220">
        <v>8</v>
      </c>
      <c r="AC123" s="220">
        <v>7</v>
      </c>
      <c r="AD123" s="231">
        <v>2</v>
      </c>
      <c r="AE123" s="428">
        <v>1</v>
      </c>
      <c r="AF123" s="220">
        <v>3</v>
      </c>
      <c r="AG123" s="220">
        <v>3</v>
      </c>
      <c r="AH123" s="220">
        <v>4</v>
      </c>
      <c r="AI123" s="220">
        <v>3</v>
      </c>
      <c r="AJ123" s="220">
        <v>3</v>
      </c>
      <c r="AK123" s="220">
        <v>1</v>
      </c>
      <c r="AL123" s="220">
        <v>1</v>
      </c>
      <c r="AM123" s="220">
        <v>2</v>
      </c>
      <c r="AN123" s="220">
        <v>8</v>
      </c>
      <c r="AO123" s="220">
        <v>5</v>
      </c>
      <c r="AP123" s="220">
        <v>3</v>
      </c>
      <c r="AQ123" s="430"/>
      <c r="AR123" s="221">
        <f t="shared" si="106"/>
        <v>49</v>
      </c>
      <c r="AS123" s="221">
        <f t="shared" si="107"/>
        <v>37</v>
      </c>
    </row>
    <row r="124" spans="2:45" ht="15.75" customHeight="1">
      <c r="B124" s="227" t="s">
        <v>216</v>
      </c>
      <c r="C124" s="332" t="s">
        <v>2077</v>
      </c>
      <c r="D124" s="399">
        <v>1</v>
      </c>
      <c r="E124" s="332" t="s">
        <v>204</v>
      </c>
      <c r="F124" s="427" t="s">
        <v>2349</v>
      </c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428">
        <v>8</v>
      </c>
      <c r="T124" s="220">
        <v>3</v>
      </c>
      <c r="U124" s="220">
        <v>2</v>
      </c>
      <c r="V124" s="220">
        <v>7</v>
      </c>
      <c r="W124" s="220">
        <v>5</v>
      </c>
      <c r="X124" s="220">
        <v>4</v>
      </c>
      <c r="Y124" s="220">
        <v>2</v>
      </c>
      <c r="Z124" s="220">
        <v>5</v>
      </c>
      <c r="AA124" s="220">
        <v>4</v>
      </c>
      <c r="AB124" s="220">
        <v>10</v>
      </c>
      <c r="AC124" s="220">
        <v>4</v>
      </c>
      <c r="AD124" s="231">
        <v>6</v>
      </c>
      <c r="AE124" s="428">
        <v>5</v>
      </c>
      <c r="AF124" s="220">
        <v>0</v>
      </c>
      <c r="AG124" s="220">
        <v>4</v>
      </c>
      <c r="AH124" s="220">
        <v>4</v>
      </c>
      <c r="AI124" s="220">
        <v>6</v>
      </c>
      <c r="AJ124" s="220">
        <v>2</v>
      </c>
      <c r="AK124" s="220">
        <v>0</v>
      </c>
      <c r="AL124" s="220">
        <v>3</v>
      </c>
      <c r="AM124" s="220">
        <v>1</v>
      </c>
      <c r="AN124" s="220">
        <v>6</v>
      </c>
      <c r="AO124" s="220">
        <v>1</v>
      </c>
      <c r="AP124" s="220">
        <v>1</v>
      </c>
      <c r="AQ124" s="430"/>
      <c r="AR124" s="221">
        <f t="shared" si="106"/>
        <v>60</v>
      </c>
      <c r="AS124" s="221">
        <f t="shared" si="107"/>
        <v>33</v>
      </c>
    </row>
    <row r="125" spans="2:45" ht="15.75" customHeight="1">
      <c r="B125" s="227" t="s">
        <v>216</v>
      </c>
      <c r="C125" s="332" t="s">
        <v>2078</v>
      </c>
      <c r="D125" s="399">
        <v>2</v>
      </c>
      <c r="E125" s="332" t="s">
        <v>2058</v>
      </c>
      <c r="F125" s="427" t="s">
        <v>2058</v>
      </c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428">
        <v>3</v>
      </c>
      <c r="T125" s="220">
        <v>7</v>
      </c>
      <c r="U125" s="220">
        <v>20</v>
      </c>
      <c r="V125" s="220">
        <v>20</v>
      </c>
      <c r="W125" s="220">
        <v>13</v>
      </c>
      <c r="X125" s="220">
        <v>9</v>
      </c>
      <c r="Y125" s="220">
        <v>5</v>
      </c>
      <c r="Z125" s="220">
        <v>5</v>
      </c>
      <c r="AA125" s="220">
        <v>8</v>
      </c>
      <c r="AB125" s="220">
        <v>26</v>
      </c>
      <c r="AC125" s="220">
        <v>27</v>
      </c>
      <c r="AD125" s="231">
        <v>11</v>
      </c>
      <c r="AE125" s="428">
        <v>4</v>
      </c>
      <c r="AF125" s="220">
        <v>1</v>
      </c>
      <c r="AG125" s="220">
        <v>13</v>
      </c>
      <c r="AH125" s="220">
        <v>10</v>
      </c>
      <c r="AI125" s="220">
        <v>12</v>
      </c>
      <c r="AJ125" s="220">
        <v>5</v>
      </c>
      <c r="AK125" s="220">
        <v>6</v>
      </c>
      <c r="AL125" s="220">
        <v>4</v>
      </c>
      <c r="AM125" s="220">
        <v>8</v>
      </c>
      <c r="AN125" s="220">
        <v>17</v>
      </c>
      <c r="AO125" s="220">
        <v>18</v>
      </c>
      <c r="AP125" s="220">
        <v>0</v>
      </c>
      <c r="AQ125" s="430"/>
      <c r="AR125" s="221">
        <f t="shared" si="106"/>
        <v>154</v>
      </c>
      <c r="AS125" s="221">
        <f t="shared" si="107"/>
        <v>98</v>
      </c>
    </row>
    <row r="126" spans="2:45" ht="15.75" customHeight="1">
      <c r="B126" s="227" t="s">
        <v>216</v>
      </c>
      <c r="C126" s="332" t="s">
        <v>2169</v>
      </c>
      <c r="D126" s="399">
        <v>1</v>
      </c>
      <c r="E126" s="332" t="s">
        <v>2058</v>
      </c>
      <c r="F126" s="427" t="s">
        <v>2058</v>
      </c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428">
        <v>6</v>
      </c>
      <c r="T126" s="220">
        <v>3</v>
      </c>
      <c r="U126" s="220">
        <v>12</v>
      </c>
      <c r="V126" s="220">
        <v>15</v>
      </c>
      <c r="W126" s="220">
        <v>11</v>
      </c>
      <c r="X126" s="220">
        <v>11</v>
      </c>
      <c r="Y126" s="220">
        <v>11</v>
      </c>
      <c r="Z126" s="220">
        <v>6</v>
      </c>
      <c r="AA126" s="220">
        <v>7</v>
      </c>
      <c r="AB126" s="220">
        <v>19</v>
      </c>
      <c r="AC126" s="220">
        <v>18</v>
      </c>
      <c r="AD126" s="231">
        <v>7</v>
      </c>
      <c r="AE126" s="428">
        <v>5</v>
      </c>
      <c r="AF126" s="220">
        <v>1</v>
      </c>
      <c r="AG126" s="220">
        <v>13</v>
      </c>
      <c r="AH126" s="220">
        <v>11</v>
      </c>
      <c r="AI126" s="220">
        <v>10</v>
      </c>
      <c r="AJ126" s="220">
        <v>5</v>
      </c>
      <c r="AK126" s="220">
        <v>4</v>
      </c>
      <c r="AL126" s="220">
        <v>5</v>
      </c>
      <c r="AM126" s="220">
        <v>4</v>
      </c>
      <c r="AN126" s="220">
        <v>9</v>
      </c>
      <c r="AO126" s="220">
        <v>11</v>
      </c>
      <c r="AP126" s="220">
        <v>3</v>
      </c>
      <c r="AQ126" s="430"/>
      <c r="AR126" s="221">
        <f t="shared" si="106"/>
        <v>126</v>
      </c>
      <c r="AS126" s="221">
        <f t="shared" si="107"/>
        <v>81</v>
      </c>
    </row>
    <row r="127" spans="2:45" ht="15.75" customHeight="1">
      <c r="B127" s="227" t="s">
        <v>216</v>
      </c>
      <c r="C127" s="332" t="s">
        <v>2080</v>
      </c>
      <c r="D127" s="399">
        <v>2</v>
      </c>
      <c r="E127" s="332" t="s">
        <v>2058</v>
      </c>
      <c r="F127" s="427" t="s">
        <v>2058</v>
      </c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428">
        <v>0</v>
      </c>
      <c r="T127" s="220">
        <v>0</v>
      </c>
      <c r="U127" s="220">
        <v>0</v>
      </c>
      <c r="V127" s="220">
        <v>0</v>
      </c>
      <c r="W127" s="220">
        <v>0</v>
      </c>
      <c r="X127" s="220">
        <v>0</v>
      </c>
      <c r="Y127" s="220">
        <v>0</v>
      </c>
      <c r="Z127" s="220">
        <v>0</v>
      </c>
      <c r="AA127" s="220">
        <v>0</v>
      </c>
      <c r="AB127" s="220">
        <v>0</v>
      </c>
      <c r="AC127" s="220">
        <v>0</v>
      </c>
      <c r="AD127" s="231">
        <v>0</v>
      </c>
      <c r="AE127" s="428">
        <v>0</v>
      </c>
      <c r="AF127" s="220">
        <v>0</v>
      </c>
      <c r="AG127" s="220">
        <v>0</v>
      </c>
      <c r="AH127" s="220">
        <v>0</v>
      </c>
      <c r="AI127" s="220">
        <v>0</v>
      </c>
      <c r="AJ127" s="220">
        <v>0</v>
      </c>
      <c r="AK127" s="220">
        <v>0</v>
      </c>
      <c r="AL127" s="220">
        <v>0</v>
      </c>
      <c r="AM127" s="220">
        <v>0</v>
      </c>
      <c r="AN127" s="220">
        <v>0</v>
      </c>
      <c r="AO127" s="220">
        <v>0</v>
      </c>
      <c r="AP127" s="220">
        <v>0</v>
      </c>
      <c r="AQ127" s="430"/>
      <c r="AR127" s="221">
        <f t="shared" si="106"/>
        <v>0</v>
      </c>
      <c r="AS127" s="221">
        <f t="shared" si="107"/>
        <v>0</v>
      </c>
    </row>
    <row r="128" spans="2:45" ht="15.75" customHeight="1">
      <c r="B128" s="227" t="s">
        <v>216</v>
      </c>
      <c r="C128" s="332" t="s">
        <v>2081</v>
      </c>
      <c r="D128" s="399">
        <v>1</v>
      </c>
      <c r="E128" s="332" t="s">
        <v>2058</v>
      </c>
      <c r="F128" s="427" t="s">
        <v>2058</v>
      </c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428">
        <v>1</v>
      </c>
      <c r="T128" s="220">
        <v>4</v>
      </c>
      <c r="U128" s="220">
        <v>6</v>
      </c>
      <c r="V128" s="220">
        <v>7</v>
      </c>
      <c r="W128" s="220">
        <v>7</v>
      </c>
      <c r="X128" s="220">
        <v>2</v>
      </c>
      <c r="Y128" s="220">
        <v>0</v>
      </c>
      <c r="Z128" s="220">
        <v>1</v>
      </c>
      <c r="AA128" s="220">
        <v>2</v>
      </c>
      <c r="AB128" s="220">
        <v>12</v>
      </c>
      <c r="AC128" s="220">
        <v>10</v>
      </c>
      <c r="AD128" s="231">
        <v>5</v>
      </c>
      <c r="AE128" s="428">
        <v>5</v>
      </c>
      <c r="AF128" s="220">
        <v>2</v>
      </c>
      <c r="AG128" s="220">
        <v>2</v>
      </c>
      <c r="AH128" s="220">
        <v>1</v>
      </c>
      <c r="AI128" s="220">
        <v>5</v>
      </c>
      <c r="AJ128" s="220">
        <v>1</v>
      </c>
      <c r="AK128" s="220">
        <v>1</v>
      </c>
      <c r="AL128" s="220">
        <v>1</v>
      </c>
      <c r="AM128" s="220">
        <v>3</v>
      </c>
      <c r="AN128" s="220">
        <v>6</v>
      </c>
      <c r="AO128" s="220">
        <v>3</v>
      </c>
      <c r="AP128" s="220">
        <v>3</v>
      </c>
      <c r="AQ128" s="430"/>
      <c r="AR128" s="221">
        <f t="shared" si="106"/>
        <v>57</v>
      </c>
      <c r="AS128" s="221">
        <f t="shared" si="107"/>
        <v>33</v>
      </c>
    </row>
    <row r="129" spans="2:45" ht="15.75" customHeight="1">
      <c r="B129" s="227" t="s">
        <v>216</v>
      </c>
      <c r="C129" s="332" t="s">
        <v>2082</v>
      </c>
      <c r="D129" s="399">
        <v>1</v>
      </c>
      <c r="E129" s="332" t="s">
        <v>2058</v>
      </c>
      <c r="F129" s="427" t="s">
        <v>2058</v>
      </c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428">
        <v>2</v>
      </c>
      <c r="T129" s="220">
        <v>1</v>
      </c>
      <c r="U129" s="220">
        <v>5</v>
      </c>
      <c r="V129" s="220">
        <v>12</v>
      </c>
      <c r="W129" s="220">
        <v>12</v>
      </c>
      <c r="X129" s="220">
        <v>10</v>
      </c>
      <c r="Y129" s="220">
        <v>4</v>
      </c>
      <c r="Z129" s="220">
        <v>0</v>
      </c>
      <c r="AA129" s="220">
        <v>11</v>
      </c>
      <c r="AB129" s="220">
        <v>16</v>
      </c>
      <c r="AC129" s="220">
        <v>17</v>
      </c>
      <c r="AD129" s="231">
        <v>8</v>
      </c>
      <c r="AE129" s="428">
        <v>2</v>
      </c>
      <c r="AF129" s="220">
        <v>2</v>
      </c>
      <c r="AG129" s="220">
        <v>12</v>
      </c>
      <c r="AH129" s="220">
        <v>7</v>
      </c>
      <c r="AI129" s="220">
        <v>6</v>
      </c>
      <c r="AJ129" s="220">
        <v>2</v>
      </c>
      <c r="AK129" s="220">
        <v>2</v>
      </c>
      <c r="AL129" s="220">
        <v>1</v>
      </c>
      <c r="AM129" s="220">
        <v>4</v>
      </c>
      <c r="AN129" s="220">
        <v>13</v>
      </c>
      <c r="AO129" s="220">
        <v>8</v>
      </c>
      <c r="AP129" s="220">
        <v>5</v>
      </c>
      <c r="AQ129" s="430"/>
      <c r="AR129" s="221">
        <f t="shared" si="106"/>
        <v>98</v>
      </c>
      <c r="AS129" s="221">
        <f t="shared" si="107"/>
        <v>64</v>
      </c>
    </row>
    <row r="130" spans="2:45" ht="15.75" customHeight="1">
      <c r="B130" s="227" t="s">
        <v>216</v>
      </c>
      <c r="C130" s="332" t="s">
        <v>2083</v>
      </c>
      <c r="D130" s="399">
        <v>2</v>
      </c>
      <c r="E130" s="332" t="s">
        <v>2058</v>
      </c>
      <c r="F130" s="427" t="s">
        <v>2058</v>
      </c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428">
        <v>6</v>
      </c>
      <c r="T130" s="220">
        <v>5</v>
      </c>
      <c r="U130" s="220">
        <v>18</v>
      </c>
      <c r="V130" s="220">
        <v>10</v>
      </c>
      <c r="W130" s="220">
        <v>5</v>
      </c>
      <c r="X130" s="220">
        <v>6</v>
      </c>
      <c r="Y130" s="220">
        <v>4</v>
      </c>
      <c r="Z130" s="220">
        <v>4</v>
      </c>
      <c r="AA130" s="220">
        <v>9</v>
      </c>
      <c r="AB130" s="220">
        <v>19</v>
      </c>
      <c r="AC130" s="220">
        <v>24</v>
      </c>
      <c r="AD130" s="231">
        <v>12</v>
      </c>
      <c r="AE130" s="428">
        <v>1</v>
      </c>
      <c r="AF130" s="220">
        <v>3</v>
      </c>
      <c r="AG130" s="220">
        <v>5</v>
      </c>
      <c r="AH130" s="220">
        <v>7</v>
      </c>
      <c r="AI130" s="220">
        <v>6</v>
      </c>
      <c r="AJ130" s="220">
        <v>6</v>
      </c>
      <c r="AK130" s="220">
        <v>0</v>
      </c>
      <c r="AL130" s="220">
        <v>3</v>
      </c>
      <c r="AM130" s="220">
        <v>4</v>
      </c>
      <c r="AN130" s="220">
        <v>10</v>
      </c>
      <c r="AO130" s="220">
        <v>13</v>
      </c>
      <c r="AP130" s="220">
        <v>9</v>
      </c>
      <c r="AQ130" s="430"/>
      <c r="AR130" s="221">
        <f t="shared" si="106"/>
        <v>122</v>
      </c>
      <c r="AS130" s="221">
        <f t="shared" si="107"/>
        <v>67</v>
      </c>
    </row>
    <row r="131" spans="2:45" ht="15.75" customHeight="1">
      <c r="B131" s="227" t="s">
        <v>216</v>
      </c>
      <c r="C131" s="332" t="s">
        <v>2084</v>
      </c>
      <c r="D131" s="399">
        <v>1</v>
      </c>
      <c r="E131" s="332" t="s">
        <v>2058</v>
      </c>
      <c r="F131" s="427" t="s">
        <v>2058</v>
      </c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428">
        <v>0</v>
      </c>
      <c r="T131" s="220">
        <v>0</v>
      </c>
      <c r="U131" s="220">
        <v>0</v>
      </c>
      <c r="V131" s="220">
        <v>0</v>
      </c>
      <c r="W131" s="220">
        <v>0</v>
      </c>
      <c r="X131" s="220">
        <v>0</v>
      </c>
      <c r="Y131" s="220">
        <v>0</v>
      </c>
      <c r="Z131" s="220">
        <v>0</v>
      </c>
      <c r="AA131" s="220">
        <v>0</v>
      </c>
      <c r="AB131" s="220">
        <v>2</v>
      </c>
      <c r="AC131" s="220">
        <v>5</v>
      </c>
      <c r="AD131" s="231">
        <v>0</v>
      </c>
      <c r="AE131" s="428">
        <v>2</v>
      </c>
      <c r="AF131" s="220">
        <v>1</v>
      </c>
      <c r="AG131" s="220">
        <v>7</v>
      </c>
      <c r="AH131" s="220">
        <v>2</v>
      </c>
      <c r="AI131" s="220">
        <v>3</v>
      </c>
      <c r="AJ131" s="220">
        <v>2</v>
      </c>
      <c r="AK131" s="220">
        <v>0</v>
      </c>
      <c r="AL131" s="220">
        <v>2</v>
      </c>
      <c r="AM131" s="220">
        <v>2</v>
      </c>
      <c r="AN131" s="220">
        <v>1</v>
      </c>
      <c r="AO131" s="220">
        <v>1</v>
      </c>
      <c r="AP131" s="220">
        <v>1</v>
      </c>
      <c r="AQ131" s="430"/>
      <c r="AR131" s="221">
        <f t="shared" si="106"/>
        <v>7</v>
      </c>
      <c r="AS131" s="221">
        <f t="shared" si="107"/>
        <v>24</v>
      </c>
    </row>
    <row r="132" spans="2:45" ht="15.75" customHeight="1">
      <c r="B132" s="227" t="s">
        <v>216</v>
      </c>
      <c r="C132" s="332" t="s">
        <v>2085</v>
      </c>
      <c r="D132" s="399">
        <v>1</v>
      </c>
      <c r="E132" s="332" t="s">
        <v>2059</v>
      </c>
      <c r="F132" s="427" t="s">
        <v>2059</v>
      </c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428">
        <v>6</v>
      </c>
      <c r="T132" s="220">
        <v>9</v>
      </c>
      <c r="U132" s="220">
        <v>10</v>
      </c>
      <c r="V132" s="220">
        <v>5</v>
      </c>
      <c r="W132" s="220">
        <v>6</v>
      </c>
      <c r="X132" s="220">
        <v>5</v>
      </c>
      <c r="Y132" s="220">
        <v>9</v>
      </c>
      <c r="Z132" s="220">
        <v>4</v>
      </c>
      <c r="AA132" s="220">
        <v>3</v>
      </c>
      <c r="AB132" s="220">
        <v>9</v>
      </c>
      <c r="AC132" s="220">
        <v>10</v>
      </c>
      <c r="AD132" s="231">
        <v>8</v>
      </c>
      <c r="AE132" s="428">
        <v>6</v>
      </c>
      <c r="AF132" s="220">
        <v>6</v>
      </c>
      <c r="AG132" s="220">
        <v>10</v>
      </c>
      <c r="AH132" s="220">
        <v>7</v>
      </c>
      <c r="AI132" s="220">
        <v>10</v>
      </c>
      <c r="AJ132" s="220">
        <v>6</v>
      </c>
      <c r="AK132" s="220">
        <v>4</v>
      </c>
      <c r="AL132" s="220">
        <v>7</v>
      </c>
      <c r="AM132" s="220">
        <v>4</v>
      </c>
      <c r="AN132" s="220">
        <v>6</v>
      </c>
      <c r="AO132" s="220">
        <v>11</v>
      </c>
      <c r="AP132" s="220">
        <v>5</v>
      </c>
      <c r="AQ132" s="430"/>
      <c r="AR132" s="221">
        <f t="shared" si="106"/>
        <v>84</v>
      </c>
      <c r="AS132" s="221">
        <f t="shared" si="107"/>
        <v>82</v>
      </c>
    </row>
    <row r="133" spans="2:45" ht="15.75" customHeight="1">
      <c r="B133" s="227" t="s">
        <v>216</v>
      </c>
      <c r="C133" s="332" t="s">
        <v>2086</v>
      </c>
      <c r="D133" s="399">
        <v>1</v>
      </c>
      <c r="E133" s="332" t="s">
        <v>2059</v>
      </c>
      <c r="F133" s="427" t="s">
        <v>2059</v>
      </c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428">
        <v>6</v>
      </c>
      <c r="T133" s="220">
        <v>9</v>
      </c>
      <c r="U133" s="220">
        <v>5</v>
      </c>
      <c r="V133" s="220">
        <v>5</v>
      </c>
      <c r="W133" s="220">
        <v>6</v>
      </c>
      <c r="X133" s="220">
        <v>5</v>
      </c>
      <c r="Y133" s="220">
        <v>5</v>
      </c>
      <c r="Z133" s="220">
        <v>6</v>
      </c>
      <c r="AA133" s="220">
        <v>1</v>
      </c>
      <c r="AB133" s="220">
        <v>6</v>
      </c>
      <c r="AC133" s="220">
        <v>5</v>
      </c>
      <c r="AD133" s="231">
        <v>8</v>
      </c>
      <c r="AE133" s="428">
        <v>2</v>
      </c>
      <c r="AF133" s="220">
        <v>7</v>
      </c>
      <c r="AG133" s="220">
        <v>5</v>
      </c>
      <c r="AH133" s="220">
        <v>4</v>
      </c>
      <c r="AI133" s="220">
        <v>6</v>
      </c>
      <c r="AJ133" s="220">
        <v>7</v>
      </c>
      <c r="AK133" s="220">
        <v>4</v>
      </c>
      <c r="AL133" s="220">
        <v>3</v>
      </c>
      <c r="AM133" s="220">
        <v>5</v>
      </c>
      <c r="AN133" s="220">
        <v>6</v>
      </c>
      <c r="AO133" s="220">
        <v>6</v>
      </c>
      <c r="AP133" s="220">
        <v>3</v>
      </c>
      <c r="AQ133" s="430"/>
      <c r="AR133" s="221">
        <f t="shared" si="106"/>
        <v>67</v>
      </c>
      <c r="AS133" s="221">
        <f t="shared" si="107"/>
        <v>58</v>
      </c>
    </row>
    <row r="134" spans="2:45" ht="15.75" customHeight="1">
      <c r="B134" s="227" t="s">
        <v>216</v>
      </c>
      <c r="C134" s="332" t="s">
        <v>2170</v>
      </c>
      <c r="D134" s="399">
        <v>1</v>
      </c>
      <c r="E134" s="332" t="s">
        <v>2059</v>
      </c>
      <c r="F134" s="427" t="s">
        <v>2059</v>
      </c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428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31"/>
      <c r="AE134" s="428">
        <v>0</v>
      </c>
      <c r="AF134" s="220">
        <v>0</v>
      </c>
      <c r="AG134" s="220">
        <v>0</v>
      </c>
      <c r="AH134" s="220">
        <v>0</v>
      </c>
      <c r="AI134" s="220">
        <v>0</v>
      </c>
      <c r="AJ134" s="220">
        <v>0</v>
      </c>
      <c r="AK134" s="220">
        <v>0</v>
      </c>
      <c r="AL134" s="220">
        <v>0</v>
      </c>
      <c r="AM134" s="220">
        <v>0</v>
      </c>
      <c r="AN134" s="220">
        <v>0</v>
      </c>
      <c r="AO134" s="220">
        <v>0</v>
      </c>
      <c r="AP134" s="220">
        <v>0</v>
      </c>
      <c r="AQ134" s="430"/>
      <c r="AR134" s="221">
        <f t="shared" si="106"/>
        <v>0</v>
      </c>
      <c r="AS134" s="221">
        <f t="shared" si="107"/>
        <v>0</v>
      </c>
    </row>
    <row r="135" spans="2:45" ht="15.75" customHeight="1">
      <c r="B135" s="227" t="s">
        <v>216</v>
      </c>
      <c r="C135" s="332" t="s">
        <v>2087</v>
      </c>
      <c r="D135" s="399">
        <v>1</v>
      </c>
      <c r="E135" s="332" t="s">
        <v>2059</v>
      </c>
      <c r="F135" s="427" t="s">
        <v>2059</v>
      </c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428">
        <v>6</v>
      </c>
      <c r="T135" s="220">
        <v>6</v>
      </c>
      <c r="U135" s="220">
        <v>4</v>
      </c>
      <c r="V135" s="220">
        <v>8</v>
      </c>
      <c r="W135" s="220">
        <v>5</v>
      </c>
      <c r="X135" s="220">
        <v>6</v>
      </c>
      <c r="Y135" s="220">
        <v>5</v>
      </c>
      <c r="Z135" s="220">
        <v>6</v>
      </c>
      <c r="AA135" s="220">
        <v>2</v>
      </c>
      <c r="AB135" s="220">
        <v>5</v>
      </c>
      <c r="AC135" s="220">
        <v>9</v>
      </c>
      <c r="AD135" s="231">
        <v>5</v>
      </c>
      <c r="AE135" s="428">
        <v>4</v>
      </c>
      <c r="AF135" s="220">
        <v>3</v>
      </c>
      <c r="AG135" s="220">
        <v>5</v>
      </c>
      <c r="AH135" s="220">
        <v>4</v>
      </c>
      <c r="AI135" s="220">
        <v>4</v>
      </c>
      <c r="AJ135" s="220">
        <v>1</v>
      </c>
      <c r="AK135" s="220">
        <v>1</v>
      </c>
      <c r="AL135" s="220">
        <v>6</v>
      </c>
      <c r="AM135" s="220">
        <v>2</v>
      </c>
      <c r="AN135" s="220">
        <v>6</v>
      </c>
      <c r="AO135" s="220">
        <v>2</v>
      </c>
      <c r="AP135" s="220">
        <v>1</v>
      </c>
      <c r="AQ135" s="430"/>
      <c r="AR135" s="221">
        <f t="shared" si="106"/>
        <v>67</v>
      </c>
      <c r="AS135" s="221">
        <f t="shared" si="107"/>
        <v>39</v>
      </c>
    </row>
    <row r="136" spans="2:45" ht="15.75" customHeight="1">
      <c r="B136" s="227" t="s">
        <v>216</v>
      </c>
      <c r="C136" s="332" t="s">
        <v>2088</v>
      </c>
      <c r="D136" s="399">
        <v>1</v>
      </c>
      <c r="E136" s="332" t="s">
        <v>2059</v>
      </c>
      <c r="F136" s="427" t="s">
        <v>2059</v>
      </c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428">
        <v>3</v>
      </c>
      <c r="T136" s="220">
        <v>6</v>
      </c>
      <c r="U136" s="220">
        <v>7</v>
      </c>
      <c r="V136" s="220">
        <v>7</v>
      </c>
      <c r="W136" s="220">
        <v>5</v>
      </c>
      <c r="X136" s="220">
        <v>4</v>
      </c>
      <c r="Y136" s="220">
        <v>6</v>
      </c>
      <c r="Z136" s="220">
        <v>5</v>
      </c>
      <c r="AA136" s="220">
        <v>2</v>
      </c>
      <c r="AB136" s="220">
        <v>13</v>
      </c>
      <c r="AC136" s="220">
        <v>7</v>
      </c>
      <c r="AD136" s="231">
        <v>7</v>
      </c>
      <c r="AE136" s="428">
        <v>5</v>
      </c>
      <c r="AF136" s="220">
        <v>4</v>
      </c>
      <c r="AG136" s="220">
        <v>5</v>
      </c>
      <c r="AH136" s="220">
        <v>6</v>
      </c>
      <c r="AI136" s="220">
        <v>6</v>
      </c>
      <c r="AJ136" s="220">
        <v>4</v>
      </c>
      <c r="AK136" s="220">
        <v>3</v>
      </c>
      <c r="AL136" s="220">
        <v>5</v>
      </c>
      <c r="AM136" s="220">
        <v>1</v>
      </c>
      <c r="AN136" s="220">
        <v>10</v>
      </c>
      <c r="AO136" s="220">
        <v>9</v>
      </c>
      <c r="AP136" s="220">
        <v>5</v>
      </c>
      <c r="AQ136" s="430"/>
      <c r="AR136" s="221">
        <f t="shared" si="106"/>
        <v>72</v>
      </c>
      <c r="AS136" s="221">
        <f t="shared" si="107"/>
        <v>63</v>
      </c>
    </row>
    <row r="137" spans="2:45" ht="15.75" customHeight="1">
      <c r="B137" s="227" t="s">
        <v>216</v>
      </c>
      <c r="C137" s="332" t="s">
        <v>2089</v>
      </c>
      <c r="D137" s="399">
        <v>2</v>
      </c>
      <c r="E137" s="332" t="s">
        <v>2059</v>
      </c>
      <c r="F137" s="427" t="s">
        <v>2059</v>
      </c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428">
        <v>0</v>
      </c>
      <c r="T137" s="220">
        <v>0</v>
      </c>
      <c r="U137" s="220">
        <v>0</v>
      </c>
      <c r="V137" s="220">
        <v>0</v>
      </c>
      <c r="W137" s="220">
        <v>0</v>
      </c>
      <c r="X137" s="220">
        <v>1</v>
      </c>
      <c r="Y137" s="220">
        <v>1</v>
      </c>
      <c r="Z137" s="220">
        <v>0</v>
      </c>
      <c r="AA137" s="220">
        <v>1</v>
      </c>
      <c r="AB137" s="220">
        <v>5</v>
      </c>
      <c r="AC137" s="220">
        <v>6</v>
      </c>
      <c r="AD137" s="231">
        <v>4</v>
      </c>
      <c r="AE137" s="428">
        <v>2</v>
      </c>
      <c r="AF137" s="220">
        <v>3</v>
      </c>
      <c r="AG137" s="220">
        <v>6</v>
      </c>
      <c r="AH137" s="220">
        <v>7</v>
      </c>
      <c r="AI137" s="220">
        <v>7</v>
      </c>
      <c r="AJ137" s="220">
        <v>3</v>
      </c>
      <c r="AK137" s="220">
        <v>3</v>
      </c>
      <c r="AL137" s="220">
        <v>4</v>
      </c>
      <c r="AM137" s="220">
        <v>5</v>
      </c>
      <c r="AN137" s="220">
        <v>8</v>
      </c>
      <c r="AO137" s="220">
        <v>10</v>
      </c>
      <c r="AP137" s="220">
        <v>4</v>
      </c>
      <c r="AQ137" s="430"/>
      <c r="AR137" s="221">
        <f t="shared" si="106"/>
        <v>18</v>
      </c>
      <c r="AS137" s="221">
        <f t="shared" si="107"/>
        <v>62</v>
      </c>
    </row>
    <row r="138" spans="2:45" ht="15.75" customHeight="1">
      <c r="B138" s="227" t="s">
        <v>216</v>
      </c>
      <c r="C138" s="332" t="s">
        <v>2090</v>
      </c>
      <c r="D138" s="399">
        <v>2</v>
      </c>
      <c r="E138" s="332" t="s">
        <v>2059</v>
      </c>
      <c r="F138" s="427" t="s">
        <v>2059</v>
      </c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428">
        <v>13</v>
      </c>
      <c r="T138" s="220">
        <v>18</v>
      </c>
      <c r="U138" s="220">
        <v>18</v>
      </c>
      <c r="V138" s="220">
        <v>21</v>
      </c>
      <c r="W138" s="220">
        <v>11</v>
      </c>
      <c r="X138" s="220">
        <v>11</v>
      </c>
      <c r="Y138" s="220">
        <v>8</v>
      </c>
      <c r="Z138" s="220">
        <v>7</v>
      </c>
      <c r="AA138" s="220">
        <v>14</v>
      </c>
      <c r="AB138" s="220">
        <v>22</v>
      </c>
      <c r="AC138" s="220">
        <v>23</v>
      </c>
      <c r="AD138" s="231">
        <v>13</v>
      </c>
      <c r="AE138" s="428">
        <v>8</v>
      </c>
      <c r="AF138" s="220">
        <v>10</v>
      </c>
      <c r="AG138" s="220">
        <v>17</v>
      </c>
      <c r="AH138" s="220">
        <v>11</v>
      </c>
      <c r="AI138" s="220">
        <v>14</v>
      </c>
      <c r="AJ138" s="220">
        <v>18</v>
      </c>
      <c r="AK138" s="220">
        <v>7</v>
      </c>
      <c r="AL138" s="220">
        <v>9</v>
      </c>
      <c r="AM138" s="220">
        <v>10</v>
      </c>
      <c r="AN138" s="220">
        <v>19</v>
      </c>
      <c r="AO138" s="220">
        <v>23</v>
      </c>
      <c r="AP138" s="220">
        <v>12</v>
      </c>
      <c r="AQ138" s="430"/>
      <c r="AR138" s="221">
        <f t="shared" si="106"/>
        <v>179</v>
      </c>
      <c r="AS138" s="221">
        <f t="shared" si="107"/>
        <v>158</v>
      </c>
    </row>
    <row r="139" spans="2:45" ht="15.75" customHeight="1">
      <c r="B139" s="227" t="s">
        <v>216</v>
      </c>
      <c r="C139" s="332" t="s">
        <v>2091</v>
      </c>
      <c r="D139" s="399">
        <v>1</v>
      </c>
      <c r="E139" s="332" t="s">
        <v>2059</v>
      </c>
      <c r="F139" s="427" t="s">
        <v>2059</v>
      </c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428">
        <v>0</v>
      </c>
      <c r="T139" s="220">
        <v>0</v>
      </c>
      <c r="U139" s="220">
        <v>0</v>
      </c>
      <c r="V139" s="220">
        <v>0</v>
      </c>
      <c r="W139" s="220">
        <v>0</v>
      </c>
      <c r="X139" s="220">
        <v>0</v>
      </c>
      <c r="Y139" s="220">
        <v>0</v>
      </c>
      <c r="Z139" s="220">
        <v>0</v>
      </c>
      <c r="AA139" s="220">
        <v>0</v>
      </c>
      <c r="AB139" s="220">
        <v>0</v>
      </c>
      <c r="AC139" s="220">
        <v>0</v>
      </c>
      <c r="AD139" s="231">
        <v>0</v>
      </c>
      <c r="AE139" s="428">
        <v>0</v>
      </c>
      <c r="AF139" s="220">
        <v>0</v>
      </c>
      <c r="AG139" s="220">
        <v>0</v>
      </c>
      <c r="AH139" s="220">
        <v>0</v>
      </c>
      <c r="AI139" s="220">
        <v>2</v>
      </c>
      <c r="AJ139" s="220">
        <v>0</v>
      </c>
      <c r="AK139" s="220">
        <v>0</v>
      </c>
      <c r="AL139" s="220">
        <v>0</v>
      </c>
      <c r="AM139" s="220">
        <v>2</v>
      </c>
      <c r="AN139" s="220">
        <v>1</v>
      </c>
      <c r="AO139" s="220">
        <v>0</v>
      </c>
      <c r="AP139" s="220">
        <v>2</v>
      </c>
      <c r="AQ139" s="430"/>
      <c r="AR139" s="221">
        <f t="shared" si="106"/>
        <v>0</v>
      </c>
      <c r="AS139" s="221">
        <f t="shared" si="107"/>
        <v>7</v>
      </c>
    </row>
    <row r="140" spans="2:45" ht="15.75" customHeight="1">
      <c r="B140" s="227" t="s">
        <v>216</v>
      </c>
      <c r="C140" s="332" t="s">
        <v>2092</v>
      </c>
      <c r="D140" s="399">
        <v>1</v>
      </c>
      <c r="E140" s="332" t="s">
        <v>2060</v>
      </c>
      <c r="F140" s="427" t="s">
        <v>2060</v>
      </c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428">
        <v>12</v>
      </c>
      <c r="T140" s="220">
        <v>11</v>
      </c>
      <c r="U140" s="220">
        <v>13</v>
      </c>
      <c r="V140" s="220">
        <v>12</v>
      </c>
      <c r="W140" s="220">
        <v>18</v>
      </c>
      <c r="X140" s="220">
        <v>15</v>
      </c>
      <c r="Y140" s="220">
        <v>16</v>
      </c>
      <c r="Z140" s="220">
        <v>14</v>
      </c>
      <c r="AA140" s="220">
        <v>21</v>
      </c>
      <c r="AB140" s="220">
        <v>22</v>
      </c>
      <c r="AC140" s="220">
        <v>17</v>
      </c>
      <c r="AD140" s="231">
        <v>13</v>
      </c>
      <c r="AE140" s="428">
        <v>8</v>
      </c>
      <c r="AF140" s="220">
        <v>9</v>
      </c>
      <c r="AG140" s="220">
        <v>15</v>
      </c>
      <c r="AH140" s="220">
        <v>16</v>
      </c>
      <c r="AI140" s="220">
        <v>22</v>
      </c>
      <c r="AJ140" s="220">
        <v>24</v>
      </c>
      <c r="AK140" s="220">
        <v>13</v>
      </c>
      <c r="AL140" s="220">
        <v>13</v>
      </c>
      <c r="AM140" s="220">
        <v>17</v>
      </c>
      <c r="AN140" s="220">
        <v>20</v>
      </c>
      <c r="AO140" s="220">
        <v>19</v>
      </c>
      <c r="AP140" s="220">
        <v>12</v>
      </c>
      <c r="AQ140" s="430"/>
      <c r="AR140" s="221">
        <f t="shared" si="106"/>
        <v>184</v>
      </c>
      <c r="AS140" s="221">
        <f t="shared" si="107"/>
        <v>188</v>
      </c>
    </row>
    <row r="141" spans="2:45" ht="15.75" customHeight="1">
      <c r="B141" s="431" t="s">
        <v>216</v>
      </c>
      <c r="C141" s="432" t="s">
        <v>2093</v>
      </c>
      <c r="D141" s="433">
        <v>1</v>
      </c>
      <c r="E141" s="434" t="s">
        <v>204</v>
      </c>
      <c r="F141" s="435" t="s">
        <v>2349</v>
      </c>
      <c r="G141" s="436"/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7">
        <v>0</v>
      </c>
      <c r="T141" s="436">
        <v>0</v>
      </c>
      <c r="U141" s="436">
        <v>0</v>
      </c>
      <c r="V141" s="436">
        <v>0</v>
      </c>
      <c r="W141" s="436">
        <v>0</v>
      </c>
      <c r="X141" s="436">
        <v>0</v>
      </c>
      <c r="Y141" s="436">
        <v>0</v>
      </c>
      <c r="Z141" s="436">
        <v>0</v>
      </c>
      <c r="AA141" s="436">
        <v>0</v>
      </c>
      <c r="AB141" s="436">
        <v>0</v>
      </c>
      <c r="AC141" s="436">
        <v>0</v>
      </c>
      <c r="AD141" s="438">
        <v>0</v>
      </c>
      <c r="AE141" s="437">
        <v>0</v>
      </c>
      <c r="AF141" s="436">
        <v>0</v>
      </c>
      <c r="AG141" s="436">
        <v>0</v>
      </c>
      <c r="AH141" s="436">
        <v>0</v>
      </c>
      <c r="AI141" s="436">
        <v>0</v>
      </c>
      <c r="AJ141" s="436">
        <v>1</v>
      </c>
      <c r="AK141" s="436">
        <v>0</v>
      </c>
      <c r="AL141" s="436">
        <v>0</v>
      </c>
      <c r="AM141" s="436">
        <v>1</v>
      </c>
      <c r="AN141" s="436">
        <v>0</v>
      </c>
      <c r="AO141" s="436">
        <v>1</v>
      </c>
      <c r="AP141" s="436">
        <v>0</v>
      </c>
      <c r="AQ141" s="430"/>
      <c r="AR141" s="221">
        <f t="shared" si="106"/>
        <v>0</v>
      </c>
      <c r="AS141" s="221">
        <f t="shared" si="107"/>
        <v>3</v>
      </c>
    </row>
    <row r="142" spans="2:45" ht="15.75" customHeight="1">
      <c r="B142" s="227" t="s">
        <v>217</v>
      </c>
      <c r="C142" s="332" t="s">
        <v>2061</v>
      </c>
      <c r="D142" s="399">
        <v>1</v>
      </c>
      <c r="E142" s="332" t="s">
        <v>204</v>
      </c>
      <c r="F142" s="427" t="s">
        <v>2347</v>
      </c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428">
        <v>3</v>
      </c>
      <c r="T142" s="220">
        <v>1</v>
      </c>
      <c r="U142" s="220">
        <v>3</v>
      </c>
      <c r="V142" s="220">
        <v>5</v>
      </c>
      <c r="W142" s="220">
        <v>3</v>
      </c>
      <c r="X142" s="220">
        <v>2</v>
      </c>
      <c r="Y142" s="220">
        <v>3</v>
      </c>
      <c r="Z142" s="220">
        <v>2</v>
      </c>
      <c r="AA142" s="220">
        <v>0</v>
      </c>
      <c r="AB142" s="220">
        <v>3</v>
      </c>
      <c r="AC142" s="220">
        <v>4</v>
      </c>
      <c r="AD142" s="231">
        <v>0</v>
      </c>
      <c r="AE142" s="428">
        <v>3</v>
      </c>
      <c r="AF142" s="220">
        <v>1</v>
      </c>
      <c r="AG142" s="220">
        <v>4</v>
      </c>
      <c r="AH142" s="220">
        <v>3</v>
      </c>
      <c r="AI142" s="220">
        <v>4</v>
      </c>
      <c r="AJ142" s="220">
        <v>1</v>
      </c>
      <c r="AK142" s="220">
        <v>2</v>
      </c>
      <c r="AL142" s="220">
        <v>0</v>
      </c>
      <c r="AM142" s="220">
        <v>1</v>
      </c>
      <c r="AN142" s="220">
        <v>8</v>
      </c>
      <c r="AO142" s="220">
        <v>5</v>
      </c>
      <c r="AP142" s="220">
        <v>3</v>
      </c>
      <c r="AQ142" s="430"/>
      <c r="AR142" s="221">
        <f t="shared" si="106"/>
        <v>29</v>
      </c>
      <c r="AS142" s="221">
        <f t="shared" si="107"/>
        <v>35</v>
      </c>
    </row>
    <row r="143" spans="2:45" ht="15.75" customHeight="1">
      <c r="B143" s="227" t="s">
        <v>217</v>
      </c>
      <c r="C143" s="332" t="s">
        <v>2062</v>
      </c>
      <c r="D143" s="399">
        <v>2</v>
      </c>
      <c r="E143" s="332" t="s">
        <v>204</v>
      </c>
      <c r="F143" s="427" t="s">
        <v>2347</v>
      </c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428">
        <v>0</v>
      </c>
      <c r="T143" s="220">
        <v>1</v>
      </c>
      <c r="U143" s="220">
        <v>4</v>
      </c>
      <c r="V143" s="220">
        <v>1</v>
      </c>
      <c r="W143" s="220">
        <v>2</v>
      </c>
      <c r="X143" s="220">
        <v>3</v>
      </c>
      <c r="Y143" s="220">
        <v>4</v>
      </c>
      <c r="Z143" s="220">
        <v>1</v>
      </c>
      <c r="AA143" s="220">
        <v>5</v>
      </c>
      <c r="AB143" s="220">
        <v>5</v>
      </c>
      <c r="AC143" s="220">
        <v>3</v>
      </c>
      <c r="AD143" s="231">
        <v>3</v>
      </c>
      <c r="AE143" s="428">
        <v>0</v>
      </c>
      <c r="AF143" s="220">
        <v>0</v>
      </c>
      <c r="AG143" s="220">
        <v>1</v>
      </c>
      <c r="AH143" s="220">
        <v>2</v>
      </c>
      <c r="AI143" s="220">
        <v>4</v>
      </c>
      <c r="AJ143" s="220">
        <v>2</v>
      </c>
      <c r="AK143" s="220">
        <v>0</v>
      </c>
      <c r="AL143" s="220">
        <v>4</v>
      </c>
      <c r="AM143" s="220">
        <v>3</v>
      </c>
      <c r="AN143" s="220">
        <v>7</v>
      </c>
      <c r="AO143" s="220">
        <v>7</v>
      </c>
      <c r="AP143" s="220">
        <v>1</v>
      </c>
      <c r="AQ143" s="430"/>
      <c r="AR143" s="221">
        <f t="shared" si="106"/>
        <v>32</v>
      </c>
      <c r="AS143" s="221">
        <f t="shared" si="107"/>
        <v>31</v>
      </c>
    </row>
    <row r="144" spans="2:45" ht="15.75" customHeight="1">
      <c r="B144" s="227" t="s">
        <v>217</v>
      </c>
      <c r="C144" s="332" t="s">
        <v>2063</v>
      </c>
      <c r="D144" s="399">
        <v>2</v>
      </c>
      <c r="E144" s="332" t="s">
        <v>204</v>
      </c>
      <c r="F144" s="427" t="s">
        <v>2347</v>
      </c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428">
        <v>1</v>
      </c>
      <c r="T144" s="220">
        <v>4</v>
      </c>
      <c r="U144" s="220">
        <v>4</v>
      </c>
      <c r="V144" s="220">
        <v>5</v>
      </c>
      <c r="W144" s="220">
        <v>5</v>
      </c>
      <c r="X144" s="220">
        <v>11</v>
      </c>
      <c r="Y144" s="220">
        <v>6</v>
      </c>
      <c r="Z144" s="220">
        <v>2</v>
      </c>
      <c r="AA144" s="220">
        <v>2</v>
      </c>
      <c r="AB144" s="220">
        <v>10</v>
      </c>
      <c r="AC144" s="220">
        <v>4</v>
      </c>
      <c r="AD144" s="231">
        <v>3</v>
      </c>
      <c r="AE144" s="428">
        <v>4</v>
      </c>
      <c r="AF144" s="220">
        <v>1</v>
      </c>
      <c r="AG144" s="220">
        <v>3</v>
      </c>
      <c r="AH144" s="220">
        <v>5</v>
      </c>
      <c r="AI144" s="220">
        <v>8</v>
      </c>
      <c r="AJ144" s="220">
        <v>6</v>
      </c>
      <c r="AK144" s="220">
        <v>1</v>
      </c>
      <c r="AL144" s="220">
        <v>5</v>
      </c>
      <c r="AM144" s="220">
        <v>3</v>
      </c>
      <c r="AN144" s="220">
        <v>6</v>
      </c>
      <c r="AO144" s="220">
        <v>5</v>
      </c>
      <c r="AP144" s="220">
        <v>5</v>
      </c>
      <c r="AQ144" s="430"/>
      <c r="AR144" s="221">
        <f t="shared" si="106"/>
        <v>57</v>
      </c>
      <c r="AS144" s="221">
        <f t="shared" si="107"/>
        <v>52</v>
      </c>
    </row>
    <row r="145" spans="2:45" ht="15.75" customHeight="1">
      <c r="B145" s="227" t="s">
        <v>217</v>
      </c>
      <c r="C145" s="332" t="s">
        <v>2064</v>
      </c>
      <c r="D145" s="399">
        <v>1</v>
      </c>
      <c r="E145" s="332" t="s">
        <v>204</v>
      </c>
      <c r="F145" s="427" t="s">
        <v>2347</v>
      </c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428">
        <v>3</v>
      </c>
      <c r="T145" s="220">
        <v>4</v>
      </c>
      <c r="U145" s="220">
        <v>11</v>
      </c>
      <c r="V145" s="220">
        <v>4</v>
      </c>
      <c r="W145" s="220">
        <v>9</v>
      </c>
      <c r="X145" s="220">
        <v>7</v>
      </c>
      <c r="Y145" s="220">
        <v>5</v>
      </c>
      <c r="Z145" s="220">
        <v>7</v>
      </c>
      <c r="AA145" s="220">
        <v>3</v>
      </c>
      <c r="AB145" s="220">
        <v>9</v>
      </c>
      <c r="AC145" s="220">
        <v>9</v>
      </c>
      <c r="AD145" s="231">
        <v>7</v>
      </c>
      <c r="AE145" s="428">
        <v>5</v>
      </c>
      <c r="AF145" s="220">
        <v>6</v>
      </c>
      <c r="AG145" s="220">
        <v>11</v>
      </c>
      <c r="AH145" s="220">
        <v>5</v>
      </c>
      <c r="AI145" s="220">
        <v>9</v>
      </c>
      <c r="AJ145" s="220">
        <v>7</v>
      </c>
      <c r="AK145" s="220">
        <v>4</v>
      </c>
      <c r="AL145" s="220">
        <v>4</v>
      </c>
      <c r="AM145" s="220">
        <v>4</v>
      </c>
      <c r="AN145" s="220">
        <v>11</v>
      </c>
      <c r="AO145" s="220">
        <v>9</v>
      </c>
      <c r="AP145" s="220">
        <v>2</v>
      </c>
      <c r="AQ145" s="430"/>
      <c r="AR145" s="221">
        <f t="shared" si="106"/>
        <v>78</v>
      </c>
      <c r="AS145" s="221">
        <f t="shared" si="107"/>
        <v>77</v>
      </c>
    </row>
    <row r="146" spans="2:45" ht="15.75" customHeight="1">
      <c r="B146" s="227" t="s">
        <v>217</v>
      </c>
      <c r="C146" s="332" t="s">
        <v>2065</v>
      </c>
      <c r="D146" s="399">
        <v>1</v>
      </c>
      <c r="E146" s="332" t="s">
        <v>204</v>
      </c>
      <c r="F146" s="427" t="s">
        <v>2347</v>
      </c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428">
        <v>3</v>
      </c>
      <c r="T146" s="220">
        <v>2</v>
      </c>
      <c r="U146" s="220">
        <v>2</v>
      </c>
      <c r="V146" s="220">
        <v>3</v>
      </c>
      <c r="W146" s="220">
        <v>2</v>
      </c>
      <c r="X146" s="220">
        <v>2</v>
      </c>
      <c r="Y146" s="220">
        <v>1</v>
      </c>
      <c r="Z146" s="220">
        <v>0</v>
      </c>
      <c r="AA146" s="220">
        <v>1</v>
      </c>
      <c r="AB146" s="220">
        <v>4</v>
      </c>
      <c r="AC146" s="220">
        <v>3</v>
      </c>
      <c r="AD146" s="231">
        <v>0</v>
      </c>
      <c r="AE146" s="428">
        <v>0</v>
      </c>
      <c r="AF146" s="220">
        <v>2</v>
      </c>
      <c r="AG146" s="220">
        <v>1</v>
      </c>
      <c r="AH146" s="220">
        <v>1</v>
      </c>
      <c r="AI146" s="220">
        <v>3</v>
      </c>
      <c r="AJ146" s="220">
        <v>3</v>
      </c>
      <c r="AK146" s="220">
        <v>0</v>
      </c>
      <c r="AL146" s="220">
        <v>1</v>
      </c>
      <c r="AM146" s="220">
        <v>0</v>
      </c>
      <c r="AN146" s="220">
        <v>2</v>
      </c>
      <c r="AO146" s="220">
        <v>2</v>
      </c>
      <c r="AP146" s="220">
        <v>1</v>
      </c>
      <c r="AQ146" s="430"/>
      <c r="AR146" s="221">
        <f t="shared" si="106"/>
        <v>23</v>
      </c>
      <c r="AS146" s="221">
        <f t="shared" si="107"/>
        <v>16</v>
      </c>
    </row>
    <row r="147" spans="2:45" ht="15.75" customHeight="1">
      <c r="B147" s="227" t="s">
        <v>217</v>
      </c>
      <c r="C147" s="332" t="s">
        <v>2066</v>
      </c>
      <c r="D147" s="399">
        <v>1</v>
      </c>
      <c r="E147" s="332" t="s">
        <v>204</v>
      </c>
      <c r="F147" s="427" t="s">
        <v>2348</v>
      </c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428">
        <v>5</v>
      </c>
      <c r="T147" s="220">
        <v>6</v>
      </c>
      <c r="U147" s="220">
        <v>10</v>
      </c>
      <c r="V147" s="220">
        <v>8</v>
      </c>
      <c r="W147" s="220">
        <v>6</v>
      </c>
      <c r="X147" s="220">
        <v>10</v>
      </c>
      <c r="Y147" s="220">
        <v>12</v>
      </c>
      <c r="Z147" s="220">
        <v>5</v>
      </c>
      <c r="AA147" s="220">
        <v>8</v>
      </c>
      <c r="AB147" s="220">
        <v>10</v>
      </c>
      <c r="AC147" s="220">
        <v>10</v>
      </c>
      <c r="AD147" s="231">
        <v>1</v>
      </c>
      <c r="AE147" s="428">
        <v>5</v>
      </c>
      <c r="AF147" s="220">
        <v>6</v>
      </c>
      <c r="AG147" s="220">
        <v>6</v>
      </c>
      <c r="AH147" s="220">
        <v>6</v>
      </c>
      <c r="AI147" s="220">
        <v>9</v>
      </c>
      <c r="AJ147" s="220">
        <v>7</v>
      </c>
      <c r="AK147" s="220">
        <v>7</v>
      </c>
      <c r="AL147" s="220">
        <v>7</v>
      </c>
      <c r="AM147" s="220">
        <v>9</v>
      </c>
      <c r="AN147" s="220">
        <v>10</v>
      </c>
      <c r="AO147" s="220">
        <v>9</v>
      </c>
      <c r="AP147" s="220">
        <v>6</v>
      </c>
      <c r="AQ147" s="430"/>
      <c r="AR147" s="221">
        <f t="shared" si="106"/>
        <v>91</v>
      </c>
      <c r="AS147" s="221">
        <f t="shared" si="107"/>
        <v>87</v>
      </c>
    </row>
    <row r="148" spans="2:45" ht="15.75" customHeight="1">
      <c r="B148" s="227" t="s">
        <v>217</v>
      </c>
      <c r="C148" s="332" t="s">
        <v>2067</v>
      </c>
      <c r="D148" s="399">
        <v>1</v>
      </c>
      <c r="E148" s="332" t="s">
        <v>204</v>
      </c>
      <c r="F148" s="427" t="s">
        <v>2348</v>
      </c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428">
        <v>1</v>
      </c>
      <c r="T148" s="220">
        <v>0</v>
      </c>
      <c r="U148" s="220">
        <v>0</v>
      </c>
      <c r="V148" s="220">
        <v>2</v>
      </c>
      <c r="W148" s="220">
        <v>1</v>
      </c>
      <c r="X148" s="220">
        <v>1</v>
      </c>
      <c r="Y148" s="220">
        <v>1</v>
      </c>
      <c r="Z148" s="220">
        <v>4</v>
      </c>
      <c r="AA148" s="220">
        <v>1</v>
      </c>
      <c r="AB148" s="220">
        <v>5</v>
      </c>
      <c r="AC148" s="220">
        <v>5</v>
      </c>
      <c r="AD148" s="231">
        <v>0</v>
      </c>
      <c r="AE148" s="428">
        <v>2</v>
      </c>
      <c r="AF148" s="220">
        <v>3</v>
      </c>
      <c r="AG148" s="220">
        <v>2</v>
      </c>
      <c r="AH148" s="220">
        <v>3</v>
      </c>
      <c r="AI148" s="220">
        <v>1</v>
      </c>
      <c r="AJ148" s="220">
        <v>2</v>
      </c>
      <c r="AK148" s="220">
        <v>1</v>
      </c>
      <c r="AL148" s="220">
        <v>2</v>
      </c>
      <c r="AM148" s="220">
        <v>2</v>
      </c>
      <c r="AN148" s="220">
        <v>2</v>
      </c>
      <c r="AO148" s="220">
        <v>1</v>
      </c>
      <c r="AP148" s="220">
        <v>0</v>
      </c>
      <c r="AQ148" s="430"/>
      <c r="AR148" s="221">
        <f t="shared" si="106"/>
        <v>21</v>
      </c>
      <c r="AS148" s="221">
        <f t="shared" si="107"/>
        <v>21</v>
      </c>
    </row>
    <row r="149" spans="2:45" ht="15.75" customHeight="1">
      <c r="B149" s="227" t="s">
        <v>217</v>
      </c>
      <c r="C149" s="332" t="s">
        <v>2068</v>
      </c>
      <c r="D149" s="399">
        <v>2</v>
      </c>
      <c r="E149" s="332" t="s">
        <v>204</v>
      </c>
      <c r="F149" s="427" t="s">
        <v>2348</v>
      </c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428">
        <v>2</v>
      </c>
      <c r="T149" s="220">
        <v>2</v>
      </c>
      <c r="U149" s="220">
        <v>4</v>
      </c>
      <c r="V149" s="220">
        <v>6</v>
      </c>
      <c r="W149" s="220">
        <v>4</v>
      </c>
      <c r="X149" s="220">
        <v>6</v>
      </c>
      <c r="Y149" s="220">
        <v>3</v>
      </c>
      <c r="Z149" s="220">
        <v>4</v>
      </c>
      <c r="AA149" s="220">
        <v>4</v>
      </c>
      <c r="AB149" s="220">
        <v>10</v>
      </c>
      <c r="AC149" s="220">
        <v>10</v>
      </c>
      <c r="AD149" s="231">
        <v>4</v>
      </c>
      <c r="AE149" s="428">
        <v>4</v>
      </c>
      <c r="AF149" s="220">
        <v>1</v>
      </c>
      <c r="AG149" s="220">
        <v>7</v>
      </c>
      <c r="AH149" s="220">
        <v>2</v>
      </c>
      <c r="AI149" s="220">
        <v>3</v>
      </c>
      <c r="AJ149" s="220">
        <v>6</v>
      </c>
      <c r="AK149" s="220">
        <v>1</v>
      </c>
      <c r="AL149" s="220">
        <v>3</v>
      </c>
      <c r="AM149" s="220">
        <v>8</v>
      </c>
      <c r="AN149" s="220">
        <v>9</v>
      </c>
      <c r="AO149" s="220">
        <v>12</v>
      </c>
      <c r="AP149" s="220">
        <v>4</v>
      </c>
      <c r="AQ149" s="430"/>
      <c r="AR149" s="221">
        <f t="shared" si="106"/>
        <v>59</v>
      </c>
      <c r="AS149" s="221">
        <f t="shared" si="107"/>
        <v>60</v>
      </c>
    </row>
    <row r="150" spans="2:45" ht="15.75" customHeight="1">
      <c r="B150" s="227" t="s">
        <v>217</v>
      </c>
      <c r="C150" s="332" t="s">
        <v>2069</v>
      </c>
      <c r="D150" s="399">
        <v>1</v>
      </c>
      <c r="E150" s="332" t="s">
        <v>204</v>
      </c>
      <c r="F150" s="427" t="s">
        <v>2348</v>
      </c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428">
        <v>2</v>
      </c>
      <c r="T150" s="220">
        <v>1</v>
      </c>
      <c r="U150" s="220">
        <v>4</v>
      </c>
      <c r="V150" s="220">
        <v>7</v>
      </c>
      <c r="W150" s="220">
        <v>5</v>
      </c>
      <c r="X150" s="220">
        <v>3</v>
      </c>
      <c r="Y150" s="220">
        <v>3</v>
      </c>
      <c r="Z150" s="220">
        <v>5</v>
      </c>
      <c r="AA150" s="220">
        <v>4</v>
      </c>
      <c r="AB150" s="220">
        <v>4</v>
      </c>
      <c r="AC150" s="220">
        <v>11</v>
      </c>
      <c r="AD150" s="231">
        <v>6</v>
      </c>
      <c r="AE150" s="428">
        <v>0</v>
      </c>
      <c r="AF150" s="220">
        <v>5</v>
      </c>
      <c r="AG150" s="220">
        <v>5</v>
      </c>
      <c r="AH150" s="220">
        <v>6</v>
      </c>
      <c r="AI150" s="220">
        <v>10</v>
      </c>
      <c r="AJ150" s="220">
        <v>6</v>
      </c>
      <c r="AK150" s="220">
        <v>3</v>
      </c>
      <c r="AL150" s="220">
        <v>3</v>
      </c>
      <c r="AM150" s="220">
        <v>5</v>
      </c>
      <c r="AN150" s="220">
        <v>5</v>
      </c>
      <c r="AO150" s="220">
        <v>13</v>
      </c>
      <c r="AP150" s="220">
        <v>3</v>
      </c>
      <c r="AQ150" s="430"/>
      <c r="AR150" s="221">
        <f t="shared" si="106"/>
        <v>55</v>
      </c>
      <c r="AS150" s="221">
        <f t="shared" si="107"/>
        <v>64</v>
      </c>
    </row>
    <row r="151" spans="2:45" ht="15.75" customHeight="1">
      <c r="B151" s="227" t="s">
        <v>217</v>
      </c>
      <c r="C151" s="332" t="s">
        <v>2070</v>
      </c>
      <c r="D151" s="399">
        <v>1</v>
      </c>
      <c r="E151" s="332" t="s">
        <v>204</v>
      </c>
      <c r="F151" s="427" t="s">
        <v>2348</v>
      </c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428">
        <v>4</v>
      </c>
      <c r="T151" s="220">
        <v>6</v>
      </c>
      <c r="U151" s="220">
        <v>13</v>
      </c>
      <c r="V151" s="220">
        <v>16</v>
      </c>
      <c r="W151" s="220">
        <v>16</v>
      </c>
      <c r="X151" s="220">
        <v>14</v>
      </c>
      <c r="Y151" s="220">
        <v>11</v>
      </c>
      <c r="Z151" s="220">
        <v>11</v>
      </c>
      <c r="AA151" s="220">
        <v>12</v>
      </c>
      <c r="AB151" s="220">
        <v>15</v>
      </c>
      <c r="AC151" s="220">
        <v>17</v>
      </c>
      <c r="AD151" s="231">
        <v>9</v>
      </c>
      <c r="AE151" s="428">
        <v>4</v>
      </c>
      <c r="AF151" s="220">
        <v>7</v>
      </c>
      <c r="AG151" s="220">
        <v>12</v>
      </c>
      <c r="AH151" s="220">
        <v>13</v>
      </c>
      <c r="AI151" s="220">
        <v>13</v>
      </c>
      <c r="AJ151" s="220">
        <v>8</v>
      </c>
      <c r="AK151" s="220">
        <v>8</v>
      </c>
      <c r="AL151" s="220">
        <v>8</v>
      </c>
      <c r="AM151" s="220">
        <v>13</v>
      </c>
      <c r="AN151" s="220">
        <v>15</v>
      </c>
      <c r="AO151" s="220">
        <v>18</v>
      </c>
      <c r="AP151" s="220">
        <v>6</v>
      </c>
      <c r="AQ151" s="430"/>
      <c r="AR151" s="221">
        <f t="shared" si="106"/>
        <v>144</v>
      </c>
      <c r="AS151" s="221">
        <f t="shared" si="107"/>
        <v>125</v>
      </c>
    </row>
    <row r="152" spans="2:45" ht="15.75" customHeight="1">
      <c r="B152" s="227" t="s">
        <v>217</v>
      </c>
      <c r="C152" s="332" t="s">
        <v>2071</v>
      </c>
      <c r="D152" s="399">
        <v>2</v>
      </c>
      <c r="E152" s="332" t="s">
        <v>204</v>
      </c>
      <c r="F152" s="427" t="s">
        <v>2348</v>
      </c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428">
        <v>0</v>
      </c>
      <c r="T152" s="220">
        <v>0</v>
      </c>
      <c r="U152" s="220">
        <v>0</v>
      </c>
      <c r="V152" s="220">
        <v>0</v>
      </c>
      <c r="W152" s="220">
        <v>0</v>
      </c>
      <c r="X152" s="220">
        <v>0</v>
      </c>
      <c r="Y152" s="220">
        <v>0</v>
      </c>
      <c r="Z152" s="220">
        <v>0</v>
      </c>
      <c r="AA152" s="220">
        <v>0</v>
      </c>
      <c r="AB152" s="220">
        <v>0</v>
      </c>
      <c r="AC152" s="220">
        <v>0</v>
      </c>
      <c r="AD152" s="231">
        <v>0</v>
      </c>
      <c r="AE152" s="428">
        <v>0</v>
      </c>
      <c r="AF152" s="220">
        <v>0</v>
      </c>
      <c r="AG152" s="220">
        <v>4</v>
      </c>
      <c r="AH152" s="220">
        <v>3</v>
      </c>
      <c r="AI152" s="220">
        <v>4</v>
      </c>
      <c r="AJ152" s="220">
        <v>0</v>
      </c>
      <c r="AK152" s="220">
        <v>1</v>
      </c>
      <c r="AL152" s="220">
        <v>2</v>
      </c>
      <c r="AM152" s="220">
        <v>2</v>
      </c>
      <c r="AN152" s="220">
        <v>4</v>
      </c>
      <c r="AO152" s="220">
        <v>2</v>
      </c>
      <c r="AP152" s="220">
        <v>1</v>
      </c>
      <c r="AQ152" s="430"/>
      <c r="AR152" s="221">
        <f t="shared" si="106"/>
        <v>0</v>
      </c>
      <c r="AS152" s="221">
        <f t="shared" si="107"/>
        <v>23</v>
      </c>
    </row>
    <row r="153" spans="2:45" ht="15.75" customHeight="1">
      <c r="B153" s="227" t="s">
        <v>217</v>
      </c>
      <c r="C153" s="332" t="s">
        <v>2072</v>
      </c>
      <c r="D153" s="399">
        <v>1</v>
      </c>
      <c r="E153" s="332" t="s">
        <v>204</v>
      </c>
      <c r="F153" s="427" t="s">
        <v>2348</v>
      </c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428">
        <v>0</v>
      </c>
      <c r="T153" s="220">
        <v>0</v>
      </c>
      <c r="U153" s="220">
        <v>1</v>
      </c>
      <c r="V153" s="220">
        <v>1</v>
      </c>
      <c r="W153" s="220">
        <v>7</v>
      </c>
      <c r="X153" s="220">
        <v>5</v>
      </c>
      <c r="Y153" s="220">
        <v>0</v>
      </c>
      <c r="Z153" s="220">
        <v>1</v>
      </c>
      <c r="AA153" s="220">
        <v>4</v>
      </c>
      <c r="AB153" s="220">
        <v>4</v>
      </c>
      <c r="AC153" s="220">
        <v>5</v>
      </c>
      <c r="AD153" s="231">
        <v>6</v>
      </c>
      <c r="AE153" s="428">
        <v>0</v>
      </c>
      <c r="AF153" s="220">
        <v>0</v>
      </c>
      <c r="AG153" s="220">
        <v>3</v>
      </c>
      <c r="AH153" s="220">
        <v>4</v>
      </c>
      <c r="AI153" s="220">
        <v>5</v>
      </c>
      <c r="AJ153" s="220">
        <v>1</v>
      </c>
      <c r="AK153" s="220">
        <v>4</v>
      </c>
      <c r="AL153" s="220">
        <v>1</v>
      </c>
      <c r="AM153" s="220">
        <v>4</v>
      </c>
      <c r="AN153" s="220">
        <v>3</v>
      </c>
      <c r="AO153" s="220">
        <v>4</v>
      </c>
      <c r="AP153" s="220">
        <v>0</v>
      </c>
      <c r="AQ153" s="430"/>
      <c r="AR153" s="221">
        <f t="shared" si="106"/>
        <v>34</v>
      </c>
      <c r="AS153" s="221">
        <f t="shared" si="107"/>
        <v>29</v>
      </c>
    </row>
    <row r="154" spans="2:45" ht="15.75" customHeight="1">
      <c r="B154" s="227" t="s">
        <v>217</v>
      </c>
      <c r="C154" s="332" t="s">
        <v>2073</v>
      </c>
      <c r="D154" s="399">
        <v>1</v>
      </c>
      <c r="E154" s="332" t="s">
        <v>204</v>
      </c>
      <c r="F154" s="427" t="s">
        <v>2349</v>
      </c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428">
        <v>2</v>
      </c>
      <c r="T154" s="220">
        <v>3</v>
      </c>
      <c r="U154" s="220">
        <v>5</v>
      </c>
      <c r="V154" s="220">
        <v>7</v>
      </c>
      <c r="W154" s="220">
        <v>6</v>
      </c>
      <c r="X154" s="220">
        <v>3</v>
      </c>
      <c r="Y154" s="220">
        <v>1</v>
      </c>
      <c r="Z154" s="220">
        <v>5</v>
      </c>
      <c r="AA154" s="220">
        <v>3</v>
      </c>
      <c r="AB154" s="220">
        <v>7</v>
      </c>
      <c r="AC154" s="220">
        <v>6</v>
      </c>
      <c r="AD154" s="231">
        <v>4</v>
      </c>
      <c r="AE154" s="428">
        <v>7</v>
      </c>
      <c r="AF154" s="220">
        <v>1</v>
      </c>
      <c r="AG154" s="220">
        <v>6</v>
      </c>
      <c r="AH154" s="220">
        <v>4</v>
      </c>
      <c r="AI154" s="220">
        <v>5</v>
      </c>
      <c r="AJ154" s="220">
        <v>3</v>
      </c>
      <c r="AK154" s="220">
        <v>3</v>
      </c>
      <c r="AL154" s="220">
        <v>3</v>
      </c>
      <c r="AM154" s="220">
        <v>3</v>
      </c>
      <c r="AN154" s="220">
        <v>9</v>
      </c>
      <c r="AO154" s="220">
        <v>5</v>
      </c>
      <c r="AP154" s="220">
        <v>4</v>
      </c>
      <c r="AQ154" s="430"/>
      <c r="AR154" s="221">
        <f t="shared" si="106"/>
        <v>52</v>
      </c>
      <c r="AS154" s="221">
        <f t="shared" si="107"/>
        <v>53</v>
      </c>
    </row>
    <row r="155" spans="2:45" ht="15.75" customHeight="1">
      <c r="B155" s="227" t="s">
        <v>217</v>
      </c>
      <c r="C155" s="332" t="s">
        <v>2074</v>
      </c>
      <c r="D155" s="399">
        <v>1</v>
      </c>
      <c r="E155" s="332" t="s">
        <v>204</v>
      </c>
      <c r="F155" s="427" t="s">
        <v>2349</v>
      </c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428">
        <v>2</v>
      </c>
      <c r="T155" s="220">
        <v>3</v>
      </c>
      <c r="U155" s="220">
        <v>2</v>
      </c>
      <c r="V155" s="220">
        <v>5</v>
      </c>
      <c r="W155" s="220">
        <v>5</v>
      </c>
      <c r="X155" s="220">
        <v>2</v>
      </c>
      <c r="Y155" s="220">
        <v>1</v>
      </c>
      <c r="Z155" s="220">
        <v>3</v>
      </c>
      <c r="AA155" s="220">
        <v>4</v>
      </c>
      <c r="AB155" s="220">
        <v>7</v>
      </c>
      <c r="AC155" s="220">
        <v>5</v>
      </c>
      <c r="AD155" s="231">
        <v>3</v>
      </c>
      <c r="AE155" s="428">
        <v>3</v>
      </c>
      <c r="AF155" s="220">
        <v>1</v>
      </c>
      <c r="AG155" s="220">
        <v>2</v>
      </c>
      <c r="AH155" s="220">
        <v>3</v>
      </c>
      <c r="AI155" s="220">
        <v>4</v>
      </c>
      <c r="AJ155" s="220">
        <v>2</v>
      </c>
      <c r="AK155" s="220">
        <v>0</v>
      </c>
      <c r="AL155" s="220">
        <v>4</v>
      </c>
      <c r="AM155" s="220">
        <v>1</v>
      </c>
      <c r="AN155" s="220">
        <v>7</v>
      </c>
      <c r="AO155" s="220">
        <v>2</v>
      </c>
      <c r="AP155" s="220">
        <v>1</v>
      </c>
      <c r="AQ155" s="430"/>
      <c r="AR155" s="221">
        <f t="shared" si="106"/>
        <v>42</v>
      </c>
      <c r="AS155" s="221">
        <f t="shared" si="107"/>
        <v>30</v>
      </c>
    </row>
    <row r="156" spans="2:45" ht="15.75" customHeight="1">
      <c r="B156" s="227" t="s">
        <v>217</v>
      </c>
      <c r="C156" s="332" t="s">
        <v>2075</v>
      </c>
      <c r="D156" s="399">
        <v>1</v>
      </c>
      <c r="E156" s="332" t="s">
        <v>204</v>
      </c>
      <c r="F156" s="427" t="s">
        <v>2349</v>
      </c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428">
        <v>6</v>
      </c>
      <c r="T156" s="220">
        <v>3</v>
      </c>
      <c r="U156" s="220">
        <v>4</v>
      </c>
      <c r="V156" s="220">
        <v>6</v>
      </c>
      <c r="W156" s="220">
        <v>10</v>
      </c>
      <c r="X156" s="220">
        <v>7</v>
      </c>
      <c r="Y156" s="220">
        <v>3</v>
      </c>
      <c r="Z156" s="220">
        <v>8</v>
      </c>
      <c r="AA156" s="220">
        <v>5</v>
      </c>
      <c r="AB156" s="220">
        <v>9</v>
      </c>
      <c r="AC156" s="220">
        <v>9</v>
      </c>
      <c r="AD156" s="231">
        <v>7</v>
      </c>
      <c r="AE156" s="428">
        <v>4</v>
      </c>
      <c r="AF156" s="220">
        <v>7</v>
      </c>
      <c r="AG156" s="220">
        <v>10</v>
      </c>
      <c r="AH156" s="220">
        <v>5</v>
      </c>
      <c r="AI156" s="220">
        <v>10</v>
      </c>
      <c r="AJ156" s="220">
        <v>11</v>
      </c>
      <c r="AK156" s="220">
        <v>9</v>
      </c>
      <c r="AL156" s="220">
        <v>7</v>
      </c>
      <c r="AM156" s="220">
        <v>3</v>
      </c>
      <c r="AN156" s="220">
        <v>8</v>
      </c>
      <c r="AO156" s="220">
        <v>7</v>
      </c>
      <c r="AP156" s="220">
        <v>4</v>
      </c>
      <c r="AQ156" s="430"/>
      <c r="AR156" s="221">
        <f t="shared" si="106"/>
        <v>77</v>
      </c>
      <c r="AS156" s="221">
        <f t="shared" si="107"/>
        <v>85</v>
      </c>
    </row>
    <row r="157" spans="2:45" ht="15.75" customHeight="1">
      <c r="B157" s="227" t="s">
        <v>217</v>
      </c>
      <c r="C157" s="332" t="s">
        <v>2076</v>
      </c>
      <c r="D157" s="399">
        <v>1</v>
      </c>
      <c r="E157" s="332" t="s">
        <v>204</v>
      </c>
      <c r="F157" s="427" t="s">
        <v>2349</v>
      </c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428">
        <v>0</v>
      </c>
      <c r="T157" s="220">
        <v>2</v>
      </c>
      <c r="U157" s="220">
        <v>3</v>
      </c>
      <c r="V157" s="220">
        <v>2</v>
      </c>
      <c r="W157" s="220">
        <v>3</v>
      </c>
      <c r="X157" s="220">
        <v>3</v>
      </c>
      <c r="Y157" s="220">
        <v>3</v>
      </c>
      <c r="Z157" s="220">
        <v>5</v>
      </c>
      <c r="AA157" s="220">
        <v>1</v>
      </c>
      <c r="AB157" s="220">
        <v>7</v>
      </c>
      <c r="AC157" s="220">
        <v>5</v>
      </c>
      <c r="AD157" s="231">
        <v>2</v>
      </c>
      <c r="AE157" s="428">
        <v>1</v>
      </c>
      <c r="AF157" s="220">
        <v>3</v>
      </c>
      <c r="AG157" s="220">
        <v>3</v>
      </c>
      <c r="AH157" s="220">
        <v>6</v>
      </c>
      <c r="AI157" s="220">
        <v>2</v>
      </c>
      <c r="AJ157" s="220">
        <v>3</v>
      </c>
      <c r="AK157" s="220">
        <v>1</v>
      </c>
      <c r="AL157" s="220">
        <v>1</v>
      </c>
      <c r="AM157" s="220">
        <v>1</v>
      </c>
      <c r="AN157" s="220">
        <v>7</v>
      </c>
      <c r="AO157" s="220">
        <v>4</v>
      </c>
      <c r="AP157" s="220">
        <v>4</v>
      </c>
      <c r="AQ157" s="430"/>
      <c r="AR157" s="221">
        <f t="shared" si="106"/>
        <v>36</v>
      </c>
      <c r="AS157" s="221">
        <f t="shared" si="107"/>
        <v>36</v>
      </c>
    </row>
    <row r="158" spans="2:45" ht="15.75" customHeight="1">
      <c r="B158" s="227" t="s">
        <v>217</v>
      </c>
      <c r="C158" s="332" t="s">
        <v>2077</v>
      </c>
      <c r="D158" s="399">
        <v>1</v>
      </c>
      <c r="E158" s="332" t="s">
        <v>204</v>
      </c>
      <c r="F158" s="427" t="s">
        <v>2349</v>
      </c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428">
        <v>4</v>
      </c>
      <c r="T158" s="220">
        <v>1</v>
      </c>
      <c r="U158" s="220">
        <v>1</v>
      </c>
      <c r="V158" s="220">
        <v>3</v>
      </c>
      <c r="W158" s="220">
        <v>4</v>
      </c>
      <c r="X158" s="220">
        <v>3</v>
      </c>
      <c r="Y158" s="220">
        <v>2</v>
      </c>
      <c r="Z158" s="220">
        <v>2</v>
      </c>
      <c r="AA158" s="220">
        <v>2</v>
      </c>
      <c r="AB158" s="220">
        <v>4</v>
      </c>
      <c r="AC158" s="220">
        <v>2</v>
      </c>
      <c r="AD158" s="231">
        <v>5</v>
      </c>
      <c r="AE158" s="428">
        <v>3</v>
      </c>
      <c r="AF158" s="220">
        <v>0</v>
      </c>
      <c r="AG158" s="220">
        <v>1</v>
      </c>
      <c r="AH158" s="220">
        <v>2</v>
      </c>
      <c r="AI158" s="220">
        <v>6</v>
      </c>
      <c r="AJ158" s="220">
        <v>1</v>
      </c>
      <c r="AK158" s="220">
        <v>0</v>
      </c>
      <c r="AL158" s="220">
        <v>2</v>
      </c>
      <c r="AM158" s="220">
        <v>1</v>
      </c>
      <c r="AN158" s="220">
        <v>4</v>
      </c>
      <c r="AO158" s="220">
        <v>2</v>
      </c>
      <c r="AP158" s="220">
        <v>1</v>
      </c>
      <c r="AQ158" s="430"/>
      <c r="AR158" s="221">
        <f t="shared" si="106"/>
        <v>33</v>
      </c>
      <c r="AS158" s="221">
        <f t="shared" si="107"/>
        <v>23</v>
      </c>
    </row>
    <row r="159" spans="2:45" ht="15.75" customHeight="1">
      <c r="B159" s="227" t="s">
        <v>217</v>
      </c>
      <c r="C159" s="332" t="s">
        <v>2078</v>
      </c>
      <c r="D159" s="399">
        <v>2</v>
      </c>
      <c r="E159" s="332" t="s">
        <v>2058</v>
      </c>
      <c r="F159" s="427" t="s">
        <v>2058</v>
      </c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428">
        <v>1</v>
      </c>
      <c r="T159" s="220">
        <v>1</v>
      </c>
      <c r="U159" s="220">
        <v>1</v>
      </c>
      <c r="V159" s="220">
        <v>1</v>
      </c>
      <c r="W159" s="220">
        <v>1</v>
      </c>
      <c r="X159" s="220">
        <v>0</v>
      </c>
      <c r="Y159" s="220">
        <v>1</v>
      </c>
      <c r="Z159" s="220">
        <v>1</v>
      </c>
      <c r="AA159" s="220">
        <v>3</v>
      </c>
      <c r="AB159" s="220">
        <v>4</v>
      </c>
      <c r="AC159" s="220">
        <v>10</v>
      </c>
      <c r="AD159" s="231">
        <v>4</v>
      </c>
      <c r="AE159" s="428">
        <v>1</v>
      </c>
      <c r="AF159" s="220">
        <v>1</v>
      </c>
      <c r="AG159" s="220">
        <v>7</v>
      </c>
      <c r="AH159" s="220">
        <v>5</v>
      </c>
      <c r="AI159" s="220">
        <v>11</v>
      </c>
      <c r="AJ159" s="220">
        <v>4</v>
      </c>
      <c r="AK159" s="220">
        <v>2</v>
      </c>
      <c r="AL159" s="220">
        <v>3</v>
      </c>
      <c r="AM159" s="220">
        <v>6</v>
      </c>
      <c r="AN159" s="220">
        <v>11</v>
      </c>
      <c r="AO159" s="220">
        <v>14</v>
      </c>
      <c r="AP159" s="220">
        <v>0</v>
      </c>
      <c r="AQ159" s="430"/>
      <c r="AR159" s="221">
        <f t="shared" si="106"/>
        <v>28</v>
      </c>
      <c r="AS159" s="221">
        <f t="shared" si="107"/>
        <v>65</v>
      </c>
    </row>
    <row r="160" spans="2:45" ht="15.75" customHeight="1">
      <c r="B160" s="227" t="s">
        <v>217</v>
      </c>
      <c r="C160" s="332" t="s">
        <v>2169</v>
      </c>
      <c r="D160" s="399">
        <v>1</v>
      </c>
      <c r="E160" s="332" t="s">
        <v>2058</v>
      </c>
      <c r="F160" s="427" t="s">
        <v>2058</v>
      </c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428">
        <v>1</v>
      </c>
      <c r="T160" s="220">
        <v>1</v>
      </c>
      <c r="U160" s="220">
        <v>1</v>
      </c>
      <c r="V160" s="220">
        <v>1</v>
      </c>
      <c r="W160" s="220">
        <v>1</v>
      </c>
      <c r="X160" s="220">
        <v>0</v>
      </c>
      <c r="Y160" s="220">
        <v>1</v>
      </c>
      <c r="Z160" s="220">
        <v>4</v>
      </c>
      <c r="AA160" s="220">
        <v>2</v>
      </c>
      <c r="AB160" s="220">
        <v>3</v>
      </c>
      <c r="AC160" s="220">
        <v>4</v>
      </c>
      <c r="AD160" s="231">
        <v>4</v>
      </c>
      <c r="AE160" s="428">
        <v>5</v>
      </c>
      <c r="AF160" s="220">
        <v>1</v>
      </c>
      <c r="AG160" s="220">
        <v>8</v>
      </c>
      <c r="AH160" s="220">
        <v>7</v>
      </c>
      <c r="AI160" s="220">
        <v>6</v>
      </c>
      <c r="AJ160" s="220">
        <v>4</v>
      </c>
      <c r="AK160" s="220">
        <v>2</v>
      </c>
      <c r="AL160" s="220">
        <v>4</v>
      </c>
      <c r="AM160" s="220">
        <v>2</v>
      </c>
      <c r="AN160" s="220">
        <v>7</v>
      </c>
      <c r="AO160" s="220">
        <v>9</v>
      </c>
      <c r="AP160" s="220">
        <v>2</v>
      </c>
      <c r="AQ160" s="430"/>
      <c r="AR160" s="221">
        <f t="shared" si="106"/>
        <v>23</v>
      </c>
      <c r="AS160" s="221">
        <f t="shared" si="107"/>
        <v>57</v>
      </c>
    </row>
    <row r="161" spans="2:45" ht="15.75" customHeight="1">
      <c r="B161" s="227" t="s">
        <v>217</v>
      </c>
      <c r="C161" s="332" t="s">
        <v>2080</v>
      </c>
      <c r="D161" s="399">
        <v>2</v>
      </c>
      <c r="E161" s="332" t="s">
        <v>2058</v>
      </c>
      <c r="F161" s="427" t="s">
        <v>2058</v>
      </c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428">
        <v>0</v>
      </c>
      <c r="T161" s="220">
        <v>0</v>
      </c>
      <c r="U161" s="220">
        <v>0</v>
      </c>
      <c r="V161" s="220">
        <v>0</v>
      </c>
      <c r="W161" s="220">
        <v>0</v>
      </c>
      <c r="X161" s="220">
        <v>0</v>
      </c>
      <c r="Y161" s="220">
        <v>0</v>
      </c>
      <c r="Z161" s="220">
        <v>0</v>
      </c>
      <c r="AA161" s="220">
        <v>0</v>
      </c>
      <c r="AB161" s="220">
        <v>0</v>
      </c>
      <c r="AC161" s="220">
        <v>0</v>
      </c>
      <c r="AD161" s="231">
        <v>0</v>
      </c>
      <c r="AE161" s="428">
        <v>0</v>
      </c>
      <c r="AF161" s="220">
        <v>0</v>
      </c>
      <c r="AG161" s="220">
        <v>0</v>
      </c>
      <c r="AH161" s="220">
        <v>0</v>
      </c>
      <c r="AI161" s="220">
        <v>0</v>
      </c>
      <c r="AJ161" s="220">
        <v>0</v>
      </c>
      <c r="AK161" s="220">
        <v>0</v>
      </c>
      <c r="AL161" s="220">
        <v>0</v>
      </c>
      <c r="AM161" s="220">
        <v>0</v>
      </c>
      <c r="AN161" s="220">
        <v>0</v>
      </c>
      <c r="AO161" s="220">
        <v>0</v>
      </c>
      <c r="AP161" s="220">
        <v>0</v>
      </c>
      <c r="AQ161" s="430"/>
      <c r="AR161" s="221">
        <f t="shared" si="106"/>
        <v>0</v>
      </c>
      <c r="AS161" s="221">
        <f t="shared" si="107"/>
        <v>0</v>
      </c>
    </row>
    <row r="162" spans="2:45" ht="15.75" customHeight="1">
      <c r="B162" s="227" t="s">
        <v>217</v>
      </c>
      <c r="C162" s="332" t="s">
        <v>2081</v>
      </c>
      <c r="D162" s="399">
        <v>1</v>
      </c>
      <c r="E162" s="332" t="s">
        <v>2058</v>
      </c>
      <c r="F162" s="427" t="s">
        <v>2058</v>
      </c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428">
        <v>1</v>
      </c>
      <c r="T162" s="220">
        <v>1</v>
      </c>
      <c r="U162" s="220">
        <v>1</v>
      </c>
      <c r="V162" s="220">
        <v>1</v>
      </c>
      <c r="W162" s="220">
        <v>1</v>
      </c>
      <c r="X162" s="220">
        <v>0</v>
      </c>
      <c r="Y162" s="220">
        <v>1</v>
      </c>
      <c r="Z162" s="220">
        <v>1</v>
      </c>
      <c r="AA162" s="220">
        <v>0</v>
      </c>
      <c r="AB162" s="220">
        <v>1</v>
      </c>
      <c r="AC162" s="220">
        <v>2</v>
      </c>
      <c r="AD162" s="231">
        <v>1</v>
      </c>
      <c r="AE162" s="428">
        <v>3</v>
      </c>
      <c r="AF162" s="220">
        <v>1</v>
      </c>
      <c r="AG162" s="220">
        <v>0</v>
      </c>
      <c r="AH162" s="220">
        <v>0</v>
      </c>
      <c r="AI162" s="220">
        <v>5</v>
      </c>
      <c r="AJ162" s="220">
        <v>0</v>
      </c>
      <c r="AK162" s="220">
        <v>1</v>
      </c>
      <c r="AL162" s="220">
        <v>1</v>
      </c>
      <c r="AM162" s="220">
        <v>2</v>
      </c>
      <c r="AN162" s="220">
        <v>4</v>
      </c>
      <c r="AO162" s="220">
        <v>2</v>
      </c>
      <c r="AP162" s="220">
        <v>3</v>
      </c>
      <c r="AQ162" s="430"/>
      <c r="AR162" s="221">
        <f t="shared" si="106"/>
        <v>11</v>
      </c>
      <c r="AS162" s="221">
        <f t="shared" si="107"/>
        <v>22</v>
      </c>
    </row>
    <row r="163" spans="2:45" ht="15.75" customHeight="1">
      <c r="B163" s="227" t="s">
        <v>217</v>
      </c>
      <c r="C163" s="332" t="s">
        <v>2082</v>
      </c>
      <c r="D163" s="399">
        <v>1</v>
      </c>
      <c r="E163" s="332" t="s">
        <v>2058</v>
      </c>
      <c r="F163" s="427" t="s">
        <v>2058</v>
      </c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428">
        <v>1</v>
      </c>
      <c r="T163" s="220">
        <v>1</v>
      </c>
      <c r="U163" s="220">
        <v>1</v>
      </c>
      <c r="V163" s="220">
        <v>1</v>
      </c>
      <c r="W163" s="220">
        <v>1</v>
      </c>
      <c r="X163" s="220">
        <v>1</v>
      </c>
      <c r="Y163" s="220">
        <v>1</v>
      </c>
      <c r="Z163" s="220">
        <v>1</v>
      </c>
      <c r="AA163" s="220">
        <v>2</v>
      </c>
      <c r="AB163" s="220">
        <v>0</v>
      </c>
      <c r="AC163" s="220">
        <v>0</v>
      </c>
      <c r="AD163" s="231">
        <v>6</v>
      </c>
      <c r="AE163" s="428">
        <v>1</v>
      </c>
      <c r="AF163" s="220">
        <v>2</v>
      </c>
      <c r="AG163" s="220">
        <v>10</v>
      </c>
      <c r="AH163" s="220">
        <v>3</v>
      </c>
      <c r="AI163" s="220">
        <v>5</v>
      </c>
      <c r="AJ163" s="220">
        <v>0</v>
      </c>
      <c r="AK163" s="220">
        <v>2</v>
      </c>
      <c r="AL163" s="220">
        <v>1</v>
      </c>
      <c r="AM163" s="220">
        <v>3</v>
      </c>
      <c r="AN163" s="220">
        <v>7</v>
      </c>
      <c r="AO163" s="220">
        <v>7</v>
      </c>
      <c r="AP163" s="220">
        <v>4</v>
      </c>
      <c r="AQ163" s="430"/>
      <c r="AR163" s="221">
        <f t="shared" si="106"/>
        <v>16</v>
      </c>
      <c r="AS163" s="221">
        <f t="shared" si="107"/>
        <v>45</v>
      </c>
    </row>
    <row r="164" spans="2:45" ht="15.75" customHeight="1">
      <c r="B164" s="227" t="s">
        <v>217</v>
      </c>
      <c r="C164" s="332" t="s">
        <v>2083</v>
      </c>
      <c r="D164" s="399">
        <v>2</v>
      </c>
      <c r="E164" s="332" t="s">
        <v>2058</v>
      </c>
      <c r="F164" s="427" t="s">
        <v>2058</v>
      </c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428">
        <v>1</v>
      </c>
      <c r="T164" s="220">
        <v>1</v>
      </c>
      <c r="U164" s="220">
        <v>1</v>
      </c>
      <c r="V164" s="220">
        <v>1</v>
      </c>
      <c r="W164" s="220">
        <v>1</v>
      </c>
      <c r="X164" s="220">
        <v>0</v>
      </c>
      <c r="Y164" s="220">
        <v>1</v>
      </c>
      <c r="Z164" s="220">
        <v>0</v>
      </c>
      <c r="AA164" s="220">
        <v>2</v>
      </c>
      <c r="AB164" s="220">
        <v>3</v>
      </c>
      <c r="AC164" s="220">
        <v>5</v>
      </c>
      <c r="AD164" s="231">
        <v>3</v>
      </c>
      <c r="AE164" s="428">
        <v>1</v>
      </c>
      <c r="AF164" s="220">
        <v>1</v>
      </c>
      <c r="AG164" s="220">
        <v>3</v>
      </c>
      <c r="AH164" s="220">
        <v>4</v>
      </c>
      <c r="AI164" s="220">
        <v>3</v>
      </c>
      <c r="AJ164" s="220">
        <v>4</v>
      </c>
      <c r="AK164" s="220">
        <v>0</v>
      </c>
      <c r="AL164" s="220">
        <v>2</v>
      </c>
      <c r="AM164" s="220">
        <v>4</v>
      </c>
      <c r="AN164" s="220">
        <v>8</v>
      </c>
      <c r="AO164" s="220">
        <v>9</v>
      </c>
      <c r="AP164" s="220">
        <v>7</v>
      </c>
      <c r="AQ164" s="430"/>
      <c r="AR164" s="221">
        <f t="shared" si="106"/>
        <v>19</v>
      </c>
      <c r="AS164" s="221">
        <f t="shared" si="107"/>
        <v>46</v>
      </c>
    </row>
    <row r="165" spans="2:45" ht="15.75" customHeight="1">
      <c r="B165" s="227" t="s">
        <v>217</v>
      </c>
      <c r="C165" s="332" t="s">
        <v>2084</v>
      </c>
      <c r="D165" s="399">
        <v>1</v>
      </c>
      <c r="E165" s="332" t="s">
        <v>2058</v>
      </c>
      <c r="F165" s="427" t="s">
        <v>2058</v>
      </c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428">
        <v>0</v>
      </c>
      <c r="T165" s="220">
        <v>0</v>
      </c>
      <c r="U165" s="220">
        <v>0</v>
      </c>
      <c r="V165" s="220">
        <v>0</v>
      </c>
      <c r="W165" s="220">
        <v>0</v>
      </c>
      <c r="X165" s="220">
        <v>0</v>
      </c>
      <c r="Y165" s="220">
        <v>1</v>
      </c>
      <c r="Z165" s="220">
        <v>0</v>
      </c>
      <c r="AA165" s="220">
        <v>0</v>
      </c>
      <c r="AB165" s="220">
        <v>1</v>
      </c>
      <c r="AC165" s="220">
        <v>2</v>
      </c>
      <c r="AD165" s="231">
        <v>1</v>
      </c>
      <c r="AE165" s="428">
        <v>1</v>
      </c>
      <c r="AF165" s="220">
        <v>1</v>
      </c>
      <c r="AG165" s="220">
        <v>7</v>
      </c>
      <c r="AH165" s="220">
        <v>2</v>
      </c>
      <c r="AI165" s="220">
        <v>4</v>
      </c>
      <c r="AJ165" s="220">
        <v>3</v>
      </c>
      <c r="AK165" s="220">
        <v>1</v>
      </c>
      <c r="AL165" s="220">
        <v>1</v>
      </c>
      <c r="AM165" s="220">
        <v>1</v>
      </c>
      <c r="AN165" s="220">
        <v>2</v>
      </c>
      <c r="AO165" s="220">
        <v>3</v>
      </c>
      <c r="AP165" s="220">
        <v>0</v>
      </c>
      <c r="AQ165" s="430"/>
      <c r="AR165" s="221">
        <f t="shared" si="106"/>
        <v>5</v>
      </c>
      <c r="AS165" s="221">
        <f t="shared" si="107"/>
        <v>26</v>
      </c>
    </row>
    <row r="166" spans="2:45" ht="15.75" customHeight="1">
      <c r="B166" s="227" t="s">
        <v>217</v>
      </c>
      <c r="C166" s="332" t="s">
        <v>2085</v>
      </c>
      <c r="D166" s="399">
        <v>1</v>
      </c>
      <c r="E166" s="332" t="s">
        <v>2059</v>
      </c>
      <c r="F166" s="427" t="s">
        <v>2059</v>
      </c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428">
        <v>5</v>
      </c>
      <c r="T166" s="220">
        <v>6</v>
      </c>
      <c r="U166" s="220">
        <v>5</v>
      </c>
      <c r="V166" s="220">
        <v>3</v>
      </c>
      <c r="W166" s="220">
        <v>6</v>
      </c>
      <c r="X166" s="220">
        <v>3</v>
      </c>
      <c r="Y166" s="220">
        <v>8</v>
      </c>
      <c r="Z166" s="220">
        <v>1</v>
      </c>
      <c r="AA166" s="220">
        <v>3</v>
      </c>
      <c r="AB166" s="220">
        <v>9</v>
      </c>
      <c r="AC166" s="220">
        <v>8</v>
      </c>
      <c r="AD166" s="231">
        <v>6</v>
      </c>
      <c r="AE166" s="428">
        <v>4</v>
      </c>
      <c r="AF166" s="220">
        <v>5</v>
      </c>
      <c r="AG166" s="220">
        <v>10</v>
      </c>
      <c r="AH166" s="220">
        <v>6</v>
      </c>
      <c r="AI166" s="220">
        <v>8</v>
      </c>
      <c r="AJ166" s="220">
        <v>4</v>
      </c>
      <c r="AK166" s="220">
        <v>3</v>
      </c>
      <c r="AL166" s="220">
        <v>7</v>
      </c>
      <c r="AM166" s="220">
        <v>3</v>
      </c>
      <c r="AN166" s="220">
        <v>6</v>
      </c>
      <c r="AO166" s="220">
        <v>9</v>
      </c>
      <c r="AP166" s="220">
        <v>4</v>
      </c>
      <c r="AQ166" s="430"/>
      <c r="AR166" s="221">
        <f t="shared" si="106"/>
        <v>63</v>
      </c>
      <c r="AS166" s="221">
        <f t="shared" si="107"/>
        <v>69</v>
      </c>
    </row>
    <row r="167" spans="2:45" ht="15.75" customHeight="1">
      <c r="B167" s="227" t="s">
        <v>217</v>
      </c>
      <c r="C167" s="332" t="s">
        <v>2086</v>
      </c>
      <c r="D167" s="399">
        <v>1</v>
      </c>
      <c r="E167" s="332" t="s">
        <v>2059</v>
      </c>
      <c r="F167" s="427" t="s">
        <v>2059</v>
      </c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428">
        <v>4</v>
      </c>
      <c r="T167" s="220">
        <v>7</v>
      </c>
      <c r="U167" s="220">
        <v>4</v>
      </c>
      <c r="V167" s="220">
        <v>3</v>
      </c>
      <c r="W167" s="220">
        <v>6</v>
      </c>
      <c r="X167" s="220">
        <v>5</v>
      </c>
      <c r="Y167" s="220">
        <v>5</v>
      </c>
      <c r="Z167" s="220">
        <v>2</v>
      </c>
      <c r="AA167" s="220">
        <v>1</v>
      </c>
      <c r="AB167" s="220">
        <v>5</v>
      </c>
      <c r="AC167" s="220">
        <v>6</v>
      </c>
      <c r="AD167" s="231">
        <v>9</v>
      </c>
      <c r="AE167" s="428">
        <v>1</v>
      </c>
      <c r="AF167" s="220">
        <v>6</v>
      </c>
      <c r="AG167" s="220">
        <v>4</v>
      </c>
      <c r="AH167" s="220">
        <v>4</v>
      </c>
      <c r="AI167" s="220">
        <v>3</v>
      </c>
      <c r="AJ167" s="220">
        <v>7</v>
      </c>
      <c r="AK167" s="220">
        <v>3</v>
      </c>
      <c r="AL167" s="220">
        <v>4</v>
      </c>
      <c r="AM167" s="220">
        <v>5</v>
      </c>
      <c r="AN167" s="220">
        <v>5</v>
      </c>
      <c r="AO167" s="220">
        <v>4</v>
      </c>
      <c r="AP167" s="220">
        <v>1</v>
      </c>
      <c r="AQ167" s="430"/>
      <c r="AR167" s="221">
        <f t="shared" si="106"/>
        <v>57</v>
      </c>
      <c r="AS167" s="221">
        <f t="shared" si="107"/>
        <v>47</v>
      </c>
    </row>
    <row r="168" spans="2:45" ht="15.75" customHeight="1">
      <c r="B168" s="227" t="s">
        <v>217</v>
      </c>
      <c r="C168" s="332" t="s">
        <v>2170</v>
      </c>
      <c r="D168" s="399">
        <v>1</v>
      </c>
      <c r="E168" s="332" t="s">
        <v>2059</v>
      </c>
      <c r="F168" s="427" t="s">
        <v>2059</v>
      </c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428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31"/>
      <c r="AE168" s="428">
        <v>0</v>
      </c>
      <c r="AF168" s="220">
        <v>0</v>
      </c>
      <c r="AG168" s="220">
        <v>0</v>
      </c>
      <c r="AH168" s="220">
        <v>0</v>
      </c>
      <c r="AI168" s="220">
        <v>0</v>
      </c>
      <c r="AJ168" s="220">
        <v>0</v>
      </c>
      <c r="AK168" s="220">
        <v>0</v>
      </c>
      <c r="AL168" s="220">
        <v>0</v>
      </c>
      <c r="AM168" s="220">
        <v>0</v>
      </c>
      <c r="AN168" s="220">
        <v>0</v>
      </c>
      <c r="AO168" s="220">
        <v>0</v>
      </c>
      <c r="AP168" s="220">
        <v>0</v>
      </c>
      <c r="AQ168" s="430"/>
      <c r="AR168" s="221">
        <f t="shared" si="106"/>
        <v>0</v>
      </c>
      <c r="AS168" s="221">
        <f t="shared" si="107"/>
        <v>0</v>
      </c>
    </row>
    <row r="169" spans="2:45" ht="15.75" customHeight="1">
      <c r="B169" s="227" t="s">
        <v>217</v>
      </c>
      <c r="C169" s="332" t="s">
        <v>2087</v>
      </c>
      <c r="D169" s="399">
        <v>1</v>
      </c>
      <c r="E169" s="332" t="s">
        <v>2059</v>
      </c>
      <c r="F169" s="427" t="s">
        <v>2059</v>
      </c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428">
        <v>4</v>
      </c>
      <c r="T169" s="220">
        <v>6</v>
      </c>
      <c r="U169" s="220">
        <v>5</v>
      </c>
      <c r="V169" s="220">
        <v>4</v>
      </c>
      <c r="W169" s="220">
        <v>5</v>
      </c>
      <c r="X169" s="220">
        <v>6</v>
      </c>
      <c r="Y169" s="220">
        <v>2</v>
      </c>
      <c r="Z169" s="220">
        <v>5</v>
      </c>
      <c r="AA169" s="220">
        <v>2</v>
      </c>
      <c r="AB169" s="220">
        <v>6</v>
      </c>
      <c r="AC169" s="220">
        <v>7</v>
      </c>
      <c r="AD169" s="231">
        <v>2</v>
      </c>
      <c r="AE169" s="428">
        <v>3</v>
      </c>
      <c r="AF169" s="220">
        <v>2</v>
      </c>
      <c r="AG169" s="220">
        <v>5</v>
      </c>
      <c r="AH169" s="220">
        <v>5</v>
      </c>
      <c r="AI169" s="220">
        <v>4</v>
      </c>
      <c r="AJ169" s="220">
        <v>1</v>
      </c>
      <c r="AK169" s="220">
        <v>1</v>
      </c>
      <c r="AL169" s="220">
        <v>5</v>
      </c>
      <c r="AM169" s="220">
        <v>2</v>
      </c>
      <c r="AN169" s="220">
        <v>6</v>
      </c>
      <c r="AO169" s="220">
        <v>1</v>
      </c>
      <c r="AP169" s="220">
        <v>2</v>
      </c>
      <c r="AQ169" s="430"/>
      <c r="AR169" s="221">
        <f t="shared" si="106"/>
        <v>54</v>
      </c>
      <c r="AS169" s="221">
        <f t="shared" si="107"/>
        <v>37</v>
      </c>
    </row>
    <row r="170" spans="2:45" ht="15.75" customHeight="1">
      <c r="B170" s="227" t="s">
        <v>217</v>
      </c>
      <c r="C170" s="332" t="s">
        <v>2088</v>
      </c>
      <c r="D170" s="399">
        <v>1</v>
      </c>
      <c r="E170" s="332" t="s">
        <v>2059</v>
      </c>
      <c r="F170" s="427" t="s">
        <v>2059</v>
      </c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428">
        <v>1</v>
      </c>
      <c r="T170" s="220">
        <v>5</v>
      </c>
      <c r="U170" s="220">
        <v>7</v>
      </c>
      <c r="V170" s="220">
        <v>5</v>
      </c>
      <c r="W170" s="220">
        <v>5</v>
      </c>
      <c r="X170" s="220">
        <v>4</v>
      </c>
      <c r="Y170" s="220">
        <v>4</v>
      </c>
      <c r="Z170" s="220">
        <v>5</v>
      </c>
      <c r="AA170" s="220">
        <v>2</v>
      </c>
      <c r="AB170" s="220">
        <v>10</v>
      </c>
      <c r="AC170" s="220">
        <v>6</v>
      </c>
      <c r="AD170" s="231">
        <v>7</v>
      </c>
      <c r="AE170" s="428">
        <v>5</v>
      </c>
      <c r="AF170" s="220">
        <v>2</v>
      </c>
      <c r="AG170" s="220">
        <v>7</v>
      </c>
      <c r="AH170" s="220">
        <v>4</v>
      </c>
      <c r="AI170" s="220">
        <v>5</v>
      </c>
      <c r="AJ170" s="220">
        <v>4</v>
      </c>
      <c r="AK170" s="220">
        <v>3</v>
      </c>
      <c r="AL170" s="220">
        <v>4</v>
      </c>
      <c r="AM170" s="220">
        <v>1</v>
      </c>
      <c r="AN170" s="220">
        <v>8</v>
      </c>
      <c r="AO170" s="220">
        <v>7</v>
      </c>
      <c r="AP170" s="220">
        <v>4</v>
      </c>
      <c r="AQ170" s="430"/>
      <c r="AR170" s="221">
        <f t="shared" si="106"/>
        <v>61</v>
      </c>
      <c r="AS170" s="221">
        <f t="shared" si="107"/>
        <v>54</v>
      </c>
    </row>
    <row r="171" spans="2:45" ht="15.75" customHeight="1">
      <c r="B171" s="227" t="s">
        <v>217</v>
      </c>
      <c r="C171" s="332" t="s">
        <v>2089</v>
      </c>
      <c r="D171" s="399">
        <v>2</v>
      </c>
      <c r="E171" s="332" t="s">
        <v>2059</v>
      </c>
      <c r="F171" s="427" t="s">
        <v>2059</v>
      </c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428">
        <v>0</v>
      </c>
      <c r="T171" s="220">
        <v>0</v>
      </c>
      <c r="U171" s="220">
        <v>0</v>
      </c>
      <c r="V171" s="220">
        <v>0</v>
      </c>
      <c r="W171" s="220">
        <v>0</v>
      </c>
      <c r="X171" s="220">
        <v>1</v>
      </c>
      <c r="Y171" s="220">
        <v>1</v>
      </c>
      <c r="Z171" s="220">
        <v>0</v>
      </c>
      <c r="AA171" s="220">
        <v>1</v>
      </c>
      <c r="AB171" s="220">
        <v>5</v>
      </c>
      <c r="AC171" s="220">
        <v>7</v>
      </c>
      <c r="AD171" s="231">
        <v>3</v>
      </c>
      <c r="AE171" s="428">
        <v>2</v>
      </c>
      <c r="AF171" s="220">
        <v>2</v>
      </c>
      <c r="AG171" s="220">
        <v>5</v>
      </c>
      <c r="AH171" s="220">
        <v>7</v>
      </c>
      <c r="AI171" s="220">
        <v>6</v>
      </c>
      <c r="AJ171" s="220">
        <v>2</v>
      </c>
      <c r="AK171" s="220">
        <v>2</v>
      </c>
      <c r="AL171" s="220">
        <v>4</v>
      </c>
      <c r="AM171" s="220">
        <v>4</v>
      </c>
      <c r="AN171" s="220">
        <v>6</v>
      </c>
      <c r="AO171" s="220">
        <v>8</v>
      </c>
      <c r="AP171" s="220">
        <v>6</v>
      </c>
      <c r="AQ171" s="430"/>
      <c r="AR171" s="221">
        <f t="shared" si="106"/>
        <v>18</v>
      </c>
      <c r="AS171" s="221">
        <f t="shared" si="107"/>
        <v>54</v>
      </c>
    </row>
    <row r="172" spans="2:45" ht="15.75" customHeight="1">
      <c r="B172" s="227" t="s">
        <v>217</v>
      </c>
      <c r="C172" s="332" t="s">
        <v>2090</v>
      </c>
      <c r="D172" s="399">
        <v>2</v>
      </c>
      <c r="E172" s="332" t="s">
        <v>2059</v>
      </c>
      <c r="F172" s="427" t="s">
        <v>2059</v>
      </c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428">
        <v>8</v>
      </c>
      <c r="T172" s="220">
        <v>10</v>
      </c>
      <c r="U172" s="220">
        <v>13</v>
      </c>
      <c r="V172" s="220">
        <v>15</v>
      </c>
      <c r="W172" s="220">
        <v>9</v>
      </c>
      <c r="X172" s="220">
        <v>8</v>
      </c>
      <c r="Y172" s="220">
        <v>6</v>
      </c>
      <c r="Z172" s="220">
        <v>7</v>
      </c>
      <c r="AA172" s="220">
        <v>13</v>
      </c>
      <c r="AB172" s="220">
        <v>16</v>
      </c>
      <c r="AC172" s="220">
        <v>19</v>
      </c>
      <c r="AD172" s="231">
        <v>11</v>
      </c>
      <c r="AE172" s="428">
        <v>8</v>
      </c>
      <c r="AF172" s="220">
        <v>11</v>
      </c>
      <c r="AG172" s="220">
        <v>13</v>
      </c>
      <c r="AH172" s="220">
        <v>10</v>
      </c>
      <c r="AI172" s="220">
        <v>17</v>
      </c>
      <c r="AJ172" s="220">
        <v>15</v>
      </c>
      <c r="AK172" s="220">
        <v>10</v>
      </c>
      <c r="AL172" s="220">
        <v>8</v>
      </c>
      <c r="AM172" s="220">
        <v>11</v>
      </c>
      <c r="AN172" s="220">
        <v>14</v>
      </c>
      <c r="AO172" s="220">
        <v>18</v>
      </c>
      <c r="AP172" s="220">
        <v>8</v>
      </c>
      <c r="AQ172" s="430"/>
      <c r="AR172" s="221">
        <f t="shared" si="106"/>
        <v>135</v>
      </c>
      <c r="AS172" s="221">
        <f t="shared" si="107"/>
        <v>143</v>
      </c>
    </row>
    <row r="173" spans="2:45" ht="15.75" customHeight="1">
      <c r="B173" s="227" t="s">
        <v>217</v>
      </c>
      <c r="C173" s="332" t="s">
        <v>2091</v>
      </c>
      <c r="D173" s="399">
        <v>1</v>
      </c>
      <c r="E173" s="332" t="s">
        <v>2059</v>
      </c>
      <c r="F173" s="427" t="s">
        <v>2059</v>
      </c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428">
        <v>0</v>
      </c>
      <c r="T173" s="220">
        <v>0</v>
      </c>
      <c r="U173" s="220">
        <v>0</v>
      </c>
      <c r="V173" s="220">
        <v>0</v>
      </c>
      <c r="W173" s="220">
        <v>0</v>
      </c>
      <c r="X173" s="220">
        <v>0</v>
      </c>
      <c r="Y173" s="220">
        <v>0</v>
      </c>
      <c r="Z173" s="220">
        <v>0</v>
      </c>
      <c r="AA173" s="220">
        <v>0</v>
      </c>
      <c r="AB173" s="220">
        <v>0</v>
      </c>
      <c r="AC173" s="220">
        <v>0</v>
      </c>
      <c r="AD173" s="231">
        <v>0</v>
      </c>
      <c r="AE173" s="428">
        <v>0</v>
      </c>
      <c r="AF173" s="220">
        <v>0</v>
      </c>
      <c r="AG173" s="220">
        <v>0</v>
      </c>
      <c r="AH173" s="220">
        <v>0</v>
      </c>
      <c r="AI173" s="220">
        <v>2</v>
      </c>
      <c r="AJ173" s="220">
        <v>0</v>
      </c>
      <c r="AK173" s="220">
        <v>0</v>
      </c>
      <c r="AL173" s="220">
        <v>0</v>
      </c>
      <c r="AM173" s="220">
        <v>1</v>
      </c>
      <c r="AN173" s="220">
        <v>2</v>
      </c>
      <c r="AO173" s="220">
        <v>0</v>
      </c>
      <c r="AP173" s="220">
        <v>1</v>
      </c>
      <c r="AQ173" s="430"/>
      <c r="AR173" s="221">
        <f t="shared" si="106"/>
        <v>0</v>
      </c>
      <c r="AS173" s="221">
        <f t="shared" si="107"/>
        <v>6</v>
      </c>
    </row>
    <row r="174" spans="2:45" ht="15.75" customHeight="1">
      <c r="B174" s="227" t="s">
        <v>217</v>
      </c>
      <c r="C174" s="332" t="s">
        <v>2092</v>
      </c>
      <c r="D174" s="399">
        <v>1</v>
      </c>
      <c r="E174" s="332" t="s">
        <v>2060</v>
      </c>
      <c r="F174" s="427" t="s">
        <v>2060</v>
      </c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428">
        <v>0</v>
      </c>
      <c r="T174" s="220">
        <v>0</v>
      </c>
      <c r="U174" s="220">
        <v>0</v>
      </c>
      <c r="V174" s="220">
        <v>0</v>
      </c>
      <c r="W174" s="220">
        <v>0</v>
      </c>
      <c r="X174" s="220">
        <v>0</v>
      </c>
      <c r="Y174" s="220">
        <v>0</v>
      </c>
      <c r="Z174" s="220">
        <v>0</v>
      </c>
      <c r="AA174" s="220">
        <v>1</v>
      </c>
      <c r="AB174" s="220">
        <v>2</v>
      </c>
      <c r="AC174" s="220">
        <v>3</v>
      </c>
      <c r="AD174" s="231">
        <v>2</v>
      </c>
      <c r="AE174" s="428">
        <v>2</v>
      </c>
      <c r="AF174" s="220">
        <v>7</v>
      </c>
      <c r="AG174" s="220">
        <v>2</v>
      </c>
      <c r="AH174" s="220">
        <v>6</v>
      </c>
      <c r="AI174" s="220">
        <v>6</v>
      </c>
      <c r="AJ174" s="220">
        <v>15</v>
      </c>
      <c r="AK174" s="220">
        <v>7</v>
      </c>
      <c r="AL174" s="220">
        <v>14</v>
      </c>
      <c r="AM174" s="220">
        <v>11</v>
      </c>
      <c r="AN174" s="220">
        <v>17</v>
      </c>
      <c r="AO174" s="220">
        <v>16</v>
      </c>
      <c r="AP174" s="220">
        <v>14</v>
      </c>
      <c r="AQ174" s="430"/>
      <c r="AR174" s="221">
        <f t="shared" si="106"/>
        <v>8</v>
      </c>
      <c r="AS174" s="221">
        <f t="shared" si="107"/>
        <v>117</v>
      </c>
    </row>
    <row r="175" spans="2:45" ht="15.75" customHeight="1">
      <c r="B175" s="431" t="s">
        <v>217</v>
      </c>
      <c r="C175" s="432" t="s">
        <v>2093</v>
      </c>
      <c r="D175" s="433">
        <v>1</v>
      </c>
      <c r="E175" s="434" t="s">
        <v>204</v>
      </c>
      <c r="F175" s="435" t="s">
        <v>2349</v>
      </c>
      <c r="G175" s="436"/>
      <c r="H175" s="436"/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437">
        <v>0</v>
      </c>
      <c r="T175" s="436">
        <v>0</v>
      </c>
      <c r="U175" s="436">
        <v>0</v>
      </c>
      <c r="V175" s="436">
        <v>0</v>
      </c>
      <c r="W175" s="436">
        <v>0</v>
      </c>
      <c r="X175" s="436">
        <v>0</v>
      </c>
      <c r="Y175" s="436">
        <v>0</v>
      </c>
      <c r="Z175" s="436">
        <v>0</v>
      </c>
      <c r="AA175" s="436">
        <v>0</v>
      </c>
      <c r="AB175" s="436">
        <v>0</v>
      </c>
      <c r="AC175" s="436">
        <v>0</v>
      </c>
      <c r="AD175" s="438">
        <v>0</v>
      </c>
      <c r="AE175" s="437">
        <v>0</v>
      </c>
      <c r="AF175" s="436">
        <v>0</v>
      </c>
      <c r="AG175" s="436">
        <v>0</v>
      </c>
      <c r="AH175" s="436">
        <v>0</v>
      </c>
      <c r="AI175" s="436">
        <v>0</v>
      </c>
      <c r="AJ175" s="436">
        <v>1</v>
      </c>
      <c r="AK175" s="436">
        <v>0</v>
      </c>
      <c r="AL175" s="436">
        <v>0</v>
      </c>
      <c r="AM175" s="436">
        <v>1</v>
      </c>
      <c r="AN175" s="436">
        <v>0</v>
      </c>
      <c r="AO175" s="436">
        <v>0</v>
      </c>
      <c r="AP175" s="436">
        <v>0</v>
      </c>
      <c r="AQ175" s="430"/>
      <c r="AR175" s="221">
        <f t="shared" si="106"/>
        <v>0</v>
      </c>
      <c r="AS175" s="221">
        <f t="shared" si="107"/>
        <v>2</v>
      </c>
    </row>
    <row r="176" spans="2:45" ht="15.75" customHeight="1">
      <c r="B176" s="227" t="s">
        <v>218</v>
      </c>
      <c r="C176" s="332" t="s">
        <v>2061</v>
      </c>
      <c r="D176" s="399">
        <v>1</v>
      </c>
      <c r="E176" s="332" t="s">
        <v>204</v>
      </c>
      <c r="F176" s="427" t="s">
        <v>2347</v>
      </c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428">
        <v>3</v>
      </c>
      <c r="T176" s="220">
        <v>1</v>
      </c>
      <c r="U176" s="220">
        <v>3</v>
      </c>
      <c r="V176" s="220">
        <v>5</v>
      </c>
      <c r="W176" s="220">
        <v>3</v>
      </c>
      <c r="X176" s="220">
        <v>2</v>
      </c>
      <c r="Y176" s="220">
        <v>3</v>
      </c>
      <c r="Z176" s="220">
        <v>2</v>
      </c>
      <c r="AA176" s="220">
        <v>0</v>
      </c>
      <c r="AB176" s="220">
        <v>3</v>
      </c>
      <c r="AC176" s="220">
        <v>4</v>
      </c>
      <c r="AD176" s="231">
        <v>0</v>
      </c>
      <c r="AE176" s="428">
        <v>3</v>
      </c>
      <c r="AF176" s="220">
        <v>1</v>
      </c>
      <c r="AG176" s="220">
        <v>3</v>
      </c>
      <c r="AH176" s="220">
        <v>3</v>
      </c>
      <c r="AI176" s="220">
        <v>4</v>
      </c>
      <c r="AJ176" s="220">
        <v>1</v>
      </c>
      <c r="AK176" s="220">
        <v>1</v>
      </c>
      <c r="AL176" s="220">
        <v>0</v>
      </c>
      <c r="AM176" s="220">
        <v>1</v>
      </c>
      <c r="AN176" s="220">
        <v>7</v>
      </c>
      <c r="AO176" s="220">
        <v>4</v>
      </c>
      <c r="AP176" s="220">
        <v>3</v>
      </c>
      <c r="AQ176" s="430"/>
      <c r="AR176" s="221">
        <f t="shared" si="106"/>
        <v>29</v>
      </c>
      <c r="AS176" s="221">
        <f t="shared" si="107"/>
        <v>31</v>
      </c>
    </row>
    <row r="177" spans="2:45" ht="15.75" customHeight="1">
      <c r="B177" s="227" t="s">
        <v>218</v>
      </c>
      <c r="C177" s="332" t="s">
        <v>2062</v>
      </c>
      <c r="D177" s="399">
        <v>2</v>
      </c>
      <c r="E177" s="332" t="s">
        <v>204</v>
      </c>
      <c r="F177" s="427" t="s">
        <v>2347</v>
      </c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428">
        <v>0</v>
      </c>
      <c r="T177" s="220">
        <v>1</v>
      </c>
      <c r="U177" s="220">
        <v>4</v>
      </c>
      <c r="V177" s="220">
        <v>1</v>
      </c>
      <c r="W177" s="220">
        <v>3</v>
      </c>
      <c r="X177" s="220">
        <v>3</v>
      </c>
      <c r="Y177" s="220">
        <v>4</v>
      </c>
      <c r="Z177" s="220">
        <v>1</v>
      </c>
      <c r="AA177" s="220">
        <v>5</v>
      </c>
      <c r="AB177" s="220">
        <v>5</v>
      </c>
      <c r="AC177" s="220">
        <v>3</v>
      </c>
      <c r="AD177" s="231">
        <v>1</v>
      </c>
      <c r="AE177" s="428">
        <v>1</v>
      </c>
      <c r="AF177" s="220">
        <v>0</v>
      </c>
      <c r="AG177" s="220">
        <v>1</v>
      </c>
      <c r="AH177" s="220">
        <v>1</v>
      </c>
      <c r="AI177" s="220">
        <v>2</v>
      </c>
      <c r="AJ177" s="220">
        <v>2</v>
      </c>
      <c r="AK177" s="220">
        <v>1</v>
      </c>
      <c r="AL177" s="220">
        <v>3</v>
      </c>
      <c r="AM177" s="220">
        <v>3</v>
      </c>
      <c r="AN177" s="220">
        <v>5</v>
      </c>
      <c r="AO177" s="220">
        <v>5</v>
      </c>
      <c r="AP177" s="220">
        <v>1</v>
      </c>
      <c r="AQ177" s="430"/>
      <c r="AR177" s="221">
        <f t="shared" si="106"/>
        <v>31</v>
      </c>
      <c r="AS177" s="221">
        <f t="shared" si="107"/>
        <v>25</v>
      </c>
    </row>
    <row r="178" spans="2:45" ht="15.75" customHeight="1">
      <c r="B178" s="227" t="s">
        <v>218</v>
      </c>
      <c r="C178" s="332" t="s">
        <v>2063</v>
      </c>
      <c r="D178" s="399">
        <v>2</v>
      </c>
      <c r="E178" s="332" t="s">
        <v>204</v>
      </c>
      <c r="F178" s="427" t="s">
        <v>2347</v>
      </c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428">
        <v>1</v>
      </c>
      <c r="T178" s="220">
        <v>4</v>
      </c>
      <c r="U178" s="220">
        <v>4</v>
      </c>
      <c r="V178" s="220">
        <v>5</v>
      </c>
      <c r="W178" s="220">
        <v>5</v>
      </c>
      <c r="X178" s="220">
        <v>11</v>
      </c>
      <c r="Y178" s="220">
        <v>5</v>
      </c>
      <c r="Z178" s="220">
        <v>1</v>
      </c>
      <c r="AA178" s="220">
        <v>2</v>
      </c>
      <c r="AB178" s="220">
        <v>9</v>
      </c>
      <c r="AC178" s="220">
        <v>3</v>
      </c>
      <c r="AD178" s="231">
        <v>3</v>
      </c>
      <c r="AE178" s="428">
        <v>3</v>
      </c>
      <c r="AF178" s="220">
        <v>1</v>
      </c>
      <c r="AG178" s="220">
        <v>3</v>
      </c>
      <c r="AH178" s="220">
        <v>5</v>
      </c>
      <c r="AI178" s="220">
        <v>8</v>
      </c>
      <c r="AJ178" s="220">
        <v>5</v>
      </c>
      <c r="AK178" s="220">
        <v>1</v>
      </c>
      <c r="AL178" s="220">
        <v>5</v>
      </c>
      <c r="AM178" s="220">
        <v>3</v>
      </c>
      <c r="AN178" s="220">
        <v>6</v>
      </c>
      <c r="AO178" s="220">
        <v>3</v>
      </c>
      <c r="AP178" s="220">
        <v>3</v>
      </c>
      <c r="AQ178" s="430"/>
      <c r="AR178" s="221">
        <f t="shared" si="106"/>
        <v>53</v>
      </c>
      <c r="AS178" s="221">
        <f t="shared" si="107"/>
        <v>46</v>
      </c>
    </row>
    <row r="179" spans="2:45" ht="15.75" customHeight="1">
      <c r="B179" s="227" t="s">
        <v>218</v>
      </c>
      <c r="C179" s="332" t="s">
        <v>2064</v>
      </c>
      <c r="D179" s="399">
        <v>1</v>
      </c>
      <c r="E179" s="332" t="s">
        <v>204</v>
      </c>
      <c r="F179" s="427" t="s">
        <v>2347</v>
      </c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428">
        <v>3</v>
      </c>
      <c r="T179" s="220">
        <v>3</v>
      </c>
      <c r="U179" s="220">
        <v>10</v>
      </c>
      <c r="V179" s="220">
        <v>3</v>
      </c>
      <c r="W179" s="220">
        <v>7</v>
      </c>
      <c r="X179" s="220">
        <v>6</v>
      </c>
      <c r="Y179" s="220">
        <v>5</v>
      </c>
      <c r="Z179" s="220">
        <v>5</v>
      </c>
      <c r="AA179" s="220">
        <v>1</v>
      </c>
      <c r="AB179" s="220">
        <v>7</v>
      </c>
      <c r="AC179" s="220">
        <v>9</v>
      </c>
      <c r="AD179" s="231">
        <v>6</v>
      </c>
      <c r="AE179" s="428">
        <v>4</v>
      </c>
      <c r="AF179" s="220">
        <v>6</v>
      </c>
      <c r="AG179" s="220">
        <v>10</v>
      </c>
      <c r="AH179" s="220">
        <v>5</v>
      </c>
      <c r="AI179" s="220">
        <v>9</v>
      </c>
      <c r="AJ179" s="220">
        <v>9</v>
      </c>
      <c r="AK179" s="220">
        <v>4</v>
      </c>
      <c r="AL179" s="220">
        <v>5</v>
      </c>
      <c r="AM179" s="220">
        <v>4</v>
      </c>
      <c r="AN179" s="220">
        <v>11</v>
      </c>
      <c r="AO179" s="220">
        <v>7</v>
      </c>
      <c r="AP179" s="220">
        <v>3</v>
      </c>
      <c r="AQ179" s="430"/>
      <c r="AR179" s="221">
        <f t="shared" si="106"/>
        <v>65</v>
      </c>
      <c r="AS179" s="221">
        <f t="shared" si="107"/>
        <v>77</v>
      </c>
    </row>
    <row r="180" spans="2:45" ht="15.75" customHeight="1">
      <c r="B180" s="227" t="s">
        <v>218</v>
      </c>
      <c r="C180" s="332" t="s">
        <v>2065</v>
      </c>
      <c r="D180" s="399">
        <v>1</v>
      </c>
      <c r="E180" s="332" t="s">
        <v>204</v>
      </c>
      <c r="F180" s="427" t="s">
        <v>2347</v>
      </c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428">
        <v>3</v>
      </c>
      <c r="T180" s="220">
        <v>2</v>
      </c>
      <c r="U180" s="220">
        <v>2</v>
      </c>
      <c r="V180" s="220">
        <v>3</v>
      </c>
      <c r="W180" s="220">
        <v>2</v>
      </c>
      <c r="X180" s="220">
        <v>2</v>
      </c>
      <c r="Y180" s="220">
        <v>1</v>
      </c>
      <c r="Z180" s="220">
        <v>0</v>
      </c>
      <c r="AA180" s="220">
        <v>1</v>
      </c>
      <c r="AB180" s="220">
        <v>3</v>
      </c>
      <c r="AC180" s="220">
        <v>2</v>
      </c>
      <c r="AD180" s="231">
        <v>0</v>
      </c>
      <c r="AE180" s="428">
        <v>0</v>
      </c>
      <c r="AF180" s="220">
        <v>2</v>
      </c>
      <c r="AG180" s="220">
        <v>1</v>
      </c>
      <c r="AH180" s="220">
        <v>2</v>
      </c>
      <c r="AI180" s="220">
        <v>3</v>
      </c>
      <c r="AJ180" s="220">
        <v>3</v>
      </c>
      <c r="AK180" s="220">
        <v>0</v>
      </c>
      <c r="AL180" s="220">
        <v>1</v>
      </c>
      <c r="AM180" s="220">
        <v>0</v>
      </c>
      <c r="AN180" s="220">
        <v>2</v>
      </c>
      <c r="AO180" s="220">
        <v>3</v>
      </c>
      <c r="AP180" s="220">
        <v>1</v>
      </c>
      <c r="AQ180" s="430"/>
      <c r="AR180" s="221">
        <f t="shared" si="106"/>
        <v>21</v>
      </c>
      <c r="AS180" s="221">
        <f t="shared" si="107"/>
        <v>18</v>
      </c>
    </row>
    <row r="181" spans="2:45" ht="15.75" customHeight="1">
      <c r="B181" s="227" t="s">
        <v>218</v>
      </c>
      <c r="C181" s="332" t="s">
        <v>2066</v>
      </c>
      <c r="D181" s="399">
        <v>1</v>
      </c>
      <c r="E181" s="332" t="s">
        <v>204</v>
      </c>
      <c r="F181" s="427" t="s">
        <v>2348</v>
      </c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428">
        <v>5</v>
      </c>
      <c r="T181" s="220">
        <v>6</v>
      </c>
      <c r="U181" s="220">
        <v>9</v>
      </c>
      <c r="V181" s="220">
        <v>6</v>
      </c>
      <c r="W181" s="220">
        <v>6</v>
      </c>
      <c r="X181" s="220">
        <v>11</v>
      </c>
      <c r="Y181" s="220">
        <v>12</v>
      </c>
      <c r="Z181" s="220">
        <v>5</v>
      </c>
      <c r="AA181" s="220">
        <v>8</v>
      </c>
      <c r="AB181" s="220">
        <v>10</v>
      </c>
      <c r="AC181" s="220">
        <v>10</v>
      </c>
      <c r="AD181" s="231">
        <v>2</v>
      </c>
      <c r="AE181" s="428">
        <v>5</v>
      </c>
      <c r="AF181" s="220">
        <v>6</v>
      </c>
      <c r="AG181" s="220">
        <v>5</v>
      </c>
      <c r="AH181" s="220">
        <v>6</v>
      </c>
      <c r="AI181" s="220">
        <v>8</v>
      </c>
      <c r="AJ181" s="220">
        <v>5</v>
      </c>
      <c r="AK181" s="220">
        <v>6</v>
      </c>
      <c r="AL181" s="220">
        <v>5</v>
      </c>
      <c r="AM181" s="220">
        <v>7</v>
      </c>
      <c r="AN181" s="220">
        <v>7</v>
      </c>
      <c r="AO181" s="220">
        <v>6</v>
      </c>
      <c r="AP181" s="220">
        <v>8</v>
      </c>
      <c r="AQ181" s="430"/>
      <c r="AR181" s="221">
        <f t="shared" si="106"/>
        <v>90</v>
      </c>
      <c r="AS181" s="221">
        <f t="shared" si="107"/>
        <v>74</v>
      </c>
    </row>
    <row r="182" spans="2:45" ht="15.75" customHeight="1">
      <c r="B182" s="227" t="s">
        <v>218</v>
      </c>
      <c r="C182" s="332" t="s">
        <v>2067</v>
      </c>
      <c r="D182" s="399">
        <v>1</v>
      </c>
      <c r="E182" s="332" t="s">
        <v>204</v>
      </c>
      <c r="F182" s="427" t="s">
        <v>2348</v>
      </c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428">
        <v>1</v>
      </c>
      <c r="T182" s="220">
        <v>0</v>
      </c>
      <c r="U182" s="220">
        <v>0</v>
      </c>
      <c r="V182" s="220">
        <v>1</v>
      </c>
      <c r="W182" s="220">
        <v>1</v>
      </c>
      <c r="X182" s="220">
        <v>1</v>
      </c>
      <c r="Y182" s="220">
        <v>1</v>
      </c>
      <c r="Z182" s="220">
        <v>4</v>
      </c>
      <c r="AA182" s="220">
        <v>1</v>
      </c>
      <c r="AB182" s="220">
        <v>5</v>
      </c>
      <c r="AC182" s="220">
        <v>5</v>
      </c>
      <c r="AD182" s="231">
        <v>0</v>
      </c>
      <c r="AE182" s="428">
        <v>1</v>
      </c>
      <c r="AF182" s="220">
        <v>2</v>
      </c>
      <c r="AG182" s="220">
        <v>2</v>
      </c>
      <c r="AH182" s="220">
        <v>3</v>
      </c>
      <c r="AI182" s="220">
        <v>1</v>
      </c>
      <c r="AJ182" s="220">
        <v>1</v>
      </c>
      <c r="AK182" s="220">
        <v>1</v>
      </c>
      <c r="AL182" s="220">
        <v>2</v>
      </c>
      <c r="AM182" s="220">
        <v>2</v>
      </c>
      <c r="AN182" s="220">
        <v>2</v>
      </c>
      <c r="AO182" s="220">
        <v>1</v>
      </c>
      <c r="AP182" s="220">
        <v>0</v>
      </c>
      <c r="AQ182" s="430"/>
      <c r="AR182" s="221">
        <f t="shared" si="106"/>
        <v>20</v>
      </c>
      <c r="AS182" s="221">
        <f t="shared" si="107"/>
        <v>18</v>
      </c>
    </row>
    <row r="183" spans="2:45" ht="15.75" customHeight="1">
      <c r="B183" s="227" t="s">
        <v>218</v>
      </c>
      <c r="C183" s="332" t="s">
        <v>2068</v>
      </c>
      <c r="D183" s="399">
        <v>2</v>
      </c>
      <c r="E183" s="332" t="s">
        <v>204</v>
      </c>
      <c r="F183" s="427" t="s">
        <v>2348</v>
      </c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428">
        <v>2</v>
      </c>
      <c r="T183" s="220">
        <v>1</v>
      </c>
      <c r="U183" s="220">
        <v>4</v>
      </c>
      <c r="V183" s="220">
        <v>6</v>
      </c>
      <c r="W183" s="220">
        <v>4</v>
      </c>
      <c r="X183" s="220">
        <v>5</v>
      </c>
      <c r="Y183" s="220">
        <v>3</v>
      </c>
      <c r="Z183" s="220">
        <v>5</v>
      </c>
      <c r="AA183" s="220">
        <v>4</v>
      </c>
      <c r="AB183" s="220">
        <v>9</v>
      </c>
      <c r="AC183" s="220">
        <v>9</v>
      </c>
      <c r="AD183" s="231">
        <v>4</v>
      </c>
      <c r="AE183" s="428">
        <v>4</v>
      </c>
      <c r="AF183" s="220">
        <v>1</v>
      </c>
      <c r="AG183" s="220">
        <v>5</v>
      </c>
      <c r="AH183" s="220">
        <v>2</v>
      </c>
      <c r="AI183" s="220">
        <v>3</v>
      </c>
      <c r="AJ183" s="220">
        <v>6</v>
      </c>
      <c r="AK183" s="220">
        <v>1</v>
      </c>
      <c r="AL183" s="220">
        <v>4</v>
      </c>
      <c r="AM183" s="220">
        <v>8</v>
      </c>
      <c r="AN183" s="220">
        <v>4</v>
      </c>
      <c r="AO183" s="220">
        <v>10</v>
      </c>
      <c r="AP183" s="220">
        <v>3</v>
      </c>
      <c r="AQ183" s="430"/>
      <c r="AR183" s="221">
        <f t="shared" si="106"/>
        <v>56</v>
      </c>
      <c r="AS183" s="221">
        <f t="shared" si="107"/>
        <v>51</v>
      </c>
    </row>
    <row r="184" spans="2:45" ht="15.75" customHeight="1">
      <c r="B184" s="227" t="s">
        <v>218</v>
      </c>
      <c r="C184" s="332" t="s">
        <v>2069</v>
      </c>
      <c r="D184" s="399">
        <v>1</v>
      </c>
      <c r="E184" s="332" t="s">
        <v>204</v>
      </c>
      <c r="F184" s="427" t="s">
        <v>2348</v>
      </c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428">
        <v>2</v>
      </c>
      <c r="T184" s="220">
        <v>1</v>
      </c>
      <c r="U184" s="220">
        <v>4</v>
      </c>
      <c r="V184" s="220">
        <v>6</v>
      </c>
      <c r="W184" s="220">
        <v>4</v>
      </c>
      <c r="X184" s="220">
        <v>5</v>
      </c>
      <c r="Y184" s="220">
        <v>3</v>
      </c>
      <c r="Z184" s="220">
        <v>5</v>
      </c>
      <c r="AA184" s="220">
        <v>1</v>
      </c>
      <c r="AB184" s="220">
        <v>4</v>
      </c>
      <c r="AC184" s="220">
        <v>8</v>
      </c>
      <c r="AD184" s="231">
        <v>5</v>
      </c>
      <c r="AE184" s="428">
        <v>1</v>
      </c>
      <c r="AF184" s="220">
        <v>3</v>
      </c>
      <c r="AG184" s="220">
        <v>5</v>
      </c>
      <c r="AH184" s="220">
        <v>3</v>
      </c>
      <c r="AI184" s="220">
        <v>7</v>
      </c>
      <c r="AJ184" s="220">
        <v>6</v>
      </c>
      <c r="AK184" s="220">
        <v>3</v>
      </c>
      <c r="AL184" s="220">
        <v>3</v>
      </c>
      <c r="AM184" s="220">
        <v>4</v>
      </c>
      <c r="AN184" s="220">
        <v>3</v>
      </c>
      <c r="AO184" s="220">
        <v>10</v>
      </c>
      <c r="AP184" s="220">
        <v>2</v>
      </c>
      <c r="AQ184" s="430"/>
      <c r="AR184" s="221">
        <f t="shared" si="106"/>
        <v>48</v>
      </c>
      <c r="AS184" s="221">
        <f t="shared" si="107"/>
        <v>50</v>
      </c>
    </row>
    <row r="185" spans="2:45" ht="15.75" customHeight="1">
      <c r="B185" s="227" t="s">
        <v>218</v>
      </c>
      <c r="C185" s="332" t="s">
        <v>2070</v>
      </c>
      <c r="D185" s="399">
        <v>1</v>
      </c>
      <c r="E185" s="332" t="s">
        <v>204</v>
      </c>
      <c r="F185" s="427" t="s">
        <v>2348</v>
      </c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428">
        <v>4</v>
      </c>
      <c r="T185" s="220">
        <v>6</v>
      </c>
      <c r="U185" s="220">
        <v>13</v>
      </c>
      <c r="V185" s="220">
        <v>17</v>
      </c>
      <c r="W185" s="220">
        <v>17</v>
      </c>
      <c r="X185" s="220">
        <v>14</v>
      </c>
      <c r="Y185" s="220">
        <v>11</v>
      </c>
      <c r="Z185" s="220">
        <v>11</v>
      </c>
      <c r="AA185" s="220">
        <v>13</v>
      </c>
      <c r="AB185" s="220">
        <v>15</v>
      </c>
      <c r="AC185" s="220">
        <v>18</v>
      </c>
      <c r="AD185" s="231">
        <v>10</v>
      </c>
      <c r="AE185" s="428">
        <v>4</v>
      </c>
      <c r="AF185" s="220">
        <v>7</v>
      </c>
      <c r="AG185" s="220">
        <v>12</v>
      </c>
      <c r="AH185" s="220">
        <v>13</v>
      </c>
      <c r="AI185" s="220">
        <v>14</v>
      </c>
      <c r="AJ185" s="220">
        <v>8</v>
      </c>
      <c r="AK185" s="220">
        <v>7</v>
      </c>
      <c r="AL185" s="220">
        <v>8</v>
      </c>
      <c r="AM185" s="220">
        <v>12</v>
      </c>
      <c r="AN185" s="220">
        <v>15</v>
      </c>
      <c r="AO185" s="220">
        <v>18</v>
      </c>
      <c r="AP185" s="220">
        <v>4</v>
      </c>
      <c r="AQ185" s="430"/>
      <c r="AR185" s="221">
        <f t="shared" si="106"/>
        <v>149</v>
      </c>
      <c r="AS185" s="221">
        <f t="shared" si="107"/>
        <v>122</v>
      </c>
    </row>
    <row r="186" spans="2:45" ht="15.75" customHeight="1">
      <c r="B186" s="227" t="s">
        <v>218</v>
      </c>
      <c r="C186" s="332" t="s">
        <v>2071</v>
      </c>
      <c r="D186" s="399">
        <v>2</v>
      </c>
      <c r="E186" s="332" t="s">
        <v>204</v>
      </c>
      <c r="F186" s="427" t="s">
        <v>2348</v>
      </c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428">
        <v>0</v>
      </c>
      <c r="T186" s="220">
        <v>0</v>
      </c>
      <c r="U186" s="220">
        <v>0</v>
      </c>
      <c r="V186" s="220">
        <v>0</v>
      </c>
      <c r="W186" s="220">
        <v>0</v>
      </c>
      <c r="X186" s="220">
        <v>0</v>
      </c>
      <c r="Y186" s="220">
        <v>0</v>
      </c>
      <c r="Z186" s="220">
        <v>0</v>
      </c>
      <c r="AA186" s="220">
        <v>0</v>
      </c>
      <c r="AB186" s="220">
        <v>0</v>
      </c>
      <c r="AC186" s="220">
        <v>0</v>
      </c>
      <c r="AD186" s="231">
        <v>0</v>
      </c>
      <c r="AE186" s="428">
        <v>0</v>
      </c>
      <c r="AF186" s="220">
        <v>0</v>
      </c>
      <c r="AG186" s="220">
        <v>3</v>
      </c>
      <c r="AH186" s="220">
        <v>2</v>
      </c>
      <c r="AI186" s="220">
        <v>4</v>
      </c>
      <c r="AJ186" s="220">
        <v>0</v>
      </c>
      <c r="AK186" s="220">
        <v>0</v>
      </c>
      <c r="AL186" s="220">
        <v>2</v>
      </c>
      <c r="AM186" s="220">
        <v>1</v>
      </c>
      <c r="AN186" s="220">
        <v>4</v>
      </c>
      <c r="AO186" s="220">
        <v>2</v>
      </c>
      <c r="AP186" s="220">
        <v>1</v>
      </c>
      <c r="AQ186" s="430"/>
      <c r="AR186" s="221">
        <f t="shared" si="106"/>
        <v>0</v>
      </c>
      <c r="AS186" s="221">
        <f t="shared" si="107"/>
        <v>19</v>
      </c>
    </row>
    <row r="187" spans="2:45" ht="15.75" customHeight="1">
      <c r="B187" s="227" t="s">
        <v>218</v>
      </c>
      <c r="C187" s="332" t="s">
        <v>2072</v>
      </c>
      <c r="D187" s="399">
        <v>1</v>
      </c>
      <c r="E187" s="332" t="s">
        <v>204</v>
      </c>
      <c r="F187" s="427" t="s">
        <v>2348</v>
      </c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428">
        <v>0</v>
      </c>
      <c r="T187" s="220">
        <v>0</v>
      </c>
      <c r="U187" s="220">
        <v>1</v>
      </c>
      <c r="V187" s="220">
        <v>1</v>
      </c>
      <c r="W187" s="220">
        <v>6</v>
      </c>
      <c r="X187" s="220">
        <v>4</v>
      </c>
      <c r="Y187" s="220">
        <v>0</v>
      </c>
      <c r="Z187" s="220">
        <v>1</v>
      </c>
      <c r="AA187" s="220">
        <v>3</v>
      </c>
      <c r="AB187" s="220">
        <v>4</v>
      </c>
      <c r="AC187" s="220">
        <v>7</v>
      </c>
      <c r="AD187" s="231">
        <v>6</v>
      </c>
      <c r="AE187" s="428">
        <v>0</v>
      </c>
      <c r="AF187" s="220">
        <v>0</v>
      </c>
      <c r="AG187" s="220">
        <v>2</v>
      </c>
      <c r="AH187" s="220">
        <v>4</v>
      </c>
      <c r="AI187" s="220">
        <v>5</v>
      </c>
      <c r="AJ187" s="220">
        <v>1</v>
      </c>
      <c r="AK187" s="220">
        <v>4</v>
      </c>
      <c r="AL187" s="220">
        <v>0</v>
      </c>
      <c r="AM187" s="220">
        <v>3</v>
      </c>
      <c r="AN187" s="220">
        <v>3</v>
      </c>
      <c r="AO187" s="220">
        <v>3</v>
      </c>
      <c r="AP187" s="220">
        <v>0</v>
      </c>
      <c r="AQ187" s="430"/>
      <c r="AR187" s="221">
        <f t="shared" si="106"/>
        <v>33</v>
      </c>
      <c r="AS187" s="221">
        <f t="shared" si="107"/>
        <v>25</v>
      </c>
    </row>
    <row r="188" spans="2:45" ht="15.75" customHeight="1">
      <c r="B188" s="227" t="s">
        <v>218</v>
      </c>
      <c r="C188" s="332" t="s">
        <v>2073</v>
      </c>
      <c r="D188" s="399">
        <v>1</v>
      </c>
      <c r="E188" s="332" t="s">
        <v>204</v>
      </c>
      <c r="F188" s="427" t="s">
        <v>2349</v>
      </c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428">
        <v>2</v>
      </c>
      <c r="T188" s="220">
        <v>3</v>
      </c>
      <c r="U188" s="220">
        <v>5</v>
      </c>
      <c r="V188" s="220">
        <v>7</v>
      </c>
      <c r="W188" s="220">
        <v>6</v>
      </c>
      <c r="X188" s="220">
        <v>3</v>
      </c>
      <c r="Y188" s="220">
        <v>1</v>
      </c>
      <c r="Z188" s="220">
        <v>5</v>
      </c>
      <c r="AA188" s="220">
        <v>3</v>
      </c>
      <c r="AB188" s="220">
        <v>7</v>
      </c>
      <c r="AC188" s="220">
        <v>6</v>
      </c>
      <c r="AD188" s="231">
        <v>3</v>
      </c>
      <c r="AE188" s="428">
        <v>6</v>
      </c>
      <c r="AF188" s="220">
        <v>1</v>
      </c>
      <c r="AG188" s="220">
        <v>4</v>
      </c>
      <c r="AH188" s="220">
        <v>3</v>
      </c>
      <c r="AI188" s="220">
        <v>3</v>
      </c>
      <c r="AJ188" s="220">
        <v>2</v>
      </c>
      <c r="AK188" s="220">
        <v>1</v>
      </c>
      <c r="AL188" s="220">
        <v>4</v>
      </c>
      <c r="AM188" s="220">
        <v>2</v>
      </c>
      <c r="AN188" s="220">
        <v>8</v>
      </c>
      <c r="AO188" s="220">
        <v>5</v>
      </c>
      <c r="AP188" s="220">
        <v>3</v>
      </c>
      <c r="AQ188" s="430"/>
      <c r="AR188" s="221">
        <f t="shared" si="106"/>
        <v>51</v>
      </c>
      <c r="AS188" s="221">
        <f t="shared" si="107"/>
        <v>42</v>
      </c>
    </row>
    <row r="189" spans="2:45" ht="15.75" customHeight="1">
      <c r="B189" s="227" t="s">
        <v>218</v>
      </c>
      <c r="C189" s="332" t="s">
        <v>2074</v>
      </c>
      <c r="D189" s="399">
        <v>1</v>
      </c>
      <c r="E189" s="332" t="s">
        <v>204</v>
      </c>
      <c r="F189" s="427" t="s">
        <v>2349</v>
      </c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428">
        <v>2</v>
      </c>
      <c r="T189" s="220">
        <v>3</v>
      </c>
      <c r="U189" s="220">
        <v>1</v>
      </c>
      <c r="V189" s="220">
        <v>5</v>
      </c>
      <c r="W189" s="220">
        <v>5</v>
      </c>
      <c r="X189" s="220">
        <v>2</v>
      </c>
      <c r="Y189" s="220">
        <v>1</v>
      </c>
      <c r="Z189" s="220">
        <v>2</v>
      </c>
      <c r="AA189" s="220">
        <v>4</v>
      </c>
      <c r="AB189" s="220">
        <v>5</v>
      </c>
      <c r="AC189" s="220">
        <v>5</v>
      </c>
      <c r="AD189" s="231">
        <v>2</v>
      </c>
      <c r="AE189" s="428">
        <v>3</v>
      </c>
      <c r="AF189" s="220">
        <v>0</v>
      </c>
      <c r="AG189" s="220">
        <v>1</v>
      </c>
      <c r="AH189" s="220">
        <v>2</v>
      </c>
      <c r="AI189" s="220">
        <v>2</v>
      </c>
      <c r="AJ189" s="220">
        <v>2</v>
      </c>
      <c r="AK189" s="220">
        <v>0</v>
      </c>
      <c r="AL189" s="220">
        <v>4</v>
      </c>
      <c r="AM189" s="220">
        <v>2</v>
      </c>
      <c r="AN189" s="220">
        <v>6</v>
      </c>
      <c r="AO189" s="220">
        <v>3</v>
      </c>
      <c r="AP189" s="220">
        <v>2</v>
      </c>
      <c r="AQ189" s="430"/>
      <c r="AR189" s="221">
        <f t="shared" si="106"/>
        <v>37</v>
      </c>
      <c r="AS189" s="221">
        <f t="shared" si="107"/>
        <v>27</v>
      </c>
    </row>
    <row r="190" spans="2:45" ht="15.75" customHeight="1">
      <c r="B190" s="227" t="s">
        <v>218</v>
      </c>
      <c r="C190" s="332" t="s">
        <v>2075</v>
      </c>
      <c r="D190" s="399">
        <v>1</v>
      </c>
      <c r="E190" s="332" t="s">
        <v>204</v>
      </c>
      <c r="F190" s="427" t="s">
        <v>2349</v>
      </c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428">
        <v>6</v>
      </c>
      <c r="T190" s="220">
        <v>4</v>
      </c>
      <c r="U190" s="220">
        <v>4</v>
      </c>
      <c r="V190" s="220">
        <v>6</v>
      </c>
      <c r="W190" s="220">
        <v>11</v>
      </c>
      <c r="X190" s="220">
        <v>7</v>
      </c>
      <c r="Y190" s="220">
        <v>3</v>
      </c>
      <c r="Z190" s="220">
        <v>5</v>
      </c>
      <c r="AA190" s="220">
        <v>3</v>
      </c>
      <c r="AB190" s="220">
        <v>8</v>
      </c>
      <c r="AC190" s="220">
        <v>10</v>
      </c>
      <c r="AD190" s="231">
        <v>7</v>
      </c>
      <c r="AE190" s="428">
        <v>4</v>
      </c>
      <c r="AF190" s="220">
        <v>5</v>
      </c>
      <c r="AG190" s="220">
        <v>10</v>
      </c>
      <c r="AH190" s="220">
        <v>5</v>
      </c>
      <c r="AI190" s="220">
        <v>10</v>
      </c>
      <c r="AJ190" s="220">
        <v>10</v>
      </c>
      <c r="AK190" s="220">
        <v>4</v>
      </c>
      <c r="AL190" s="220">
        <v>6</v>
      </c>
      <c r="AM190" s="220">
        <v>3</v>
      </c>
      <c r="AN190" s="220">
        <v>8</v>
      </c>
      <c r="AO190" s="220">
        <v>7</v>
      </c>
      <c r="AP190" s="220">
        <v>3</v>
      </c>
      <c r="AQ190" s="430"/>
      <c r="AR190" s="221">
        <f t="shared" si="106"/>
        <v>74</v>
      </c>
      <c r="AS190" s="221">
        <f t="shared" si="107"/>
        <v>75</v>
      </c>
    </row>
    <row r="191" spans="2:45" ht="15.75" customHeight="1">
      <c r="B191" s="227" t="s">
        <v>218</v>
      </c>
      <c r="C191" s="332" t="s">
        <v>2076</v>
      </c>
      <c r="D191" s="399">
        <v>1</v>
      </c>
      <c r="E191" s="332" t="s">
        <v>204</v>
      </c>
      <c r="F191" s="427" t="s">
        <v>2349</v>
      </c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428">
        <v>0</v>
      </c>
      <c r="T191" s="220">
        <v>2</v>
      </c>
      <c r="U191" s="220">
        <v>3</v>
      </c>
      <c r="V191" s="220">
        <v>2</v>
      </c>
      <c r="W191" s="220">
        <v>3</v>
      </c>
      <c r="X191" s="220">
        <v>3</v>
      </c>
      <c r="Y191" s="220">
        <v>3</v>
      </c>
      <c r="Z191" s="220">
        <v>5</v>
      </c>
      <c r="AA191" s="220">
        <v>1</v>
      </c>
      <c r="AB191" s="220">
        <v>7</v>
      </c>
      <c r="AC191" s="220">
        <v>5</v>
      </c>
      <c r="AD191" s="231">
        <v>2</v>
      </c>
      <c r="AE191" s="428">
        <v>1</v>
      </c>
      <c r="AF191" s="220">
        <v>3</v>
      </c>
      <c r="AG191" s="220">
        <v>2</v>
      </c>
      <c r="AH191" s="220">
        <v>4</v>
      </c>
      <c r="AI191" s="220">
        <v>1</v>
      </c>
      <c r="AJ191" s="220">
        <v>2</v>
      </c>
      <c r="AK191" s="220">
        <v>1</v>
      </c>
      <c r="AL191" s="220">
        <v>0</v>
      </c>
      <c r="AM191" s="220">
        <v>1</v>
      </c>
      <c r="AN191" s="220">
        <v>6</v>
      </c>
      <c r="AO191" s="220">
        <v>2</v>
      </c>
      <c r="AP191" s="220">
        <v>2</v>
      </c>
      <c r="AQ191" s="430"/>
      <c r="AR191" s="221">
        <f t="shared" si="106"/>
        <v>36</v>
      </c>
      <c r="AS191" s="221">
        <f t="shared" si="107"/>
        <v>25</v>
      </c>
    </row>
    <row r="192" spans="2:45" ht="15.75" customHeight="1">
      <c r="B192" s="227" t="s">
        <v>218</v>
      </c>
      <c r="C192" s="332" t="s">
        <v>2077</v>
      </c>
      <c r="D192" s="399">
        <v>1</v>
      </c>
      <c r="E192" s="332" t="s">
        <v>204</v>
      </c>
      <c r="F192" s="427" t="s">
        <v>2349</v>
      </c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428">
        <v>4</v>
      </c>
      <c r="T192" s="220">
        <v>1</v>
      </c>
      <c r="U192" s="220">
        <v>1</v>
      </c>
      <c r="V192" s="220">
        <v>4</v>
      </c>
      <c r="W192" s="220">
        <v>4</v>
      </c>
      <c r="X192" s="220">
        <v>3</v>
      </c>
      <c r="Y192" s="220">
        <v>2</v>
      </c>
      <c r="Z192" s="220">
        <v>2</v>
      </c>
      <c r="AA192" s="220">
        <v>1</v>
      </c>
      <c r="AB192" s="220">
        <v>5</v>
      </c>
      <c r="AC192" s="220">
        <v>3</v>
      </c>
      <c r="AD192" s="231">
        <v>1</v>
      </c>
      <c r="AE192" s="428">
        <v>3</v>
      </c>
      <c r="AF192" s="220">
        <v>0</v>
      </c>
      <c r="AG192" s="220">
        <v>2</v>
      </c>
      <c r="AH192" s="220">
        <v>3</v>
      </c>
      <c r="AI192" s="220">
        <v>5</v>
      </c>
      <c r="AJ192" s="220">
        <v>1</v>
      </c>
      <c r="AK192" s="220">
        <v>0</v>
      </c>
      <c r="AL192" s="220">
        <v>2</v>
      </c>
      <c r="AM192" s="220">
        <v>1</v>
      </c>
      <c r="AN192" s="220">
        <v>4</v>
      </c>
      <c r="AO192" s="220">
        <v>1</v>
      </c>
      <c r="AP192" s="220">
        <v>0</v>
      </c>
      <c r="AQ192" s="430"/>
      <c r="AR192" s="221">
        <f t="shared" si="106"/>
        <v>31</v>
      </c>
      <c r="AS192" s="221">
        <f t="shared" si="107"/>
        <v>22</v>
      </c>
    </row>
    <row r="193" spans="2:45" ht="15.75" customHeight="1">
      <c r="B193" s="227" t="s">
        <v>218</v>
      </c>
      <c r="C193" s="332" t="s">
        <v>2078</v>
      </c>
      <c r="D193" s="399">
        <v>2</v>
      </c>
      <c r="E193" s="332" t="s">
        <v>2058</v>
      </c>
      <c r="F193" s="427" t="s">
        <v>2058</v>
      </c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428">
        <v>1</v>
      </c>
      <c r="T193" s="220">
        <v>1</v>
      </c>
      <c r="U193" s="220">
        <v>1</v>
      </c>
      <c r="V193" s="220">
        <v>1</v>
      </c>
      <c r="W193" s="220">
        <v>1</v>
      </c>
      <c r="X193" s="220">
        <v>0</v>
      </c>
      <c r="Y193" s="220">
        <v>0</v>
      </c>
      <c r="Z193" s="220">
        <v>1</v>
      </c>
      <c r="AA193" s="220">
        <v>3</v>
      </c>
      <c r="AB193" s="220">
        <v>1</v>
      </c>
      <c r="AC193" s="220">
        <v>8</v>
      </c>
      <c r="AD193" s="231">
        <v>3</v>
      </c>
      <c r="AE193" s="428">
        <v>1</v>
      </c>
      <c r="AF193" s="220">
        <v>1</v>
      </c>
      <c r="AG193" s="220">
        <v>6</v>
      </c>
      <c r="AH193" s="220">
        <v>3</v>
      </c>
      <c r="AI193" s="220">
        <v>7</v>
      </c>
      <c r="AJ193" s="220">
        <v>4</v>
      </c>
      <c r="AK193" s="220">
        <v>3</v>
      </c>
      <c r="AL193" s="220">
        <v>3</v>
      </c>
      <c r="AM193" s="220">
        <v>6</v>
      </c>
      <c r="AN193" s="220">
        <v>8</v>
      </c>
      <c r="AO193" s="220">
        <v>10</v>
      </c>
      <c r="AP193" s="220">
        <v>0</v>
      </c>
      <c r="AQ193" s="430"/>
      <c r="AR193" s="221">
        <f t="shared" si="106"/>
        <v>21</v>
      </c>
      <c r="AS193" s="221">
        <f t="shared" si="107"/>
        <v>52</v>
      </c>
    </row>
    <row r="194" spans="2:45" ht="15.75" customHeight="1">
      <c r="B194" s="227" t="s">
        <v>218</v>
      </c>
      <c r="C194" s="332" t="s">
        <v>2169</v>
      </c>
      <c r="D194" s="399">
        <v>1</v>
      </c>
      <c r="E194" s="332" t="s">
        <v>2058</v>
      </c>
      <c r="F194" s="427" t="s">
        <v>2058</v>
      </c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428">
        <v>1</v>
      </c>
      <c r="T194" s="220">
        <v>1</v>
      </c>
      <c r="U194" s="220">
        <v>1</v>
      </c>
      <c r="V194" s="220">
        <v>1</v>
      </c>
      <c r="W194" s="220">
        <v>1</v>
      </c>
      <c r="X194" s="220">
        <v>0</v>
      </c>
      <c r="Y194" s="220">
        <v>0</v>
      </c>
      <c r="Z194" s="220">
        <v>1</v>
      </c>
      <c r="AA194" s="220">
        <v>1</v>
      </c>
      <c r="AB194" s="220">
        <v>3</v>
      </c>
      <c r="AC194" s="220">
        <v>4</v>
      </c>
      <c r="AD194" s="231">
        <v>4</v>
      </c>
      <c r="AE194" s="428">
        <v>4</v>
      </c>
      <c r="AF194" s="220">
        <v>1</v>
      </c>
      <c r="AG194" s="220">
        <v>8</v>
      </c>
      <c r="AH194" s="220">
        <v>5</v>
      </c>
      <c r="AI194" s="220">
        <v>4</v>
      </c>
      <c r="AJ194" s="220">
        <v>3</v>
      </c>
      <c r="AK194" s="220">
        <v>2</v>
      </c>
      <c r="AL194" s="220">
        <v>4</v>
      </c>
      <c r="AM194" s="220">
        <v>1</v>
      </c>
      <c r="AN194" s="220">
        <v>5</v>
      </c>
      <c r="AO194" s="220">
        <v>9</v>
      </c>
      <c r="AP194" s="220">
        <v>3</v>
      </c>
      <c r="AQ194" s="430"/>
      <c r="AR194" s="221">
        <f t="shared" si="106"/>
        <v>18</v>
      </c>
      <c r="AS194" s="221">
        <f t="shared" si="107"/>
        <v>49</v>
      </c>
    </row>
    <row r="195" spans="2:45" ht="15.75" customHeight="1">
      <c r="B195" s="227" t="s">
        <v>218</v>
      </c>
      <c r="C195" s="332" t="s">
        <v>2080</v>
      </c>
      <c r="D195" s="399">
        <v>2</v>
      </c>
      <c r="E195" s="332" t="s">
        <v>2058</v>
      </c>
      <c r="F195" s="427" t="s">
        <v>2058</v>
      </c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428">
        <v>0</v>
      </c>
      <c r="T195" s="220">
        <v>0</v>
      </c>
      <c r="U195" s="220">
        <v>0</v>
      </c>
      <c r="V195" s="220">
        <v>0</v>
      </c>
      <c r="W195" s="220">
        <v>0</v>
      </c>
      <c r="X195" s="220">
        <v>0</v>
      </c>
      <c r="Y195" s="220">
        <v>0</v>
      </c>
      <c r="Z195" s="220">
        <v>0</v>
      </c>
      <c r="AA195" s="220">
        <v>0</v>
      </c>
      <c r="AB195" s="220">
        <v>0</v>
      </c>
      <c r="AC195" s="220">
        <v>0</v>
      </c>
      <c r="AD195" s="231">
        <v>0</v>
      </c>
      <c r="AE195" s="428">
        <v>0</v>
      </c>
      <c r="AF195" s="220">
        <v>0</v>
      </c>
      <c r="AG195" s="220">
        <v>0</v>
      </c>
      <c r="AH195" s="220">
        <v>0</v>
      </c>
      <c r="AI195" s="220">
        <v>0</v>
      </c>
      <c r="AJ195" s="220">
        <v>0</v>
      </c>
      <c r="AK195" s="220">
        <v>0</v>
      </c>
      <c r="AL195" s="220">
        <v>0</v>
      </c>
      <c r="AM195" s="220">
        <v>0</v>
      </c>
      <c r="AN195" s="220">
        <v>0</v>
      </c>
      <c r="AO195" s="220">
        <v>0</v>
      </c>
      <c r="AP195" s="220">
        <v>0</v>
      </c>
      <c r="AQ195" s="430"/>
      <c r="AR195" s="221">
        <f t="shared" si="106"/>
        <v>0</v>
      </c>
      <c r="AS195" s="221">
        <f t="shared" si="107"/>
        <v>0</v>
      </c>
    </row>
    <row r="196" spans="2:45" ht="15.75" customHeight="1">
      <c r="B196" s="227" t="s">
        <v>218</v>
      </c>
      <c r="C196" s="332" t="s">
        <v>2081</v>
      </c>
      <c r="D196" s="399">
        <v>1</v>
      </c>
      <c r="E196" s="332" t="s">
        <v>2058</v>
      </c>
      <c r="F196" s="427" t="s">
        <v>2058</v>
      </c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428">
        <v>1</v>
      </c>
      <c r="T196" s="220">
        <v>1</v>
      </c>
      <c r="U196" s="220">
        <v>1</v>
      </c>
      <c r="V196" s="220">
        <v>1</v>
      </c>
      <c r="W196" s="220">
        <v>1</v>
      </c>
      <c r="X196" s="220">
        <v>0</v>
      </c>
      <c r="Y196" s="220">
        <v>0</v>
      </c>
      <c r="Z196" s="220">
        <v>0</v>
      </c>
      <c r="AA196" s="220">
        <v>0</v>
      </c>
      <c r="AB196" s="220">
        <v>1</v>
      </c>
      <c r="AC196" s="220">
        <v>3</v>
      </c>
      <c r="AD196" s="231">
        <v>2</v>
      </c>
      <c r="AE196" s="428">
        <v>1</v>
      </c>
      <c r="AF196" s="220">
        <v>2</v>
      </c>
      <c r="AG196" s="220">
        <v>0</v>
      </c>
      <c r="AH196" s="220">
        <v>0</v>
      </c>
      <c r="AI196" s="220">
        <v>3</v>
      </c>
      <c r="AJ196" s="220">
        <v>0</v>
      </c>
      <c r="AK196" s="220">
        <v>1</v>
      </c>
      <c r="AL196" s="220">
        <v>1</v>
      </c>
      <c r="AM196" s="220">
        <v>1</v>
      </c>
      <c r="AN196" s="220">
        <v>4</v>
      </c>
      <c r="AO196" s="220">
        <v>1</v>
      </c>
      <c r="AP196" s="220">
        <v>2</v>
      </c>
      <c r="AQ196" s="430"/>
      <c r="AR196" s="221">
        <f t="shared" si="106"/>
        <v>11</v>
      </c>
      <c r="AS196" s="221">
        <f t="shared" si="107"/>
        <v>16</v>
      </c>
    </row>
    <row r="197" spans="2:45" ht="15.75" customHeight="1">
      <c r="B197" s="227" t="s">
        <v>218</v>
      </c>
      <c r="C197" s="332" t="s">
        <v>2082</v>
      </c>
      <c r="D197" s="399">
        <v>1</v>
      </c>
      <c r="E197" s="332" t="s">
        <v>2058</v>
      </c>
      <c r="F197" s="427" t="s">
        <v>2058</v>
      </c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428">
        <v>1</v>
      </c>
      <c r="T197" s="220">
        <v>1</v>
      </c>
      <c r="U197" s="220">
        <v>1</v>
      </c>
      <c r="V197" s="220">
        <v>1</v>
      </c>
      <c r="W197" s="220">
        <v>1</v>
      </c>
      <c r="X197" s="220">
        <v>0</v>
      </c>
      <c r="Y197" s="220">
        <v>0</v>
      </c>
      <c r="Z197" s="220">
        <v>0</v>
      </c>
      <c r="AA197" s="220">
        <v>2</v>
      </c>
      <c r="AB197" s="220">
        <v>1</v>
      </c>
      <c r="AC197" s="220">
        <v>1</v>
      </c>
      <c r="AD197" s="231">
        <v>3</v>
      </c>
      <c r="AE197" s="428">
        <v>1</v>
      </c>
      <c r="AF197" s="220">
        <v>2</v>
      </c>
      <c r="AG197" s="220">
        <v>6</v>
      </c>
      <c r="AH197" s="220">
        <v>3</v>
      </c>
      <c r="AI197" s="220">
        <v>4</v>
      </c>
      <c r="AJ197" s="220">
        <v>0</v>
      </c>
      <c r="AK197" s="220">
        <v>2</v>
      </c>
      <c r="AL197" s="220">
        <v>0</v>
      </c>
      <c r="AM197" s="220">
        <v>1</v>
      </c>
      <c r="AN197" s="220">
        <v>6</v>
      </c>
      <c r="AO197" s="220">
        <v>5</v>
      </c>
      <c r="AP197" s="220">
        <v>3</v>
      </c>
      <c r="AQ197" s="430"/>
      <c r="AR197" s="221">
        <f t="shared" si="106"/>
        <v>12</v>
      </c>
      <c r="AS197" s="221">
        <f t="shared" si="107"/>
        <v>33</v>
      </c>
    </row>
    <row r="198" spans="2:45" ht="15.75" customHeight="1">
      <c r="B198" s="227" t="s">
        <v>218</v>
      </c>
      <c r="C198" s="332" t="s">
        <v>2083</v>
      </c>
      <c r="D198" s="399">
        <v>2</v>
      </c>
      <c r="E198" s="332" t="s">
        <v>2058</v>
      </c>
      <c r="F198" s="427" t="s">
        <v>2058</v>
      </c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428">
        <v>1</v>
      </c>
      <c r="T198" s="220">
        <v>1</v>
      </c>
      <c r="U198" s="220">
        <v>1</v>
      </c>
      <c r="V198" s="220">
        <v>1</v>
      </c>
      <c r="W198" s="220">
        <v>1</v>
      </c>
      <c r="X198" s="220">
        <v>0</v>
      </c>
      <c r="Y198" s="220">
        <v>0</v>
      </c>
      <c r="Z198" s="220">
        <v>0</v>
      </c>
      <c r="AA198" s="220">
        <v>3</v>
      </c>
      <c r="AB198" s="220">
        <v>2</v>
      </c>
      <c r="AC198" s="220">
        <v>3</v>
      </c>
      <c r="AD198" s="231">
        <v>2</v>
      </c>
      <c r="AE198" s="428">
        <v>1</v>
      </c>
      <c r="AF198" s="220">
        <v>0</v>
      </c>
      <c r="AG198" s="220">
        <v>1</v>
      </c>
      <c r="AH198" s="220">
        <v>1</v>
      </c>
      <c r="AI198" s="220">
        <v>1</v>
      </c>
      <c r="AJ198" s="220">
        <v>3</v>
      </c>
      <c r="AK198" s="220">
        <v>0</v>
      </c>
      <c r="AL198" s="220">
        <v>2</v>
      </c>
      <c r="AM198" s="220">
        <v>4</v>
      </c>
      <c r="AN198" s="220">
        <v>8</v>
      </c>
      <c r="AO198" s="220">
        <v>8</v>
      </c>
      <c r="AP198" s="220">
        <v>7</v>
      </c>
      <c r="AQ198" s="430"/>
      <c r="AR198" s="221">
        <f t="shared" si="106"/>
        <v>15</v>
      </c>
      <c r="AS198" s="221">
        <f t="shared" si="107"/>
        <v>36</v>
      </c>
    </row>
    <row r="199" spans="2:45" ht="15.75" customHeight="1">
      <c r="B199" s="227" t="s">
        <v>218</v>
      </c>
      <c r="C199" s="332" t="s">
        <v>2084</v>
      </c>
      <c r="D199" s="399">
        <v>1</v>
      </c>
      <c r="E199" s="332" t="s">
        <v>2058</v>
      </c>
      <c r="F199" s="427" t="s">
        <v>2058</v>
      </c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428">
        <v>0</v>
      </c>
      <c r="T199" s="220">
        <v>0</v>
      </c>
      <c r="U199" s="220">
        <v>0</v>
      </c>
      <c r="V199" s="220">
        <v>0</v>
      </c>
      <c r="W199" s="220">
        <v>0</v>
      </c>
      <c r="X199" s="220">
        <v>0</v>
      </c>
      <c r="Y199" s="220">
        <v>0</v>
      </c>
      <c r="Z199" s="220">
        <v>0</v>
      </c>
      <c r="AA199" s="220">
        <v>0</v>
      </c>
      <c r="AB199" s="220">
        <v>0</v>
      </c>
      <c r="AC199" s="220">
        <v>2</v>
      </c>
      <c r="AD199" s="231">
        <v>0</v>
      </c>
      <c r="AE199" s="428">
        <v>1</v>
      </c>
      <c r="AF199" s="220">
        <v>0</v>
      </c>
      <c r="AG199" s="220">
        <v>5</v>
      </c>
      <c r="AH199" s="220">
        <v>1</v>
      </c>
      <c r="AI199" s="220">
        <v>4</v>
      </c>
      <c r="AJ199" s="220">
        <v>1</v>
      </c>
      <c r="AK199" s="220">
        <v>0</v>
      </c>
      <c r="AL199" s="220">
        <v>1</v>
      </c>
      <c r="AM199" s="220">
        <v>1</v>
      </c>
      <c r="AN199" s="220">
        <v>1</v>
      </c>
      <c r="AO199" s="220">
        <v>1</v>
      </c>
      <c r="AP199" s="220">
        <v>1</v>
      </c>
      <c r="AQ199" s="430"/>
      <c r="AR199" s="221">
        <f t="shared" si="106"/>
        <v>2</v>
      </c>
      <c r="AS199" s="221">
        <f t="shared" si="107"/>
        <v>17</v>
      </c>
    </row>
    <row r="200" spans="2:45" ht="15.75" customHeight="1">
      <c r="B200" s="227" t="s">
        <v>218</v>
      </c>
      <c r="C200" s="332" t="s">
        <v>2085</v>
      </c>
      <c r="D200" s="399">
        <v>1</v>
      </c>
      <c r="E200" s="332" t="s">
        <v>2059</v>
      </c>
      <c r="F200" s="427" t="s">
        <v>2059</v>
      </c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428">
        <v>5</v>
      </c>
      <c r="T200" s="220">
        <v>6</v>
      </c>
      <c r="U200" s="220">
        <v>4</v>
      </c>
      <c r="V200" s="220">
        <v>3</v>
      </c>
      <c r="W200" s="220">
        <v>5</v>
      </c>
      <c r="X200" s="220">
        <v>2</v>
      </c>
      <c r="Y200" s="220">
        <v>6</v>
      </c>
      <c r="Z200" s="220">
        <v>2</v>
      </c>
      <c r="AA200" s="220">
        <v>3</v>
      </c>
      <c r="AB200" s="220">
        <v>9</v>
      </c>
      <c r="AC200" s="220">
        <v>7</v>
      </c>
      <c r="AD200" s="231">
        <v>5</v>
      </c>
      <c r="AE200" s="428">
        <v>4</v>
      </c>
      <c r="AF200" s="220">
        <v>6</v>
      </c>
      <c r="AG200" s="220">
        <v>6</v>
      </c>
      <c r="AH200" s="220">
        <v>5</v>
      </c>
      <c r="AI200" s="220">
        <v>8</v>
      </c>
      <c r="AJ200" s="220">
        <v>4</v>
      </c>
      <c r="AK200" s="220">
        <v>3</v>
      </c>
      <c r="AL200" s="220">
        <v>5</v>
      </c>
      <c r="AM200" s="220">
        <v>2</v>
      </c>
      <c r="AN200" s="220">
        <v>2</v>
      </c>
      <c r="AO200" s="220">
        <v>4</v>
      </c>
      <c r="AP200" s="220">
        <v>2</v>
      </c>
      <c r="AQ200" s="430"/>
      <c r="AR200" s="221">
        <f t="shared" si="106"/>
        <v>57</v>
      </c>
      <c r="AS200" s="221">
        <f t="shared" si="107"/>
        <v>51</v>
      </c>
    </row>
    <row r="201" spans="2:45" ht="15.75" customHeight="1">
      <c r="B201" s="227" t="s">
        <v>218</v>
      </c>
      <c r="C201" s="332" t="s">
        <v>2086</v>
      </c>
      <c r="D201" s="399">
        <v>1</v>
      </c>
      <c r="E201" s="332" t="s">
        <v>2059</v>
      </c>
      <c r="F201" s="427" t="s">
        <v>2059</v>
      </c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428">
        <v>3</v>
      </c>
      <c r="T201" s="220">
        <v>6</v>
      </c>
      <c r="U201" s="220">
        <v>4</v>
      </c>
      <c r="V201" s="220">
        <v>3</v>
      </c>
      <c r="W201" s="220">
        <v>6</v>
      </c>
      <c r="X201" s="220">
        <v>3</v>
      </c>
      <c r="Y201" s="220">
        <v>5</v>
      </c>
      <c r="Z201" s="220">
        <v>1</v>
      </c>
      <c r="AA201" s="220">
        <v>1</v>
      </c>
      <c r="AB201" s="220">
        <v>5</v>
      </c>
      <c r="AC201" s="220">
        <v>5</v>
      </c>
      <c r="AD201" s="231">
        <v>9</v>
      </c>
      <c r="AE201" s="428">
        <v>1</v>
      </c>
      <c r="AF201" s="220">
        <v>4</v>
      </c>
      <c r="AG201" s="220">
        <v>1</v>
      </c>
      <c r="AH201" s="220">
        <v>3</v>
      </c>
      <c r="AI201" s="220">
        <v>2</v>
      </c>
      <c r="AJ201" s="220">
        <v>4</v>
      </c>
      <c r="AK201" s="220">
        <v>2</v>
      </c>
      <c r="AL201" s="220">
        <v>1</v>
      </c>
      <c r="AM201" s="220">
        <v>3</v>
      </c>
      <c r="AN201" s="220">
        <v>4</v>
      </c>
      <c r="AO201" s="220">
        <v>3</v>
      </c>
      <c r="AP201" s="220">
        <v>1</v>
      </c>
      <c r="AQ201" s="430"/>
      <c r="AR201" s="221">
        <f t="shared" si="106"/>
        <v>51</v>
      </c>
      <c r="AS201" s="221">
        <f t="shared" si="107"/>
        <v>29</v>
      </c>
    </row>
    <row r="202" spans="2:45" ht="15.75" customHeight="1">
      <c r="B202" s="227" t="s">
        <v>218</v>
      </c>
      <c r="C202" s="332" t="s">
        <v>2170</v>
      </c>
      <c r="D202" s="399">
        <v>1</v>
      </c>
      <c r="E202" s="332" t="s">
        <v>2059</v>
      </c>
      <c r="F202" s="427" t="s">
        <v>2059</v>
      </c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428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31"/>
      <c r="AE202" s="428">
        <v>0</v>
      </c>
      <c r="AF202" s="220">
        <v>0</v>
      </c>
      <c r="AG202" s="220">
        <v>0</v>
      </c>
      <c r="AH202" s="220">
        <v>0</v>
      </c>
      <c r="AI202" s="220">
        <v>0</v>
      </c>
      <c r="AJ202" s="220">
        <v>0</v>
      </c>
      <c r="AK202" s="220">
        <v>0</v>
      </c>
      <c r="AL202" s="220">
        <v>0</v>
      </c>
      <c r="AM202" s="220">
        <v>0</v>
      </c>
      <c r="AN202" s="220">
        <v>0</v>
      </c>
      <c r="AO202" s="220">
        <v>0</v>
      </c>
      <c r="AP202" s="220">
        <v>0</v>
      </c>
      <c r="AQ202" s="430"/>
      <c r="AR202" s="221">
        <f t="shared" si="106"/>
        <v>0</v>
      </c>
      <c r="AS202" s="221">
        <f t="shared" si="107"/>
        <v>0</v>
      </c>
    </row>
    <row r="203" spans="2:45" ht="15.75" customHeight="1">
      <c r="B203" s="227" t="s">
        <v>218</v>
      </c>
      <c r="C203" s="332" t="s">
        <v>2087</v>
      </c>
      <c r="D203" s="399">
        <v>1</v>
      </c>
      <c r="E203" s="332" t="s">
        <v>2059</v>
      </c>
      <c r="F203" s="427" t="s">
        <v>2059</v>
      </c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428">
        <v>2</v>
      </c>
      <c r="T203" s="220">
        <v>5</v>
      </c>
      <c r="U203" s="220">
        <v>5</v>
      </c>
      <c r="V203" s="220">
        <v>3</v>
      </c>
      <c r="W203" s="220">
        <v>4</v>
      </c>
      <c r="X203" s="220">
        <v>5</v>
      </c>
      <c r="Y203" s="220">
        <v>2</v>
      </c>
      <c r="Z203" s="220">
        <v>5</v>
      </c>
      <c r="AA203" s="220">
        <v>2</v>
      </c>
      <c r="AB203" s="220">
        <v>5</v>
      </c>
      <c r="AC203" s="220">
        <v>7</v>
      </c>
      <c r="AD203" s="231">
        <v>2</v>
      </c>
      <c r="AE203" s="428">
        <v>3</v>
      </c>
      <c r="AF203" s="220">
        <v>1</v>
      </c>
      <c r="AG203" s="220">
        <v>3</v>
      </c>
      <c r="AH203" s="220">
        <v>4</v>
      </c>
      <c r="AI203" s="220">
        <v>4</v>
      </c>
      <c r="AJ203" s="220">
        <v>1</v>
      </c>
      <c r="AK203" s="220">
        <v>1</v>
      </c>
      <c r="AL203" s="220">
        <v>2</v>
      </c>
      <c r="AM203" s="220">
        <v>1</v>
      </c>
      <c r="AN203" s="220">
        <v>5</v>
      </c>
      <c r="AO203" s="220">
        <v>2</v>
      </c>
      <c r="AP203" s="220">
        <v>2</v>
      </c>
      <c r="AQ203" s="430"/>
      <c r="AR203" s="221">
        <f t="shared" si="106"/>
        <v>47</v>
      </c>
      <c r="AS203" s="221">
        <f t="shared" si="107"/>
        <v>29</v>
      </c>
    </row>
    <row r="204" spans="2:45" ht="15.75" customHeight="1">
      <c r="B204" s="227" t="s">
        <v>218</v>
      </c>
      <c r="C204" s="332" t="s">
        <v>2088</v>
      </c>
      <c r="D204" s="399">
        <v>1</v>
      </c>
      <c r="E204" s="332" t="s">
        <v>2059</v>
      </c>
      <c r="F204" s="427" t="s">
        <v>2059</v>
      </c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428">
        <v>1</v>
      </c>
      <c r="T204" s="220">
        <v>4</v>
      </c>
      <c r="U204" s="220">
        <v>7</v>
      </c>
      <c r="V204" s="220">
        <v>5</v>
      </c>
      <c r="W204" s="220">
        <v>4</v>
      </c>
      <c r="X204" s="220">
        <v>3</v>
      </c>
      <c r="Y204" s="220">
        <v>3</v>
      </c>
      <c r="Z204" s="220">
        <v>4</v>
      </c>
      <c r="AA204" s="220">
        <v>1</v>
      </c>
      <c r="AB204" s="220">
        <v>9</v>
      </c>
      <c r="AC204" s="220">
        <v>6</v>
      </c>
      <c r="AD204" s="231">
        <v>6</v>
      </c>
      <c r="AE204" s="428">
        <v>4</v>
      </c>
      <c r="AF204" s="220">
        <v>3</v>
      </c>
      <c r="AG204" s="220">
        <v>4</v>
      </c>
      <c r="AH204" s="220">
        <v>2</v>
      </c>
      <c r="AI204" s="220">
        <v>4</v>
      </c>
      <c r="AJ204" s="220">
        <v>3</v>
      </c>
      <c r="AK204" s="220">
        <v>2</v>
      </c>
      <c r="AL204" s="220">
        <v>4</v>
      </c>
      <c r="AM204" s="220">
        <v>1</v>
      </c>
      <c r="AN204" s="220">
        <v>4</v>
      </c>
      <c r="AO204" s="220">
        <v>7</v>
      </c>
      <c r="AP204" s="220">
        <v>3</v>
      </c>
      <c r="AQ204" s="430"/>
      <c r="AR204" s="221">
        <f t="shared" si="106"/>
        <v>53</v>
      </c>
      <c r="AS204" s="221">
        <f t="shared" si="107"/>
        <v>41</v>
      </c>
    </row>
    <row r="205" spans="2:45" ht="15.75" customHeight="1">
      <c r="B205" s="227" t="s">
        <v>218</v>
      </c>
      <c r="C205" s="332" t="s">
        <v>2089</v>
      </c>
      <c r="D205" s="399">
        <v>2</v>
      </c>
      <c r="E205" s="332" t="s">
        <v>2059</v>
      </c>
      <c r="F205" s="427" t="s">
        <v>2059</v>
      </c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428">
        <v>0</v>
      </c>
      <c r="T205" s="220">
        <v>0</v>
      </c>
      <c r="U205" s="220">
        <v>0</v>
      </c>
      <c r="V205" s="220">
        <v>0</v>
      </c>
      <c r="W205" s="220">
        <v>0</v>
      </c>
      <c r="X205" s="220">
        <v>1</v>
      </c>
      <c r="Y205" s="220">
        <v>0</v>
      </c>
      <c r="Z205" s="220">
        <v>0</v>
      </c>
      <c r="AA205" s="220">
        <v>1</v>
      </c>
      <c r="AB205" s="220">
        <v>4</v>
      </c>
      <c r="AC205" s="220">
        <v>5</v>
      </c>
      <c r="AD205" s="231">
        <v>4</v>
      </c>
      <c r="AE205" s="428">
        <v>2</v>
      </c>
      <c r="AF205" s="220">
        <v>3</v>
      </c>
      <c r="AG205" s="220">
        <v>4</v>
      </c>
      <c r="AH205" s="220">
        <v>6</v>
      </c>
      <c r="AI205" s="220">
        <v>3</v>
      </c>
      <c r="AJ205" s="220">
        <v>2</v>
      </c>
      <c r="AK205" s="220">
        <v>2</v>
      </c>
      <c r="AL205" s="220">
        <v>4</v>
      </c>
      <c r="AM205" s="220">
        <v>4</v>
      </c>
      <c r="AN205" s="220">
        <v>4</v>
      </c>
      <c r="AO205" s="220">
        <v>5</v>
      </c>
      <c r="AP205" s="220">
        <v>3</v>
      </c>
      <c r="AQ205" s="430"/>
      <c r="AR205" s="221">
        <f t="shared" si="106"/>
        <v>15</v>
      </c>
      <c r="AS205" s="221">
        <f t="shared" si="107"/>
        <v>42</v>
      </c>
    </row>
    <row r="206" spans="2:45" ht="15.75" customHeight="1">
      <c r="B206" s="227" t="s">
        <v>218</v>
      </c>
      <c r="C206" s="332" t="s">
        <v>2090</v>
      </c>
      <c r="D206" s="399">
        <v>2</v>
      </c>
      <c r="E206" s="332" t="s">
        <v>2059</v>
      </c>
      <c r="F206" s="427" t="s">
        <v>2059</v>
      </c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428">
        <v>7</v>
      </c>
      <c r="T206" s="220">
        <v>10</v>
      </c>
      <c r="U206" s="220">
        <v>12</v>
      </c>
      <c r="V206" s="220">
        <v>13</v>
      </c>
      <c r="W206" s="220">
        <v>9</v>
      </c>
      <c r="X206" s="220">
        <v>5</v>
      </c>
      <c r="Y206" s="220">
        <v>6</v>
      </c>
      <c r="Z206" s="220">
        <v>6</v>
      </c>
      <c r="AA206" s="220">
        <v>12</v>
      </c>
      <c r="AB206" s="220">
        <v>15</v>
      </c>
      <c r="AC206" s="220">
        <v>18</v>
      </c>
      <c r="AD206" s="231">
        <v>12</v>
      </c>
      <c r="AE206" s="428">
        <v>5</v>
      </c>
      <c r="AF206" s="220">
        <v>10</v>
      </c>
      <c r="AG206" s="220">
        <v>10</v>
      </c>
      <c r="AH206" s="220">
        <v>10</v>
      </c>
      <c r="AI206" s="220">
        <v>14</v>
      </c>
      <c r="AJ206" s="220">
        <v>11</v>
      </c>
      <c r="AK206" s="220">
        <v>8</v>
      </c>
      <c r="AL206" s="220">
        <v>5</v>
      </c>
      <c r="AM206" s="220">
        <v>9</v>
      </c>
      <c r="AN206" s="220">
        <v>11</v>
      </c>
      <c r="AO206" s="220">
        <v>16</v>
      </c>
      <c r="AP206" s="220">
        <v>9</v>
      </c>
      <c r="AQ206" s="430"/>
      <c r="AR206" s="221">
        <f t="shared" si="106"/>
        <v>125</v>
      </c>
      <c r="AS206" s="221">
        <f t="shared" si="107"/>
        <v>118</v>
      </c>
    </row>
    <row r="207" spans="2:45" ht="15.75" customHeight="1">
      <c r="B207" s="227" t="s">
        <v>218</v>
      </c>
      <c r="C207" s="332" t="s">
        <v>2091</v>
      </c>
      <c r="D207" s="399">
        <v>1</v>
      </c>
      <c r="E207" s="332" t="s">
        <v>2059</v>
      </c>
      <c r="F207" s="427" t="s">
        <v>2059</v>
      </c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428">
        <v>0</v>
      </c>
      <c r="T207" s="220">
        <v>0</v>
      </c>
      <c r="U207" s="220">
        <v>0</v>
      </c>
      <c r="V207" s="220">
        <v>0</v>
      </c>
      <c r="W207" s="220">
        <v>0</v>
      </c>
      <c r="X207" s="220">
        <v>0</v>
      </c>
      <c r="Y207" s="220">
        <v>0</v>
      </c>
      <c r="Z207" s="220">
        <v>0</v>
      </c>
      <c r="AA207" s="220">
        <v>0</v>
      </c>
      <c r="AB207" s="220">
        <v>0</v>
      </c>
      <c r="AC207" s="220">
        <v>0</v>
      </c>
      <c r="AD207" s="231">
        <v>0</v>
      </c>
      <c r="AE207" s="428">
        <v>0</v>
      </c>
      <c r="AF207" s="220">
        <v>0</v>
      </c>
      <c r="AG207" s="220">
        <v>0</v>
      </c>
      <c r="AH207" s="220">
        <v>0</v>
      </c>
      <c r="AI207" s="220">
        <v>1</v>
      </c>
      <c r="AJ207" s="220">
        <v>0</v>
      </c>
      <c r="AK207" s="220">
        <v>0</v>
      </c>
      <c r="AL207" s="220">
        <v>0</v>
      </c>
      <c r="AM207" s="220">
        <v>1</v>
      </c>
      <c r="AN207" s="220">
        <v>1</v>
      </c>
      <c r="AO207" s="220">
        <v>0</v>
      </c>
      <c r="AP207" s="220">
        <v>0</v>
      </c>
      <c r="AQ207" s="430"/>
      <c r="AR207" s="221">
        <f t="shared" si="106"/>
        <v>0</v>
      </c>
      <c r="AS207" s="221">
        <f t="shared" si="107"/>
        <v>3</v>
      </c>
    </row>
    <row r="208" spans="2:45" ht="15.75" customHeight="1">
      <c r="B208" s="227" t="s">
        <v>218</v>
      </c>
      <c r="C208" s="332" t="s">
        <v>2092</v>
      </c>
      <c r="D208" s="399">
        <v>1</v>
      </c>
      <c r="E208" s="332" t="s">
        <v>2060</v>
      </c>
      <c r="F208" s="427" t="s">
        <v>2060</v>
      </c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428">
        <v>0</v>
      </c>
      <c r="T208" s="220">
        <v>0</v>
      </c>
      <c r="U208" s="220">
        <v>0</v>
      </c>
      <c r="V208" s="220">
        <v>0</v>
      </c>
      <c r="W208" s="220">
        <v>0</v>
      </c>
      <c r="X208" s="220">
        <v>0</v>
      </c>
      <c r="Y208" s="220">
        <v>0</v>
      </c>
      <c r="Z208" s="220">
        <v>0</v>
      </c>
      <c r="AA208" s="220">
        <v>0</v>
      </c>
      <c r="AB208" s="220">
        <v>0</v>
      </c>
      <c r="AC208" s="220">
        <v>2</v>
      </c>
      <c r="AD208" s="231">
        <v>0</v>
      </c>
      <c r="AE208" s="428">
        <v>2</v>
      </c>
      <c r="AF208" s="220">
        <v>2</v>
      </c>
      <c r="AG208" s="220">
        <v>0</v>
      </c>
      <c r="AH208" s="220">
        <v>5</v>
      </c>
      <c r="AI208" s="220">
        <v>2</v>
      </c>
      <c r="AJ208" s="220">
        <v>8</v>
      </c>
      <c r="AK208" s="220">
        <v>6</v>
      </c>
      <c r="AL208" s="220">
        <v>8</v>
      </c>
      <c r="AM208" s="220">
        <v>10</v>
      </c>
      <c r="AN208" s="220">
        <v>13</v>
      </c>
      <c r="AO208" s="220">
        <v>12</v>
      </c>
      <c r="AP208" s="220">
        <v>11</v>
      </c>
      <c r="AQ208" s="430"/>
      <c r="AR208" s="221">
        <f t="shared" si="106"/>
        <v>2</v>
      </c>
      <c r="AS208" s="221">
        <f t="shared" si="107"/>
        <v>79</v>
      </c>
    </row>
    <row r="209" spans="2:45" ht="15.75" customHeight="1">
      <c r="B209" s="431" t="s">
        <v>218</v>
      </c>
      <c r="C209" s="432" t="s">
        <v>2093</v>
      </c>
      <c r="D209" s="433">
        <v>1</v>
      </c>
      <c r="E209" s="434" t="s">
        <v>204</v>
      </c>
      <c r="F209" s="435" t="s">
        <v>2349</v>
      </c>
      <c r="G209" s="436"/>
      <c r="H209" s="436"/>
      <c r="I209" s="436"/>
      <c r="J209" s="436"/>
      <c r="K209" s="436"/>
      <c r="L209" s="436"/>
      <c r="M209" s="436"/>
      <c r="N209" s="436"/>
      <c r="O209" s="436"/>
      <c r="P209" s="436"/>
      <c r="Q209" s="436"/>
      <c r="R209" s="436"/>
      <c r="S209" s="437">
        <v>0</v>
      </c>
      <c r="T209" s="436">
        <v>0</v>
      </c>
      <c r="U209" s="436">
        <v>0</v>
      </c>
      <c r="V209" s="436">
        <v>0</v>
      </c>
      <c r="W209" s="436">
        <v>0</v>
      </c>
      <c r="X209" s="436">
        <v>0</v>
      </c>
      <c r="Y209" s="436">
        <v>0</v>
      </c>
      <c r="Z209" s="436">
        <v>0</v>
      </c>
      <c r="AA209" s="436">
        <v>0</v>
      </c>
      <c r="AB209" s="436">
        <v>0</v>
      </c>
      <c r="AC209" s="436">
        <v>0</v>
      </c>
      <c r="AD209" s="438">
        <v>0</v>
      </c>
      <c r="AE209" s="437">
        <v>0</v>
      </c>
      <c r="AF209" s="436">
        <v>0</v>
      </c>
      <c r="AG209" s="436">
        <v>0</v>
      </c>
      <c r="AH209" s="436">
        <v>0</v>
      </c>
      <c r="AI209" s="436">
        <v>0</v>
      </c>
      <c r="AJ209" s="436">
        <v>1</v>
      </c>
      <c r="AK209" s="436">
        <v>0</v>
      </c>
      <c r="AL209" s="436">
        <v>0</v>
      </c>
      <c r="AM209" s="436">
        <v>0</v>
      </c>
      <c r="AN209" s="436">
        <v>0</v>
      </c>
      <c r="AO209" s="436">
        <v>0</v>
      </c>
      <c r="AP209" s="436">
        <v>0</v>
      </c>
      <c r="AQ209" s="430"/>
      <c r="AR209" s="221">
        <f t="shared" si="106"/>
        <v>0</v>
      </c>
      <c r="AS209" s="221">
        <f t="shared" si="107"/>
        <v>1</v>
      </c>
    </row>
    <row r="210" spans="2:45" ht="15.75" customHeight="1">
      <c r="B210" s="227" t="s">
        <v>219</v>
      </c>
      <c r="C210" s="332" t="s">
        <v>2061</v>
      </c>
      <c r="D210" s="399">
        <v>1</v>
      </c>
      <c r="E210" s="332" t="s">
        <v>204</v>
      </c>
      <c r="F210" s="427" t="s">
        <v>2347</v>
      </c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439">
        <v>3</v>
      </c>
      <c r="T210" s="218">
        <v>1</v>
      </c>
      <c r="U210" s="218">
        <v>3</v>
      </c>
      <c r="V210" s="218">
        <v>6</v>
      </c>
      <c r="W210" s="218">
        <v>6</v>
      </c>
      <c r="X210" s="218">
        <v>4</v>
      </c>
      <c r="Y210" s="218">
        <v>4</v>
      </c>
      <c r="Z210" s="218">
        <v>1</v>
      </c>
      <c r="AA210" s="218">
        <v>1</v>
      </c>
      <c r="AB210" s="218">
        <v>4</v>
      </c>
      <c r="AC210" s="218">
        <v>8</v>
      </c>
      <c r="AD210" s="440">
        <v>3</v>
      </c>
      <c r="AE210" s="439">
        <v>4</v>
      </c>
      <c r="AF210" s="218">
        <v>1</v>
      </c>
      <c r="AG210" s="218">
        <v>6</v>
      </c>
      <c r="AH210" s="218">
        <v>3</v>
      </c>
      <c r="AI210" s="218">
        <v>3</v>
      </c>
      <c r="AJ210" s="218">
        <v>1</v>
      </c>
      <c r="AK210" s="218">
        <v>2</v>
      </c>
      <c r="AL210" s="218">
        <v>0</v>
      </c>
      <c r="AM210" s="218">
        <v>1</v>
      </c>
      <c r="AN210" s="218">
        <v>6</v>
      </c>
      <c r="AO210" s="218">
        <v>4</v>
      </c>
      <c r="AP210" s="218">
        <v>3</v>
      </c>
      <c r="AQ210" s="430"/>
      <c r="AR210" s="221">
        <f t="shared" si="106"/>
        <v>44</v>
      </c>
      <c r="AS210" s="221">
        <f t="shared" si="107"/>
        <v>34</v>
      </c>
    </row>
    <row r="211" spans="2:45" ht="15.75" customHeight="1">
      <c r="B211" s="227" t="s">
        <v>219</v>
      </c>
      <c r="C211" s="332" t="s">
        <v>2062</v>
      </c>
      <c r="D211" s="399">
        <v>2</v>
      </c>
      <c r="E211" s="332" t="s">
        <v>204</v>
      </c>
      <c r="F211" s="427" t="s">
        <v>2347</v>
      </c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439">
        <v>1</v>
      </c>
      <c r="T211" s="218">
        <v>2</v>
      </c>
      <c r="U211" s="218">
        <v>5</v>
      </c>
      <c r="V211" s="218">
        <v>5</v>
      </c>
      <c r="W211" s="218">
        <v>5</v>
      </c>
      <c r="X211" s="218">
        <v>5</v>
      </c>
      <c r="Y211" s="218">
        <v>5</v>
      </c>
      <c r="Z211" s="218">
        <v>3</v>
      </c>
      <c r="AA211" s="218">
        <v>8</v>
      </c>
      <c r="AB211" s="218">
        <v>7</v>
      </c>
      <c r="AC211" s="218">
        <v>4</v>
      </c>
      <c r="AD211" s="440">
        <v>3</v>
      </c>
      <c r="AE211" s="439">
        <v>6</v>
      </c>
      <c r="AF211" s="218">
        <v>2</v>
      </c>
      <c r="AG211" s="218">
        <v>1</v>
      </c>
      <c r="AH211" s="218">
        <v>2</v>
      </c>
      <c r="AI211" s="218">
        <v>2</v>
      </c>
      <c r="AJ211" s="218">
        <v>2</v>
      </c>
      <c r="AK211" s="218">
        <v>1</v>
      </c>
      <c r="AL211" s="218">
        <v>2</v>
      </c>
      <c r="AM211" s="218">
        <v>3</v>
      </c>
      <c r="AN211" s="218">
        <v>8</v>
      </c>
      <c r="AO211" s="218">
        <v>6</v>
      </c>
      <c r="AP211" s="218">
        <v>1</v>
      </c>
      <c r="AQ211" s="430"/>
      <c r="AR211" s="221">
        <f t="shared" si="106"/>
        <v>53</v>
      </c>
      <c r="AS211" s="221">
        <f t="shared" si="107"/>
        <v>36</v>
      </c>
    </row>
    <row r="212" spans="2:45" ht="15.75" customHeight="1">
      <c r="B212" s="227" t="s">
        <v>219</v>
      </c>
      <c r="C212" s="332" t="s">
        <v>2063</v>
      </c>
      <c r="D212" s="399">
        <v>2</v>
      </c>
      <c r="E212" s="332" t="s">
        <v>204</v>
      </c>
      <c r="F212" s="427" t="s">
        <v>2347</v>
      </c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439">
        <v>2</v>
      </c>
      <c r="T212" s="218">
        <v>5</v>
      </c>
      <c r="U212" s="218">
        <v>5</v>
      </c>
      <c r="V212" s="218">
        <v>7</v>
      </c>
      <c r="W212" s="218">
        <v>5</v>
      </c>
      <c r="X212" s="218">
        <v>13</v>
      </c>
      <c r="Y212" s="218">
        <v>6</v>
      </c>
      <c r="Z212" s="218">
        <v>2</v>
      </c>
      <c r="AA212" s="218">
        <v>4</v>
      </c>
      <c r="AB212" s="218">
        <v>11</v>
      </c>
      <c r="AC212" s="218">
        <v>7</v>
      </c>
      <c r="AD212" s="440">
        <v>5</v>
      </c>
      <c r="AE212" s="439">
        <v>3</v>
      </c>
      <c r="AF212" s="218">
        <v>1</v>
      </c>
      <c r="AG212" s="218">
        <v>3</v>
      </c>
      <c r="AH212" s="218">
        <v>5</v>
      </c>
      <c r="AI212" s="218">
        <v>10</v>
      </c>
      <c r="AJ212" s="218">
        <v>7</v>
      </c>
      <c r="AK212" s="218">
        <v>1</v>
      </c>
      <c r="AL212" s="218">
        <v>3</v>
      </c>
      <c r="AM212" s="218">
        <v>1</v>
      </c>
      <c r="AN212" s="218">
        <v>10</v>
      </c>
      <c r="AO212" s="218">
        <v>4</v>
      </c>
      <c r="AP212" s="218">
        <v>5</v>
      </c>
      <c r="AQ212" s="430"/>
      <c r="AR212" s="221">
        <f t="shared" si="106"/>
        <v>72</v>
      </c>
      <c r="AS212" s="221">
        <f t="shared" si="107"/>
        <v>53</v>
      </c>
    </row>
    <row r="213" spans="2:45" ht="15.75" customHeight="1">
      <c r="B213" s="227" t="s">
        <v>219</v>
      </c>
      <c r="C213" s="332" t="s">
        <v>2064</v>
      </c>
      <c r="D213" s="399">
        <v>1</v>
      </c>
      <c r="E213" s="332" t="s">
        <v>204</v>
      </c>
      <c r="F213" s="427" t="s">
        <v>2347</v>
      </c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439">
        <v>5</v>
      </c>
      <c r="T213" s="218">
        <v>5</v>
      </c>
      <c r="U213" s="218">
        <v>12</v>
      </c>
      <c r="V213" s="218">
        <v>6</v>
      </c>
      <c r="W213" s="218">
        <v>10</v>
      </c>
      <c r="X213" s="218">
        <v>12</v>
      </c>
      <c r="Y213" s="218">
        <v>5</v>
      </c>
      <c r="Z213" s="218">
        <v>8</v>
      </c>
      <c r="AA213" s="218">
        <v>5</v>
      </c>
      <c r="AB213" s="218">
        <v>12</v>
      </c>
      <c r="AC213" s="218">
        <v>12</v>
      </c>
      <c r="AD213" s="440">
        <v>7</v>
      </c>
      <c r="AE213" s="439">
        <v>8</v>
      </c>
      <c r="AF213" s="218">
        <v>8</v>
      </c>
      <c r="AG213" s="218">
        <v>12</v>
      </c>
      <c r="AH213" s="218">
        <v>6</v>
      </c>
      <c r="AI213" s="218">
        <v>11</v>
      </c>
      <c r="AJ213" s="218">
        <v>7</v>
      </c>
      <c r="AK213" s="218">
        <v>5</v>
      </c>
      <c r="AL213" s="218">
        <v>5</v>
      </c>
      <c r="AM213" s="218">
        <v>6</v>
      </c>
      <c r="AN213" s="218">
        <v>11</v>
      </c>
      <c r="AO213" s="218">
        <v>10</v>
      </c>
      <c r="AP213" s="218">
        <v>4</v>
      </c>
      <c r="AQ213" s="430"/>
      <c r="AR213" s="221">
        <f t="shared" si="106"/>
        <v>99</v>
      </c>
      <c r="AS213" s="221">
        <f t="shared" si="107"/>
        <v>93</v>
      </c>
    </row>
    <row r="214" spans="2:45" ht="15.75" customHeight="1">
      <c r="B214" s="227" t="s">
        <v>219</v>
      </c>
      <c r="C214" s="332" t="s">
        <v>2065</v>
      </c>
      <c r="D214" s="399">
        <v>1</v>
      </c>
      <c r="E214" s="332" t="s">
        <v>204</v>
      </c>
      <c r="F214" s="427" t="s">
        <v>2347</v>
      </c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439">
        <v>4</v>
      </c>
      <c r="T214" s="218">
        <v>3</v>
      </c>
      <c r="U214" s="218">
        <v>2</v>
      </c>
      <c r="V214" s="218">
        <v>5</v>
      </c>
      <c r="W214" s="218">
        <v>2</v>
      </c>
      <c r="X214" s="218">
        <v>3</v>
      </c>
      <c r="Y214" s="218">
        <v>2</v>
      </c>
      <c r="Z214" s="218">
        <v>2</v>
      </c>
      <c r="AA214" s="218">
        <v>1</v>
      </c>
      <c r="AB214" s="218">
        <v>5</v>
      </c>
      <c r="AC214" s="218">
        <v>4</v>
      </c>
      <c r="AD214" s="440">
        <v>0</v>
      </c>
      <c r="AE214" s="439">
        <v>1</v>
      </c>
      <c r="AF214" s="218">
        <v>2</v>
      </c>
      <c r="AG214" s="218">
        <v>1</v>
      </c>
      <c r="AH214" s="218">
        <v>1</v>
      </c>
      <c r="AI214" s="218">
        <v>2</v>
      </c>
      <c r="AJ214" s="218">
        <v>4</v>
      </c>
      <c r="AK214" s="218">
        <v>0</v>
      </c>
      <c r="AL214" s="218">
        <v>2</v>
      </c>
      <c r="AM214" s="218">
        <v>0</v>
      </c>
      <c r="AN214" s="218">
        <v>2</v>
      </c>
      <c r="AO214" s="218">
        <v>2</v>
      </c>
      <c r="AP214" s="218">
        <v>1</v>
      </c>
      <c r="AQ214" s="430"/>
      <c r="AR214" s="221">
        <f t="shared" si="106"/>
        <v>33</v>
      </c>
      <c r="AS214" s="221">
        <f t="shared" si="107"/>
        <v>18</v>
      </c>
    </row>
    <row r="215" spans="2:45" ht="15.75" customHeight="1">
      <c r="B215" s="227" t="s">
        <v>219</v>
      </c>
      <c r="C215" s="332" t="s">
        <v>2066</v>
      </c>
      <c r="D215" s="399">
        <v>1</v>
      </c>
      <c r="E215" s="332" t="s">
        <v>204</v>
      </c>
      <c r="F215" s="427" t="s">
        <v>2348</v>
      </c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439">
        <v>7</v>
      </c>
      <c r="T215" s="218">
        <v>5</v>
      </c>
      <c r="U215" s="218">
        <v>10</v>
      </c>
      <c r="V215" s="218">
        <v>8</v>
      </c>
      <c r="W215" s="218">
        <v>11</v>
      </c>
      <c r="X215" s="218">
        <v>17</v>
      </c>
      <c r="Y215" s="218">
        <v>16</v>
      </c>
      <c r="Z215" s="218">
        <v>10</v>
      </c>
      <c r="AA215" s="218">
        <v>9</v>
      </c>
      <c r="AB215" s="218">
        <v>15</v>
      </c>
      <c r="AC215" s="218">
        <v>11</v>
      </c>
      <c r="AD215" s="440">
        <v>3</v>
      </c>
      <c r="AE215" s="439">
        <v>6</v>
      </c>
      <c r="AF215" s="218">
        <v>8</v>
      </c>
      <c r="AG215" s="218">
        <v>7</v>
      </c>
      <c r="AH215" s="218">
        <v>8</v>
      </c>
      <c r="AI215" s="218">
        <v>7</v>
      </c>
      <c r="AJ215" s="218">
        <v>10</v>
      </c>
      <c r="AK215" s="218">
        <v>8</v>
      </c>
      <c r="AL215" s="218">
        <v>9</v>
      </c>
      <c r="AM215" s="218">
        <v>9</v>
      </c>
      <c r="AN215" s="218">
        <v>11</v>
      </c>
      <c r="AO215" s="218">
        <v>7</v>
      </c>
      <c r="AP215" s="218">
        <v>5</v>
      </c>
      <c r="AQ215" s="430"/>
      <c r="AR215" s="221">
        <f t="shared" si="106"/>
        <v>122</v>
      </c>
      <c r="AS215" s="221">
        <f t="shared" si="107"/>
        <v>95</v>
      </c>
    </row>
    <row r="216" spans="2:45" ht="15.75" customHeight="1">
      <c r="B216" s="227" t="s">
        <v>219</v>
      </c>
      <c r="C216" s="332" t="s">
        <v>2067</v>
      </c>
      <c r="D216" s="399">
        <v>1</v>
      </c>
      <c r="E216" s="332" t="s">
        <v>204</v>
      </c>
      <c r="F216" s="427" t="s">
        <v>2348</v>
      </c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439">
        <v>1</v>
      </c>
      <c r="T216" s="218">
        <v>1</v>
      </c>
      <c r="U216" s="218">
        <v>0</v>
      </c>
      <c r="V216" s="218">
        <v>1</v>
      </c>
      <c r="W216" s="218">
        <v>1</v>
      </c>
      <c r="X216" s="218">
        <v>2</v>
      </c>
      <c r="Y216" s="218">
        <v>2</v>
      </c>
      <c r="Z216" s="218">
        <v>6</v>
      </c>
      <c r="AA216" s="218">
        <v>2</v>
      </c>
      <c r="AB216" s="218">
        <v>9</v>
      </c>
      <c r="AC216" s="218">
        <v>6</v>
      </c>
      <c r="AD216" s="440">
        <v>2</v>
      </c>
      <c r="AE216" s="439">
        <v>2</v>
      </c>
      <c r="AF216" s="218">
        <v>4</v>
      </c>
      <c r="AG216" s="218">
        <v>5</v>
      </c>
      <c r="AH216" s="218">
        <v>2</v>
      </c>
      <c r="AI216" s="218">
        <v>1</v>
      </c>
      <c r="AJ216" s="218">
        <v>2</v>
      </c>
      <c r="AK216" s="218">
        <v>2</v>
      </c>
      <c r="AL216" s="218">
        <v>2</v>
      </c>
      <c r="AM216" s="218">
        <v>1</v>
      </c>
      <c r="AN216" s="218">
        <v>2</v>
      </c>
      <c r="AO216" s="218">
        <v>2</v>
      </c>
      <c r="AP216" s="218">
        <v>1</v>
      </c>
      <c r="AQ216" s="430"/>
      <c r="AR216" s="221">
        <f t="shared" si="106"/>
        <v>33</v>
      </c>
      <c r="AS216" s="221">
        <f t="shared" si="107"/>
        <v>26</v>
      </c>
    </row>
    <row r="217" spans="2:45" ht="15.75" customHeight="1">
      <c r="B217" s="227" t="s">
        <v>219</v>
      </c>
      <c r="C217" s="332" t="s">
        <v>2068</v>
      </c>
      <c r="D217" s="399">
        <v>2</v>
      </c>
      <c r="E217" s="332" t="s">
        <v>204</v>
      </c>
      <c r="F217" s="427" t="s">
        <v>2348</v>
      </c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439">
        <v>2</v>
      </c>
      <c r="T217" s="218">
        <v>2</v>
      </c>
      <c r="U217" s="218">
        <v>7</v>
      </c>
      <c r="V217" s="218">
        <v>10</v>
      </c>
      <c r="W217" s="218">
        <v>6</v>
      </c>
      <c r="X217" s="218">
        <v>8</v>
      </c>
      <c r="Y217" s="218">
        <v>3</v>
      </c>
      <c r="Z217" s="218">
        <v>6</v>
      </c>
      <c r="AA217" s="218">
        <v>6</v>
      </c>
      <c r="AB217" s="218">
        <v>15</v>
      </c>
      <c r="AC217" s="218">
        <v>14</v>
      </c>
      <c r="AD217" s="440">
        <v>6</v>
      </c>
      <c r="AE217" s="439">
        <v>3</v>
      </c>
      <c r="AF217" s="218">
        <v>3</v>
      </c>
      <c r="AG217" s="218">
        <v>6</v>
      </c>
      <c r="AH217" s="218">
        <v>3</v>
      </c>
      <c r="AI217" s="218">
        <v>8</v>
      </c>
      <c r="AJ217" s="218">
        <v>8</v>
      </c>
      <c r="AK217" s="218">
        <v>2</v>
      </c>
      <c r="AL217" s="218">
        <v>5</v>
      </c>
      <c r="AM217" s="218">
        <v>8</v>
      </c>
      <c r="AN217" s="218">
        <v>7</v>
      </c>
      <c r="AO217" s="218">
        <v>10</v>
      </c>
      <c r="AP217" s="218">
        <v>3</v>
      </c>
      <c r="AQ217" s="430"/>
      <c r="AR217" s="221">
        <f t="shared" si="106"/>
        <v>85</v>
      </c>
      <c r="AS217" s="221">
        <f t="shared" si="107"/>
        <v>66</v>
      </c>
    </row>
    <row r="218" spans="2:45" ht="15.75" customHeight="1">
      <c r="B218" s="227" t="s">
        <v>219</v>
      </c>
      <c r="C218" s="332" t="s">
        <v>2069</v>
      </c>
      <c r="D218" s="399">
        <v>1</v>
      </c>
      <c r="E218" s="332" t="s">
        <v>204</v>
      </c>
      <c r="F218" s="427" t="s">
        <v>2348</v>
      </c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439">
        <v>2</v>
      </c>
      <c r="T218" s="218">
        <v>1</v>
      </c>
      <c r="U218" s="218">
        <v>7</v>
      </c>
      <c r="V218" s="218">
        <v>11</v>
      </c>
      <c r="W218" s="218">
        <v>6</v>
      </c>
      <c r="X218" s="218">
        <v>5</v>
      </c>
      <c r="Y218" s="218">
        <v>4</v>
      </c>
      <c r="Z218" s="218">
        <v>8</v>
      </c>
      <c r="AA218" s="218">
        <v>5</v>
      </c>
      <c r="AB218" s="218">
        <v>8</v>
      </c>
      <c r="AC218" s="218">
        <v>12</v>
      </c>
      <c r="AD218" s="440">
        <v>7</v>
      </c>
      <c r="AE218" s="439">
        <v>2</v>
      </c>
      <c r="AF218" s="218">
        <v>6</v>
      </c>
      <c r="AG218" s="218">
        <v>5</v>
      </c>
      <c r="AH218" s="218">
        <v>5</v>
      </c>
      <c r="AI218" s="218">
        <v>10</v>
      </c>
      <c r="AJ218" s="218">
        <v>6</v>
      </c>
      <c r="AK218" s="218">
        <v>3</v>
      </c>
      <c r="AL218" s="218">
        <v>3</v>
      </c>
      <c r="AM218" s="218">
        <v>4</v>
      </c>
      <c r="AN218" s="218">
        <v>10</v>
      </c>
      <c r="AO218" s="218">
        <v>13</v>
      </c>
      <c r="AP218" s="218">
        <v>3</v>
      </c>
      <c r="AQ218" s="430"/>
      <c r="AR218" s="221">
        <f t="shared" si="106"/>
        <v>76</v>
      </c>
      <c r="AS218" s="221">
        <f t="shared" si="107"/>
        <v>70</v>
      </c>
    </row>
    <row r="219" spans="2:45" ht="15.75" customHeight="1">
      <c r="B219" s="227" t="s">
        <v>219</v>
      </c>
      <c r="C219" s="332" t="s">
        <v>2070</v>
      </c>
      <c r="D219" s="399">
        <v>1</v>
      </c>
      <c r="E219" s="332" t="s">
        <v>204</v>
      </c>
      <c r="F219" s="427" t="s">
        <v>2348</v>
      </c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439">
        <v>4</v>
      </c>
      <c r="T219" s="218">
        <v>6</v>
      </c>
      <c r="U219" s="218">
        <v>13</v>
      </c>
      <c r="V219" s="218">
        <v>17</v>
      </c>
      <c r="W219" s="218">
        <v>17</v>
      </c>
      <c r="X219" s="218">
        <v>15</v>
      </c>
      <c r="Y219" s="218">
        <v>11</v>
      </c>
      <c r="Z219" s="218">
        <v>11</v>
      </c>
      <c r="AA219" s="218">
        <v>13</v>
      </c>
      <c r="AB219" s="218">
        <v>16</v>
      </c>
      <c r="AC219" s="218">
        <v>18</v>
      </c>
      <c r="AD219" s="440">
        <v>10</v>
      </c>
      <c r="AE219" s="439">
        <v>3</v>
      </c>
      <c r="AF219" s="218">
        <v>7</v>
      </c>
      <c r="AG219" s="218">
        <v>11</v>
      </c>
      <c r="AH219" s="218">
        <v>14</v>
      </c>
      <c r="AI219" s="218">
        <v>12</v>
      </c>
      <c r="AJ219" s="218">
        <v>9</v>
      </c>
      <c r="AK219" s="218">
        <v>7</v>
      </c>
      <c r="AL219" s="218">
        <v>8</v>
      </c>
      <c r="AM219" s="218">
        <v>13</v>
      </c>
      <c r="AN219" s="218">
        <v>15</v>
      </c>
      <c r="AO219" s="218">
        <v>16</v>
      </c>
      <c r="AP219" s="218">
        <v>5</v>
      </c>
      <c r="AQ219" s="430"/>
      <c r="AR219" s="221">
        <f t="shared" si="106"/>
        <v>151</v>
      </c>
      <c r="AS219" s="221">
        <f t="shared" si="107"/>
        <v>120</v>
      </c>
    </row>
    <row r="220" spans="2:45" ht="15.75" customHeight="1">
      <c r="B220" s="227" t="s">
        <v>219</v>
      </c>
      <c r="C220" s="332" t="s">
        <v>2071</v>
      </c>
      <c r="D220" s="399">
        <v>2</v>
      </c>
      <c r="E220" s="332" t="s">
        <v>204</v>
      </c>
      <c r="F220" s="427" t="s">
        <v>2348</v>
      </c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439">
        <v>0</v>
      </c>
      <c r="T220" s="218">
        <v>0</v>
      </c>
      <c r="U220" s="218">
        <v>0</v>
      </c>
      <c r="V220" s="218">
        <v>0</v>
      </c>
      <c r="W220" s="218">
        <v>0</v>
      </c>
      <c r="X220" s="218">
        <v>0</v>
      </c>
      <c r="Y220" s="218">
        <v>0</v>
      </c>
      <c r="Z220" s="218">
        <v>0</v>
      </c>
      <c r="AA220" s="218">
        <v>0</v>
      </c>
      <c r="AB220" s="218">
        <v>0</v>
      </c>
      <c r="AC220" s="218">
        <v>0</v>
      </c>
      <c r="AD220" s="440">
        <v>0</v>
      </c>
      <c r="AE220" s="439">
        <v>0</v>
      </c>
      <c r="AF220" s="218">
        <v>0</v>
      </c>
      <c r="AG220" s="218">
        <v>3</v>
      </c>
      <c r="AH220" s="218">
        <v>4</v>
      </c>
      <c r="AI220" s="218">
        <v>4</v>
      </c>
      <c r="AJ220" s="218">
        <v>0</v>
      </c>
      <c r="AK220" s="218">
        <v>1</v>
      </c>
      <c r="AL220" s="218">
        <v>2</v>
      </c>
      <c r="AM220" s="218">
        <v>3</v>
      </c>
      <c r="AN220" s="218">
        <v>5</v>
      </c>
      <c r="AO220" s="218">
        <v>4</v>
      </c>
      <c r="AP220" s="218">
        <v>1</v>
      </c>
      <c r="AQ220" s="430"/>
      <c r="AR220" s="221">
        <f t="shared" si="106"/>
        <v>0</v>
      </c>
      <c r="AS220" s="221">
        <f t="shared" si="107"/>
        <v>27</v>
      </c>
    </row>
    <row r="221" spans="2:45" ht="15.75" customHeight="1">
      <c r="B221" s="227" t="s">
        <v>219</v>
      </c>
      <c r="C221" s="332" t="s">
        <v>2072</v>
      </c>
      <c r="D221" s="399">
        <v>1</v>
      </c>
      <c r="E221" s="332" t="s">
        <v>204</v>
      </c>
      <c r="F221" s="427" t="s">
        <v>2348</v>
      </c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439">
        <v>1</v>
      </c>
      <c r="T221" s="218">
        <v>1</v>
      </c>
      <c r="U221" s="218">
        <v>2</v>
      </c>
      <c r="V221" s="218">
        <v>1</v>
      </c>
      <c r="W221" s="218">
        <v>7</v>
      </c>
      <c r="X221" s="218">
        <v>6</v>
      </c>
      <c r="Y221" s="218">
        <v>0</v>
      </c>
      <c r="Z221" s="218">
        <v>1</v>
      </c>
      <c r="AA221" s="218">
        <v>4</v>
      </c>
      <c r="AB221" s="218">
        <v>8</v>
      </c>
      <c r="AC221" s="218">
        <v>6</v>
      </c>
      <c r="AD221" s="440">
        <v>6</v>
      </c>
      <c r="AE221" s="439">
        <v>0</v>
      </c>
      <c r="AF221" s="218">
        <v>1</v>
      </c>
      <c r="AG221" s="218">
        <v>3</v>
      </c>
      <c r="AH221" s="218">
        <v>4</v>
      </c>
      <c r="AI221" s="218">
        <v>8</v>
      </c>
      <c r="AJ221" s="218">
        <v>1</v>
      </c>
      <c r="AK221" s="218">
        <v>4</v>
      </c>
      <c r="AL221" s="218">
        <v>1</v>
      </c>
      <c r="AM221" s="218">
        <v>3</v>
      </c>
      <c r="AN221" s="218">
        <v>3</v>
      </c>
      <c r="AO221" s="218">
        <v>5</v>
      </c>
      <c r="AP221" s="218">
        <v>0</v>
      </c>
      <c r="AQ221" s="430"/>
      <c r="AR221" s="221">
        <f t="shared" si="106"/>
        <v>43</v>
      </c>
      <c r="AS221" s="221">
        <f t="shared" si="107"/>
        <v>33</v>
      </c>
    </row>
    <row r="222" spans="2:45" ht="15.75" customHeight="1">
      <c r="B222" s="227" t="s">
        <v>219</v>
      </c>
      <c r="C222" s="332" t="s">
        <v>2073</v>
      </c>
      <c r="D222" s="399">
        <v>1</v>
      </c>
      <c r="E222" s="332" t="s">
        <v>204</v>
      </c>
      <c r="F222" s="427" t="s">
        <v>2349</v>
      </c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439">
        <v>2</v>
      </c>
      <c r="T222" s="218">
        <v>4</v>
      </c>
      <c r="U222" s="218">
        <v>5</v>
      </c>
      <c r="V222" s="218">
        <v>8</v>
      </c>
      <c r="W222" s="218">
        <v>9</v>
      </c>
      <c r="X222" s="218">
        <v>4</v>
      </c>
      <c r="Y222" s="218">
        <v>3</v>
      </c>
      <c r="Z222" s="218">
        <v>6</v>
      </c>
      <c r="AA222" s="218">
        <v>6</v>
      </c>
      <c r="AB222" s="218">
        <v>7</v>
      </c>
      <c r="AC222" s="218">
        <v>8</v>
      </c>
      <c r="AD222" s="440">
        <v>4</v>
      </c>
      <c r="AE222" s="439">
        <v>6</v>
      </c>
      <c r="AF222" s="218">
        <v>5</v>
      </c>
      <c r="AG222" s="218">
        <v>5</v>
      </c>
      <c r="AH222" s="218">
        <v>5</v>
      </c>
      <c r="AI222" s="218">
        <v>5</v>
      </c>
      <c r="AJ222" s="218">
        <v>5</v>
      </c>
      <c r="AK222" s="218">
        <v>4</v>
      </c>
      <c r="AL222" s="218">
        <v>5</v>
      </c>
      <c r="AM222" s="218">
        <v>3</v>
      </c>
      <c r="AN222" s="218">
        <v>9</v>
      </c>
      <c r="AO222" s="218">
        <v>5</v>
      </c>
      <c r="AP222" s="218">
        <v>3</v>
      </c>
      <c r="AQ222" s="430"/>
      <c r="AR222" s="221">
        <f t="shared" si="106"/>
        <v>66</v>
      </c>
      <c r="AS222" s="221">
        <f t="shared" si="107"/>
        <v>60</v>
      </c>
    </row>
    <row r="223" spans="2:45" ht="15.75" customHeight="1">
      <c r="B223" s="227" t="s">
        <v>219</v>
      </c>
      <c r="C223" s="332" t="s">
        <v>2074</v>
      </c>
      <c r="D223" s="399">
        <v>1</v>
      </c>
      <c r="E223" s="332" t="s">
        <v>204</v>
      </c>
      <c r="F223" s="427" t="s">
        <v>2349</v>
      </c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439">
        <v>2</v>
      </c>
      <c r="T223" s="218">
        <v>3</v>
      </c>
      <c r="U223" s="218">
        <v>3</v>
      </c>
      <c r="V223" s="218">
        <v>6</v>
      </c>
      <c r="W223" s="218">
        <v>6</v>
      </c>
      <c r="X223" s="218">
        <v>5</v>
      </c>
      <c r="Y223" s="218">
        <v>3</v>
      </c>
      <c r="Z223" s="218">
        <v>4</v>
      </c>
      <c r="AA223" s="218">
        <v>6</v>
      </c>
      <c r="AB223" s="218">
        <v>6</v>
      </c>
      <c r="AC223" s="218">
        <v>10</v>
      </c>
      <c r="AD223" s="440">
        <v>3</v>
      </c>
      <c r="AE223" s="439">
        <v>5</v>
      </c>
      <c r="AF223" s="218">
        <v>1</v>
      </c>
      <c r="AG223" s="218">
        <v>3</v>
      </c>
      <c r="AH223" s="218">
        <v>5</v>
      </c>
      <c r="AI223" s="218">
        <v>4</v>
      </c>
      <c r="AJ223" s="218">
        <v>6</v>
      </c>
      <c r="AK223" s="218">
        <v>1</v>
      </c>
      <c r="AL223" s="218">
        <v>3</v>
      </c>
      <c r="AM223" s="218">
        <v>5</v>
      </c>
      <c r="AN223" s="218">
        <v>6</v>
      </c>
      <c r="AO223" s="218">
        <v>4</v>
      </c>
      <c r="AP223" s="218">
        <v>1</v>
      </c>
      <c r="AQ223" s="430"/>
      <c r="AR223" s="221">
        <f t="shared" si="106"/>
        <v>57</v>
      </c>
      <c r="AS223" s="221">
        <f t="shared" si="107"/>
        <v>44</v>
      </c>
    </row>
    <row r="224" spans="2:45" ht="15.75" customHeight="1">
      <c r="B224" s="227" t="s">
        <v>219</v>
      </c>
      <c r="C224" s="332" t="s">
        <v>2075</v>
      </c>
      <c r="D224" s="399">
        <v>1</v>
      </c>
      <c r="E224" s="332" t="s">
        <v>204</v>
      </c>
      <c r="F224" s="427" t="s">
        <v>2349</v>
      </c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439">
        <v>9</v>
      </c>
      <c r="T224" s="218">
        <v>6</v>
      </c>
      <c r="U224" s="218">
        <v>10</v>
      </c>
      <c r="V224" s="218">
        <v>10</v>
      </c>
      <c r="W224" s="218">
        <v>11</v>
      </c>
      <c r="X224" s="218">
        <v>10</v>
      </c>
      <c r="Y224" s="218">
        <v>6</v>
      </c>
      <c r="Z224" s="218">
        <v>10</v>
      </c>
      <c r="AA224" s="218">
        <v>6</v>
      </c>
      <c r="AB224" s="218">
        <v>14</v>
      </c>
      <c r="AC224" s="218">
        <v>14</v>
      </c>
      <c r="AD224" s="440">
        <v>9</v>
      </c>
      <c r="AE224" s="439">
        <v>4</v>
      </c>
      <c r="AF224" s="218">
        <v>9</v>
      </c>
      <c r="AG224" s="218">
        <v>11</v>
      </c>
      <c r="AH224" s="218">
        <v>9</v>
      </c>
      <c r="AI224" s="218">
        <v>10</v>
      </c>
      <c r="AJ224" s="218">
        <v>10</v>
      </c>
      <c r="AK224" s="218">
        <v>5</v>
      </c>
      <c r="AL224" s="218">
        <v>6</v>
      </c>
      <c r="AM224" s="218">
        <v>6</v>
      </c>
      <c r="AN224" s="218">
        <v>13</v>
      </c>
      <c r="AO224" s="218">
        <v>9</v>
      </c>
      <c r="AP224" s="218">
        <v>3</v>
      </c>
      <c r="AQ224" s="430"/>
      <c r="AR224" s="221">
        <f t="shared" si="106"/>
        <v>115</v>
      </c>
      <c r="AS224" s="221">
        <f t="shared" si="107"/>
        <v>95</v>
      </c>
    </row>
    <row r="225" spans="2:45" ht="15.75" customHeight="1">
      <c r="B225" s="227" t="s">
        <v>219</v>
      </c>
      <c r="C225" s="332" t="s">
        <v>2076</v>
      </c>
      <c r="D225" s="399">
        <v>1</v>
      </c>
      <c r="E225" s="332" t="s">
        <v>204</v>
      </c>
      <c r="F225" s="427" t="s">
        <v>2349</v>
      </c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439">
        <v>1</v>
      </c>
      <c r="T225" s="218">
        <v>2</v>
      </c>
      <c r="U225" s="218">
        <v>6</v>
      </c>
      <c r="V225" s="218">
        <v>3</v>
      </c>
      <c r="W225" s="218">
        <v>3</v>
      </c>
      <c r="X225" s="218">
        <v>5</v>
      </c>
      <c r="Y225" s="218">
        <v>3</v>
      </c>
      <c r="Z225" s="218">
        <v>5</v>
      </c>
      <c r="AA225" s="218">
        <v>4</v>
      </c>
      <c r="AB225" s="218">
        <v>9</v>
      </c>
      <c r="AC225" s="218">
        <v>8</v>
      </c>
      <c r="AD225" s="440">
        <v>3</v>
      </c>
      <c r="AE225" s="439">
        <v>2</v>
      </c>
      <c r="AF225" s="218">
        <v>4</v>
      </c>
      <c r="AG225" s="218">
        <v>4</v>
      </c>
      <c r="AH225" s="218">
        <v>5</v>
      </c>
      <c r="AI225" s="218">
        <v>2</v>
      </c>
      <c r="AJ225" s="218">
        <v>3</v>
      </c>
      <c r="AK225" s="218">
        <v>1</v>
      </c>
      <c r="AL225" s="218">
        <v>1</v>
      </c>
      <c r="AM225" s="218">
        <v>2</v>
      </c>
      <c r="AN225" s="218">
        <v>5</v>
      </c>
      <c r="AO225" s="218">
        <v>4</v>
      </c>
      <c r="AP225" s="218">
        <v>1</v>
      </c>
      <c r="AQ225" s="430"/>
      <c r="AR225" s="221">
        <f t="shared" si="106"/>
        <v>52</v>
      </c>
      <c r="AS225" s="221">
        <f t="shared" si="107"/>
        <v>34</v>
      </c>
    </row>
    <row r="226" spans="2:45" ht="15.75" customHeight="1">
      <c r="B226" s="227" t="s">
        <v>219</v>
      </c>
      <c r="C226" s="332" t="s">
        <v>2077</v>
      </c>
      <c r="D226" s="399">
        <v>1</v>
      </c>
      <c r="E226" s="332" t="s">
        <v>204</v>
      </c>
      <c r="F226" s="427" t="s">
        <v>2349</v>
      </c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439">
        <v>8</v>
      </c>
      <c r="T226" s="218">
        <v>3</v>
      </c>
      <c r="U226" s="218">
        <v>2</v>
      </c>
      <c r="V226" s="218">
        <v>7</v>
      </c>
      <c r="W226" s="218">
        <v>5</v>
      </c>
      <c r="X226" s="218">
        <v>4</v>
      </c>
      <c r="Y226" s="218">
        <v>2</v>
      </c>
      <c r="Z226" s="218">
        <v>4</v>
      </c>
      <c r="AA226" s="218">
        <v>4</v>
      </c>
      <c r="AB226" s="218">
        <v>9</v>
      </c>
      <c r="AC226" s="218">
        <v>5</v>
      </c>
      <c r="AD226" s="440">
        <v>4</v>
      </c>
      <c r="AE226" s="439">
        <v>4</v>
      </c>
      <c r="AF226" s="218">
        <v>0</v>
      </c>
      <c r="AG226" s="218">
        <v>2</v>
      </c>
      <c r="AH226" s="218">
        <v>6</v>
      </c>
      <c r="AI226" s="218">
        <v>5</v>
      </c>
      <c r="AJ226" s="218">
        <v>1</v>
      </c>
      <c r="AK226" s="218">
        <v>0</v>
      </c>
      <c r="AL226" s="218">
        <v>2</v>
      </c>
      <c r="AM226" s="218">
        <v>1</v>
      </c>
      <c r="AN226" s="218">
        <v>5</v>
      </c>
      <c r="AO226" s="218">
        <v>0</v>
      </c>
      <c r="AP226" s="218">
        <v>0</v>
      </c>
      <c r="AQ226" s="430"/>
      <c r="AR226" s="221">
        <f t="shared" si="106"/>
        <v>57</v>
      </c>
      <c r="AS226" s="221">
        <f t="shared" si="107"/>
        <v>26</v>
      </c>
    </row>
    <row r="227" spans="2:45" ht="15.75" customHeight="1">
      <c r="B227" s="227" t="s">
        <v>219</v>
      </c>
      <c r="C227" s="332" t="s">
        <v>2078</v>
      </c>
      <c r="D227" s="399">
        <v>2</v>
      </c>
      <c r="E227" s="332" t="s">
        <v>2058</v>
      </c>
      <c r="F227" s="427" t="s">
        <v>2058</v>
      </c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439">
        <v>3</v>
      </c>
      <c r="T227" s="218">
        <v>3</v>
      </c>
      <c r="U227" s="218">
        <v>18</v>
      </c>
      <c r="V227" s="218">
        <v>17</v>
      </c>
      <c r="W227" s="218">
        <v>12</v>
      </c>
      <c r="X227" s="218">
        <v>7</v>
      </c>
      <c r="Y227" s="218">
        <v>4</v>
      </c>
      <c r="Z227" s="218">
        <v>4</v>
      </c>
      <c r="AA227" s="218">
        <v>7</v>
      </c>
      <c r="AB227" s="218">
        <v>16</v>
      </c>
      <c r="AC227" s="218">
        <v>18</v>
      </c>
      <c r="AD227" s="440">
        <v>8</v>
      </c>
      <c r="AE227" s="439">
        <v>2</v>
      </c>
      <c r="AF227" s="218">
        <v>1</v>
      </c>
      <c r="AG227" s="218">
        <v>11</v>
      </c>
      <c r="AH227" s="218">
        <v>6</v>
      </c>
      <c r="AI227" s="218">
        <v>10</v>
      </c>
      <c r="AJ227" s="218">
        <v>4</v>
      </c>
      <c r="AK227" s="218">
        <v>4</v>
      </c>
      <c r="AL227" s="218">
        <v>4</v>
      </c>
      <c r="AM227" s="218">
        <v>5</v>
      </c>
      <c r="AN227" s="218">
        <v>11</v>
      </c>
      <c r="AO227" s="218">
        <v>14</v>
      </c>
      <c r="AP227" s="218">
        <v>0</v>
      </c>
      <c r="AQ227" s="430"/>
      <c r="AR227" s="221">
        <f t="shared" si="106"/>
        <v>117</v>
      </c>
      <c r="AS227" s="221">
        <f t="shared" si="107"/>
        <v>72</v>
      </c>
    </row>
    <row r="228" spans="2:45" ht="15.75" customHeight="1">
      <c r="B228" s="227" t="s">
        <v>219</v>
      </c>
      <c r="C228" s="332" t="s">
        <v>2169</v>
      </c>
      <c r="D228" s="399">
        <v>1</v>
      </c>
      <c r="E228" s="332" t="s">
        <v>2058</v>
      </c>
      <c r="F228" s="427" t="s">
        <v>2058</v>
      </c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439">
        <v>6</v>
      </c>
      <c r="T228" s="218">
        <v>3</v>
      </c>
      <c r="U228" s="218">
        <v>11</v>
      </c>
      <c r="V228" s="218">
        <v>14</v>
      </c>
      <c r="W228" s="218">
        <v>10</v>
      </c>
      <c r="X228" s="218">
        <v>6</v>
      </c>
      <c r="Y228" s="218">
        <v>11</v>
      </c>
      <c r="Z228" s="218">
        <v>5</v>
      </c>
      <c r="AA228" s="218">
        <v>5</v>
      </c>
      <c r="AB228" s="218">
        <v>12</v>
      </c>
      <c r="AC228" s="218">
        <v>10</v>
      </c>
      <c r="AD228" s="440">
        <v>7</v>
      </c>
      <c r="AE228" s="439">
        <v>4</v>
      </c>
      <c r="AF228" s="218">
        <v>0</v>
      </c>
      <c r="AG228" s="218">
        <v>13</v>
      </c>
      <c r="AH228" s="218">
        <v>9</v>
      </c>
      <c r="AI228" s="218">
        <v>7</v>
      </c>
      <c r="AJ228" s="218">
        <v>4</v>
      </c>
      <c r="AK228" s="218">
        <v>3</v>
      </c>
      <c r="AL228" s="218">
        <v>5</v>
      </c>
      <c r="AM228" s="218">
        <v>2</v>
      </c>
      <c r="AN228" s="218">
        <v>6</v>
      </c>
      <c r="AO228" s="218">
        <v>10</v>
      </c>
      <c r="AP228" s="218">
        <v>3</v>
      </c>
      <c r="AQ228" s="430"/>
      <c r="AR228" s="221">
        <f t="shared" si="106"/>
        <v>100</v>
      </c>
      <c r="AS228" s="221">
        <f t="shared" si="107"/>
        <v>66</v>
      </c>
    </row>
    <row r="229" spans="2:45" ht="15.75" customHeight="1">
      <c r="B229" s="227" t="s">
        <v>219</v>
      </c>
      <c r="C229" s="332" t="s">
        <v>2080</v>
      </c>
      <c r="D229" s="399">
        <v>2</v>
      </c>
      <c r="E229" s="332" t="s">
        <v>2058</v>
      </c>
      <c r="F229" s="427" t="s">
        <v>2058</v>
      </c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439">
        <v>0</v>
      </c>
      <c r="T229" s="218">
        <v>0</v>
      </c>
      <c r="U229" s="218">
        <v>0</v>
      </c>
      <c r="V229" s="218">
        <v>0</v>
      </c>
      <c r="W229" s="218">
        <v>0</v>
      </c>
      <c r="X229" s="218">
        <v>0</v>
      </c>
      <c r="Y229" s="218">
        <v>0</v>
      </c>
      <c r="Z229" s="218">
        <v>0</v>
      </c>
      <c r="AA229" s="218">
        <v>0</v>
      </c>
      <c r="AB229" s="218">
        <v>0</v>
      </c>
      <c r="AC229" s="218">
        <v>0</v>
      </c>
      <c r="AD229" s="440">
        <v>0</v>
      </c>
      <c r="AE229" s="439">
        <v>0</v>
      </c>
      <c r="AF229" s="218">
        <v>0</v>
      </c>
      <c r="AG229" s="218">
        <v>0</v>
      </c>
      <c r="AH229" s="218">
        <v>0</v>
      </c>
      <c r="AI229" s="218">
        <v>0</v>
      </c>
      <c r="AJ229" s="218">
        <v>0</v>
      </c>
      <c r="AK229" s="218">
        <v>0</v>
      </c>
      <c r="AL229" s="218">
        <v>0</v>
      </c>
      <c r="AM229" s="218">
        <v>0</v>
      </c>
      <c r="AN229" s="218">
        <v>0</v>
      </c>
      <c r="AO229" s="218">
        <v>0</v>
      </c>
      <c r="AP229" s="218">
        <v>0</v>
      </c>
      <c r="AQ229" s="430"/>
      <c r="AR229" s="221">
        <f t="shared" si="106"/>
        <v>0</v>
      </c>
      <c r="AS229" s="221">
        <f t="shared" si="107"/>
        <v>0</v>
      </c>
    </row>
    <row r="230" spans="2:45" ht="15.75" customHeight="1">
      <c r="B230" s="227" t="s">
        <v>219</v>
      </c>
      <c r="C230" s="332" t="s">
        <v>2081</v>
      </c>
      <c r="D230" s="399">
        <v>1</v>
      </c>
      <c r="E230" s="332" t="s">
        <v>2058</v>
      </c>
      <c r="F230" s="427" t="s">
        <v>2058</v>
      </c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439">
        <v>1</v>
      </c>
      <c r="T230" s="218">
        <v>3</v>
      </c>
      <c r="U230" s="218">
        <v>6</v>
      </c>
      <c r="V230" s="218">
        <v>7</v>
      </c>
      <c r="W230" s="218">
        <v>6</v>
      </c>
      <c r="X230" s="218">
        <v>1</v>
      </c>
      <c r="Y230" s="218">
        <v>0</v>
      </c>
      <c r="Z230" s="218">
        <v>1</v>
      </c>
      <c r="AA230" s="218">
        <v>2</v>
      </c>
      <c r="AB230" s="218">
        <v>7</v>
      </c>
      <c r="AC230" s="218">
        <v>8</v>
      </c>
      <c r="AD230" s="440">
        <v>4</v>
      </c>
      <c r="AE230" s="439">
        <v>4</v>
      </c>
      <c r="AF230" s="218">
        <v>1</v>
      </c>
      <c r="AG230" s="218">
        <v>0</v>
      </c>
      <c r="AH230" s="218">
        <v>1</v>
      </c>
      <c r="AI230" s="218">
        <v>2</v>
      </c>
      <c r="AJ230" s="218">
        <v>1</v>
      </c>
      <c r="AK230" s="218">
        <v>1</v>
      </c>
      <c r="AL230" s="218">
        <v>1</v>
      </c>
      <c r="AM230" s="218">
        <v>2</v>
      </c>
      <c r="AN230" s="218">
        <v>5</v>
      </c>
      <c r="AO230" s="218">
        <v>3</v>
      </c>
      <c r="AP230" s="218">
        <v>4</v>
      </c>
      <c r="AQ230" s="430"/>
      <c r="AR230" s="221">
        <f t="shared" si="106"/>
        <v>46</v>
      </c>
      <c r="AS230" s="221">
        <f t="shared" si="107"/>
        <v>25</v>
      </c>
    </row>
    <row r="231" spans="2:45" ht="15.75" customHeight="1">
      <c r="B231" s="227" t="s">
        <v>219</v>
      </c>
      <c r="C231" s="332" t="s">
        <v>2082</v>
      </c>
      <c r="D231" s="399">
        <v>1</v>
      </c>
      <c r="E231" s="332" t="s">
        <v>2058</v>
      </c>
      <c r="F231" s="427" t="s">
        <v>2058</v>
      </c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439">
        <v>1</v>
      </c>
      <c r="T231" s="218">
        <v>1</v>
      </c>
      <c r="U231" s="218">
        <v>3</v>
      </c>
      <c r="V231" s="218">
        <v>9</v>
      </c>
      <c r="W231" s="218">
        <v>11</v>
      </c>
      <c r="X231" s="218">
        <v>7</v>
      </c>
      <c r="Y231" s="218">
        <v>3</v>
      </c>
      <c r="Z231" s="218">
        <v>1</v>
      </c>
      <c r="AA231" s="218">
        <v>7</v>
      </c>
      <c r="AB231" s="218">
        <v>14</v>
      </c>
      <c r="AC231" s="218">
        <v>11</v>
      </c>
      <c r="AD231" s="440">
        <v>7</v>
      </c>
      <c r="AE231" s="439">
        <v>1</v>
      </c>
      <c r="AF231" s="218">
        <v>2</v>
      </c>
      <c r="AG231" s="218">
        <v>10</v>
      </c>
      <c r="AH231" s="218">
        <v>7</v>
      </c>
      <c r="AI231" s="218">
        <v>6</v>
      </c>
      <c r="AJ231" s="218">
        <v>1</v>
      </c>
      <c r="AK231" s="218">
        <v>2</v>
      </c>
      <c r="AL231" s="218">
        <v>0</v>
      </c>
      <c r="AM231" s="218">
        <v>3</v>
      </c>
      <c r="AN231" s="218">
        <v>8</v>
      </c>
      <c r="AO231" s="218">
        <v>6</v>
      </c>
      <c r="AP231" s="218">
        <v>3</v>
      </c>
      <c r="AQ231" s="430"/>
      <c r="AR231" s="221">
        <f t="shared" si="106"/>
        <v>75</v>
      </c>
      <c r="AS231" s="221">
        <f t="shared" si="107"/>
        <v>49</v>
      </c>
    </row>
    <row r="232" spans="2:45" ht="15.75" customHeight="1">
      <c r="B232" s="227" t="s">
        <v>219</v>
      </c>
      <c r="C232" s="332" t="s">
        <v>2083</v>
      </c>
      <c r="D232" s="399">
        <v>2</v>
      </c>
      <c r="E232" s="332" t="s">
        <v>2058</v>
      </c>
      <c r="F232" s="427" t="s">
        <v>2058</v>
      </c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439">
        <v>5</v>
      </c>
      <c r="T232" s="218">
        <v>4</v>
      </c>
      <c r="U232" s="218">
        <v>14</v>
      </c>
      <c r="V232" s="218">
        <v>8</v>
      </c>
      <c r="W232" s="218">
        <v>5</v>
      </c>
      <c r="X232" s="218">
        <v>3</v>
      </c>
      <c r="Y232" s="218">
        <v>0</v>
      </c>
      <c r="Z232" s="218">
        <v>3</v>
      </c>
      <c r="AA232" s="218">
        <v>8</v>
      </c>
      <c r="AB232" s="218">
        <v>14</v>
      </c>
      <c r="AC232" s="218">
        <v>19</v>
      </c>
      <c r="AD232" s="440">
        <v>8</v>
      </c>
      <c r="AE232" s="439">
        <v>1</v>
      </c>
      <c r="AF232" s="218">
        <v>2</v>
      </c>
      <c r="AG232" s="218">
        <v>1</v>
      </c>
      <c r="AH232" s="218">
        <v>3</v>
      </c>
      <c r="AI232" s="218">
        <v>3</v>
      </c>
      <c r="AJ232" s="218">
        <v>6</v>
      </c>
      <c r="AK232" s="218">
        <v>0</v>
      </c>
      <c r="AL232" s="218">
        <v>3</v>
      </c>
      <c r="AM232" s="218">
        <v>4</v>
      </c>
      <c r="AN232" s="218">
        <v>8</v>
      </c>
      <c r="AO232" s="218">
        <v>7</v>
      </c>
      <c r="AP232" s="218">
        <v>7</v>
      </c>
      <c r="AQ232" s="430"/>
      <c r="AR232" s="221">
        <f t="shared" si="106"/>
        <v>91</v>
      </c>
      <c r="AS232" s="221">
        <f t="shared" si="107"/>
        <v>45</v>
      </c>
    </row>
    <row r="233" spans="2:45" ht="15.75" customHeight="1">
      <c r="B233" s="227" t="s">
        <v>219</v>
      </c>
      <c r="C233" s="332" t="s">
        <v>2084</v>
      </c>
      <c r="D233" s="399">
        <v>1</v>
      </c>
      <c r="E233" s="332" t="s">
        <v>2058</v>
      </c>
      <c r="F233" s="427" t="s">
        <v>2058</v>
      </c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439">
        <v>0</v>
      </c>
      <c r="T233" s="218">
        <v>0</v>
      </c>
      <c r="U233" s="218">
        <v>0</v>
      </c>
      <c r="V233" s="218">
        <v>0</v>
      </c>
      <c r="W233" s="218">
        <v>0</v>
      </c>
      <c r="X233" s="218">
        <v>0</v>
      </c>
      <c r="Y233" s="218">
        <v>0</v>
      </c>
      <c r="Z233" s="218">
        <v>0</v>
      </c>
      <c r="AA233" s="218">
        <v>0</v>
      </c>
      <c r="AB233" s="218">
        <v>0</v>
      </c>
      <c r="AC233" s="218">
        <v>4</v>
      </c>
      <c r="AD233" s="440">
        <v>0</v>
      </c>
      <c r="AE233" s="439">
        <v>2</v>
      </c>
      <c r="AF233" s="218">
        <v>1</v>
      </c>
      <c r="AG233" s="218">
        <v>4</v>
      </c>
      <c r="AH233" s="218">
        <v>2</v>
      </c>
      <c r="AI233" s="218">
        <v>4</v>
      </c>
      <c r="AJ233" s="218">
        <v>1</v>
      </c>
      <c r="AK233" s="218">
        <v>0</v>
      </c>
      <c r="AL233" s="218">
        <v>0</v>
      </c>
      <c r="AM233" s="218">
        <v>2</v>
      </c>
      <c r="AN233" s="218">
        <v>1</v>
      </c>
      <c r="AO233" s="218">
        <v>2</v>
      </c>
      <c r="AP233" s="218">
        <v>0</v>
      </c>
      <c r="AQ233" s="430"/>
      <c r="AR233" s="221">
        <f t="shared" si="106"/>
        <v>4</v>
      </c>
      <c r="AS233" s="221">
        <f t="shared" si="107"/>
        <v>19</v>
      </c>
    </row>
    <row r="234" spans="2:45" ht="15.75" customHeight="1">
      <c r="B234" s="227" t="s">
        <v>219</v>
      </c>
      <c r="C234" s="332" t="s">
        <v>2085</v>
      </c>
      <c r="D234" s="399">
        <v>1</v>
      </c>
      <c r="E234" s="332" t="s">
        <v>2059</v>
      </c>
      <c r="F234" s="427" t="s">
        <v>2059</v>
      </c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439">
        <v>6</v>
      </c>
      <c r="T234" s="218">
        <v>9</v>
      </c>
      <c r="U234" s="218">
        <v>9</v>
      </c>
      <c r="V234" s="218">
        <v>6</v>
      </c>
      <c r="W234" s="218">
        <v>8</v>
      </c>
      <c r="X234" s="218">
        <v>4</v>
      </c>
      <c r="Y234" s="218">
        <v>8</v>
      </c>
      <c r="Z234" s="218">
        <v>5</v>
      </c>
      <c r="AA234" s="218">
        <v>3</v>
      </c>
      <c r="AB234" s="218">
        <v>9</v>
      </c>
      <c r="AC234" s="218">
        <v>9</v>
      </c>
      <c r="AD234" s="440">
        <v>6</v>
      </c>
      <c r="AE234" s="439">
        <v>5</v>
      </c>
      <c r="AF234" s="218">
        <v>6</v>
      </c>
      <c r="AG234" s="218">
        <v>10</v>
      </c>
      <c r="AH234" s="218">
        <v>6</v>
      </c>
      <c r="AI234" s="218">
        <v>9</v>
      </c>
      <c r="AJ234" s="218">
        <v>5</v>
      </c>
      <c r="AK234" s="218">
        <v>4</v>
      </c>
      <c r="AL234" s="218">
        <v>7</v>
      </c>
      <c r="AM234" s="218">
        <v>4</v>
      </c>
      <c r="AN234" s="218">
        <v>4</v>
      </c>
      <c r="AO234" s="218">
        <v>9</v>
      </c>
      <c r="AP234" s="218">
        <v>3</v>
      </c>
      <c r="AQ234" s="430"/>
      <c r="AR234" s="221">
        <f t="shared" si="106"/>
        <v>82</v>
      </c>
      <c r="AS234" s="221">
        <f t="shared" si="107"/>
        <v>72</v>
      </c>
    </row>
    <row r="235" spans="2:45" ht="15.75" customHeight="1">
      <c r="B235" s="227" t="s">
        <v>219</v>
      </c>
      <c r="C235" s="332" t="s">
        <v>2086</v>
      </c>
      <c r="D235" s="399">
        <v>1</v>
      </c>
      <c r="E235" s="332" t="s">
        <v>2059</v>
      </c>
      <c r="F235" s="427" t="s">
        <v>2059</v>
      </c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439">
        <v>6</v>
      </c>
      <c r="T235" s="218">
        <v>7</v>
      </c>
      <c r="U235" s="218">
        <v>4</v>
      </c>
      <c r="V235" s="218">
        <v>4</v>
      </c>
      <c r="W235" s="218">
        <v>7</v>
      </c>
      <c r="X235" s="218">
        <v>6</v>
      </c>
      <c r="Y235" s="218">
        <v>5</v>
      </c>
      <c r="Z235" s="218">
        <v>5</v>
      </c>
      <c r="AA235" s="218">
        <v>1</v>
      </c>
      <c r="AB235" s="218">
        <v>6</v>
      </c>
      <c r="AC235" s="218">
        <v>7</v>
      </c>
      <c r="AD235" s="440">
        <v>9</v>
      </c>
      <c r="AE235" s="439">
        <v>2</v>
      </c>
      <c r="AF235" s="218">
        <v>5</v>
      </c>
      <c r="AG235" s="218">
        <v>4</v>
      </c>
      <c r="AH235" s="218">
        <v>5</v>
      </c>
      <c r="AI235" s="218">
        <v>5</v>
      </c>
      <c r="AJ235" s="218">
        <v>7</v>
      </c>
      <c r="AK235" s="218">
        <v>3</v>
      </c>
      <c r="AL235" s="218">
        <v>3</v>
      </c>
      <c r="AM235" s="218">
        <v>3</v>
      </c>
      <c r="AN235" s="218">
        <v>5</v>
      </c>
      <c r="AO235" s="218">
        <v>4</v>
      </c>
      <c r="AP235" s="218">
        <v>1</v>
      </c>
      <c r="AQ235" s="430"/>
      <c r="AR235" s="221">
        <f t="shared" si="106"/>
        <v>67</v>
      </c>
      <c r="AS235" s="221">
        <f t="shared" si="107"/>
        <v>47</v>
      </c>
    </row>
    <row r="236" spans="2:45" ht="15.75" customHeight="1">
      <c r="B236" s="227" t="s">
        <v>219</v>
      </c>
      <c r="C236" s="332" t="s">
        <v>2170</v>
      </c>
      <c r="D236" s="399">
        <v>1</v>
      </c>
      <c r="E236" s="332" t="s">
        <v>2059</v>
      </c>
      <c r="F236" s="427" t="s">
        <v>2059</v>
      </c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439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440"/>
      <c r="AE236" s="439">
        <v>0</v>
      </c>
      <c r="AF236" s="218">
        <v>0</v>
      </c>
      <c r="AG236" s="218">
        <v>0</v>
      </c>
      <c r="AH236" s="218">
        <v>0</v>
      </c>
      <c r="AI236" s="218">
        <v>0</v>
      </c>
      <c r="AJ236" s="218">
        <v>0</v>
      </c>
      <c r="AK236" s="218">
        <v>0</v>
      </c>
      <c r="AL236" s="218">
        <v>0</v>
      </c>
      <c r="AM236" s="218">
        <v>0</v>
      </c>
      <c r="AN236" s="218">
        <v>0</v>
      </c>
      <c r="AO236" s="218">
        <v>0</v>
      </c>
      <c r="AP236" s="218">
        <v>0</v>
      </c>
      <c r="AQ236" s="430"/>
      <c r="AR236" s="221">
        <f t="shared" si="106"/>
        <v>0</v>
      </c>
      <c r="AS236" s="221">
        <f t="shared" si="107"/>
        <v>0</v>
      </c>
    </row>
    <row r="237" spans="2:45" ht="15.75" customHeight="1">
      <c r="B237" s="227" t="s">
        <v>219</v>
      </c>
      <c r="C237" s="332" t="s">
        <v>2087</v>
      </c>
      <c r="D237" s="399">
        <v>1</v>
      </c>
      <c r="E237" s="332" t="s">
        <v>2059</v>
      </c>
      <c r="F237" s="427" t="s">
        <v>2059</v>
      </c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439">
        <v>5</v>
      </c>
      <c r="T237" s="218">
        <v>7</v>
      </c>
      <c r="U237" s="218">
        <v>5</v>
      </c>
      <c r="V237" s="218">
        <v>7</v>
      </c>
      <c r="W237" s="218">
        <v>4</v>
      </c>
      <c r="X237" s="218">
        <v>6</v>
      </c>
      <c r="Y237" s="218">
        <v>5</v>
      </c>
      <c r="Z237" s="218">
        <v>6</v>
      </c>
      <c r="AA237" s="218">
        <v>2</v>
      </c>
      <c r="AB237" s="218">
        <v>7</v>
      </c>
      <c r="AC237" s="218">
        <v>9</v>
      </c>
      <c r="AD237" s="440">
        <v>5</v>
      </c>
      <c r="AE237" s="439">
        <v>3</v>
      </c>
      <c r="AF237" s="218">
        <v>3</v>
      </c>
      <c r="AG237" s="218">
        <v>4</v>
      </c>
      <c r="AH237" s="218">
        <v>5</v>
      </c>
      <c r="AI237" s="218">
        <v>5</v>
      </c>
      <c r="AJ237" s="218">
        <v>1</v>
      </c>
      <c r="AK237" s="218">
        <v>2</v>
      </c>
      <c r="AL237" s="218">
        <v>3</v>
      </c>
      <c r="AM237" s="218">
        <v>1</v>
      </c>
      <c r="AN237" s="218">
        <v>4</v>
      </c>
      <c r="AO237" s="218">
        <v>1</v>
      </c>
      <c r="AP237" s="218">
        <v>1</v>
      </c>
      <c r="AQ237" s="430"/>
      <c r="AR237" s="221">
        <f t="shared" si="106"/>
        <v>68</v>
      </c>
      <c r="AS237" s="221">
        <f t="shared" si="107"/>
        <v>33</v>
      </c>
    </row>
    <row r="238" spans="2:45" ht="15.75" customHeight="1">
      <c r="B238" s="227" t="s">
        <v>219</v>
      </c>
      <c r="C238" s="332" t="s">
        <v>2088</v>
      </c>
      <c r="D238" s="399">
        <v>1</v>
      </c>
      <c r="E238" s="332" t="s">
        <v>2059</v>
      </c>
      <c r="F238" s="427" t="s">
        <v>2059</v>
      </c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439">
        <v>3</v>
      </c>
      <c r="T238" s="218">
        <v>5</v>
      </c>
      <c r="U238" s="218">
        <v>7</v>
      </c>
      <c r="V238" s="218">
        <v>7</v>
      </c>
      <c r="W238" s="218">
        <v>4</v>
      </c>
      <c r="X238" s="218">
        <v>4</v>
      </c>
      <c r="Y238" s="218">
        <v>6</v>
      </c>
      <c r="Z238" s="218">
        <v>5</v>
      </c>
      <c r="AA238" s="218">
        <v>1</v>
      </c>
      <c r="AB238" s="218">
        <v>11</v>
      </c>
      <c r="AC238" s="218">
        <v>6</v>
      </c>
      <c r="AD238" s="440">
        <v>6</v>
      </c>
      <c r="AE238" s="439">
        <v>5</v>
      </c>
      <c r="AF238" s="218">
        <v>2</v>
      </c>
      <c r="AG238" s="218">
        <v>6</v>
      </c>
      <c r="AH238" s="218">
        <v>4</v>
      </c>
      <c r="AI238" s="218">
        <v>5</v>
      </c>
      <c r="AJ238" s="218">
        <v>4</v>
      </c>
      <c r="AK238" s="218">
        <v>2</v>
      </c>
      <c r="AL238" s="218">
        <v>4</v>
      </c>
      <c r="AM238" s="218">
        <v>1</v>
      </c>
      <c r="AN238" s="218">
        <v>7</v>
      </c>
      <c r="AO238" s="218">
        <v>8</v>
      </c>
      <c r="AP238" s="218">
        <v>4</v>
      </c>
      <c r="AQ238" s="430"/>
      <c r="AR238" s="221">
        <f t="shared" si="106"/>
        <v>65</v>
      </c>
      <c r="AS238" s="221">
        <f t="shared" si="107"/>
        <v>52</v>
      </c>
    </row>
    <row r="239" spans="2:45" ht="15.75" customHeight="1">
      <c r="B239" s="227" t="s">
        <v>219</v>
      </c>
      <c r="C239" s="332" t="s">
        <v>2089</v>
      </c>
      <c r="D239" s="399">
        <v>2</v>
      </c>
      <c r="E239" s="332" t="s">
        <v>2059</v>
      </c>
      <c r="F239" s="427" t="s">
        <v>2059</v>
      </c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439">
        <v>0</v>
      </c>
      <c r="T239" s="218">
        <v>0</v>
      </c>
      <c r="U239" s="218">
        <v>0</v>
      </c>
      <c r="V239" s="218">
        <v>0</v>
      </c>
      <c r="W239" s="218">
        <v>0</v>
      </c>
      <c r="X239" s="218">
        <v>2</v>
      </c>
      <c r="Y239" s="218">
        <v>1</v>
      </c>
      <c r="Z239" s="218">
        <v>0</v>
      </c>
      <c r="AA239" s="218">
        <v>1</v>
      </c>
      <c r="AB239" s="218">
        <v>6</v>
      </c>
      <c r="AC239" s="218">
        <v>6</v>
      </c>
      <c r="AD239" s="440">
        <v>2</v>
      </c>
      <c r="AE239" s="439">
        <v>2</v>
      </c>
      <c r="AF239" s="218">
        <v>4</v>
      </c>
      <c r="AG239" s="218">
        <v>6</v>
      </c>
      <c r="AH239" s="218">
        <v>8</v>
      </c>
      <c r="AI239" s="218">
        <v>5</v>
      </c>
      <c r="AJ239" s="218">
        <v>2</v>
      </c>
      <c r="AK239" s="218">
        <v>2</v>
      </c>
      <c r="AL239" s="218">
        <v>4</v>
      </c>
      <c r="AM239" s="218">
        <v>5</v>
      </c>
      <c r="AN239" s="218">
        <v>7</v>
      </c>
      <c r="AO239" s="218">
        <v>6</v>
      </c>
      <c r="AP239" s="218">
        <v>5</v>
      </c>
      <c r="AQ239" s="430"/>
      <c r="AR239" s="221">
        <f t="shared" si="106"/>
        <v>18</v>
      </c>
      <c r="AS239" s="221">
        <f t="shared" si="107"/>
        <v>56</v>
      </c>
    </row>
    <row r="240" spans="2:45" ht="15.75" customHeight="1">
      <c r="B240" s="227" t="s">
        <v>219</v>
      </c>
      <c r="C240" s="332" t="s">
        <v>2090</v>
      </c>
      <c r="D240" s="399">
        <v>2</v>
      </c>
      <c r="E240" s="332" t="s">
        <v>2059</v>
      </c>
      <c r="F240" s="427" t="s">
        <v>2059</v>
      </c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439">
        <v>13</v>
      </c>
      <c r="T240" s="218">
        <v>17</v>
      </c>
      <c r="U240" s="218">
        <v>19</v>
      </c>
      <c r="V240" s="218">
        <v>17</v>
      </c>
      <c r="W240" s="218">
        <v>10</v>
      </c>
      <c r="X240" s="218">
        <v>11</v>
      </c>
      <c r="Y240" s="218">
        <v>8</v>
      </c>
      <c r="Z240" s="218">
        <v>9</v>
      </c>
      <c r="AA240" s="218">
        <v>13</v>
      </c>
      <c r="AB240" s="218">
        <v>25</v>
      </c>
      <c r="AC240" s="218">
        <v>22</v>
      </c>
      <c r="AD240" s="440">
        <v>14</v>
      </c>
      <c r="AE240" s="439">
        <v>6</v>
      </c>
      <c r="AF240" s="218">
        <v>13</v>
      </c>
      <c r="AG240" s="218">
        <v>14</v>
      </c>
      <c r="AH240" s="218">
        <v>12</v>
      </c>
      <c r="AI240" s="218">
        <v>16</v>
      </c>
      <c r="AJ240" s="218">
        <v>14</v>
      </c>
      <c r="AK240" s="218">
        <v>7</v>
      </c>
      <c r="AL240" s="218">
        <v>5</v>
      </c>
      <c r="AM240" s="218">
        <v>12</v>
      </c>
      <c r="AN240" s="218">
        <v>16</v>
      </c>
      <c r="AO240" s="218">
        <v>17</v>
      </c>
      <c r="AP240" s="218">
        <v>7</v>
      </c>
      <c r="AQ240" s="430"/>
      <c r="AR240" s="221">
        <f t="shared" si="106"/>
        <v>178</v>
      </c>
      <c r="AS240" s="221">
        <f t="shared" si="107"/>
        <v>139</v>
      </c>
    </row>
    <row r="241" spans="2:45" ht="15.75" customHeight="1">
      <c r="B241" s="227" t="s">
        <v>219</v>
      </c>
      <c r="C241" s="332" t="s">
        <v>2091</v>
      </c>
      <c r="D241" s="399">
        <v>1</v>
      </c>
      <c r="E241" s="332" t="s">
        <v>2059</v>
      </c>
      <c r="F241" s="427" t="s">
        <v>2059</v>
      </c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439">
        <v>0</v>
      </c>
      <c r="T241" s="218">
        <v>0</v>
      </c>
      <c r="U241" s="218">
        <v>0</v>
      </c>
      <c r="V241" s="218">
        <v>0</v>
      </c>
      <c r="W241" s="218">
        <v>0</v>
      </c>
      <c r="X241" s="218">
        <v>0</v>
      </c>
      <c r="Y241" s="218">
        <v>0</v>
      </c>
      <c r="Z241" s="218">
        <v>0</v>
      </c>
      <c r="AA241" s="218">
        <v>0</v>
      </c>
      <c r="AB241" s="218">
        <v>0</v>
      </c>
      <c r="AC241" s="218">
        <v>0</v>
      </c>
      <c r="AD241" s="440">
        <v>0</v>
      </c>
      <c r="AE241" s="439">
        <v>0</v>
      </c>
      <c r="AF241" s="218">
        <v>0</v>
      </c>
      <c r="AG241" s="218">
        <v>0</v>
      </c>
      <c r="AH241" s="218">
        <v>0</v>
      </c>
      <c r="AI241" s="218">
        <v>2</v>
      </c>
      <c r="AJ241" s="218">
        <v>0</v>
      </c>
      <c r="AK241" s="218">
        <v>0</v>
      </c>
      <c r="AL241" s="218">
        <v>0</v>
      </c>
      <c r="AM241" s="218">
        <v>2</v>
      </c>
      <c r="AN241" s="218">
        <v>1</v>
      </c>
      <c r="AO241" s="218">
        <v>0</v>
      </c>
      <c r="AP241" s="218">
        <v>0</v>
      </c>
      <c r="AQ241" s="430"/>
      <c r="AR241" s="221">
        <f t="shared" si="106"/>
        <v>0</v>
      </c>
      <c r="AS241" s="221">
        <f t="shared" si="107"/>
        <v>5</v>
      </c>
    </row>
    <row r="242" spans="2:45" ht="15.75" customHeight="1">
      <c r="B242" s="227" t="s">
        <v>219</v>
      </c>
      <c r="C242" s="332" t="s">
        <v>2092</v>
      </c>
      <c r="D242" s="399">
        <v>1</v>
      </c>
      <c r="E242" s="332" t="s">
        <v>2060</v>
      </c>
      <c r="F242" s="427" t="s">
        <v>2060</v>
      </c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439">
        <v>13</v>
      </c>
      <c r="T242" s="218">
        <v>13</v>
      </c>
      <c r="U242" s="218">
        <v>17</v>
      </c>
      <c r="V242" s="218">
        <v>16</v>
      </c>
      <c r="W242" s="218">
        <v>17</v>
      </c>
      <c r="X242" s="218">
        <v>17</v>
      </c>
      <c r="Y242" s="218">
        <v>19</v>
      </c>
      <c r="Z242" s="218">
        <v>17</v>
      </c>
      <c r="AA242" s="218">
        <v>20</v>
      </c>
      <c r="AB242" s="218">
        <v>24</v>
      </c>
      <c r="AC242" s="218">
        <v>23</v>
      </c>
      <c r="AD242" s="440">
        <v>17</v>
      </c>
      <c r="AE242" s="439">
        <v>11</v>
      </c>
      <c r="AF242" s="218">
        <v>9</v>
      </c>
      <c r="AG242" s="218">
        <v>15</v>
      </c>
      <c r="AH242" s="218">
        <v>17</v>
      </c>
      <c r="AI242" s="218">
        <v>23</v>
      </c>
      <c r="AJ242" s="218">
        <v>25</v>
      </c>
      <c r="AK242" s="218">
        <v>12</v>
      </c>
      <c r="AL242" s="218">
        <v>15</v>
      </c>
      <c r="AM242" s="218">
        <v>19</v>
      </c>
      <c r="AN242" s="218">
        <v>19</v>
      </c>
      <c r="AO242" s="218">
        <v>14</v>
      </c>
      <c r="AP242" s="218">
        <v>12</v>
      </c>
      <c r="AQ242" s="430"/>
      <c r="AR242" s="221">
        <f t="shared" si="106"/>
        <v>213</v>
      </c>
      <c r="AS242" s="221">
        <f t="shared" si="107"/>
        <v>191</v>
      </c>
    </row>
    <row r="243" spans="2:45" ht="15.75" customHeight="1">
      <c r="B243" s="431" t="s">
        <v>219</v>
      </c>
      <c r="C243" s="432" t="s">
        <v>2093</v>
      </c>
      <c r="D243" s="433">
        <v>1</v>
      </c>
      <c r="E243" s="434" t="s">
        <v>204</v>
      </c>
      <c r="F243" s="435" t="s">
        <v>2349</v>
      </c>
      <c r="G243" s="441"/>
      <c r="H243" s="441"/>
      <c r="I243" s="441"/>
      <c r="J243" s="441"/>
      <c r="K243" s="441"/>
      <c r="L243" s="441"/>
      <c r="M243" s="441"/>
      <c r="N243" s="441"/>
      <c r="O243" s="441"/>
      <c r="P243" s="441"/>
      <c r="Q243" s="441"/>
      <c r="R243" s="441"/>
      <c r="S243" s="442">
        <v>0</v>
      </c>
      <c r="T243" s="441">
        <v>0</v>
      </c>
      <c r="U243" s="441">
        <v>0</v>
      </c>
      <c r="V243" s="441">
        <v>0</v>
      </c>
      <c r="W243" s="441">
        <v>0</v>
      </c>
      <c r="X243" s="441">
        <v>0</v>
      </c>
      <c r="Y243" s="441">
        <v>0</v>
      </c>
      <c r="Z243" s="441">
        <v>0</v>
      </c>
      <c r="AA243" s="441">
        <v>0</v>
      </c>
      <c r="AB243" s="441">
        <v>0</v>
      </c>
      <c r="AC243" s="441">
        <v>0</v>
      </c>
      <c r="AD243" s="443">
        <v>0</v>
      </c>
      <c r="AE243" s="442">
        <v>0</v>
      </c>
      <c r="AF243" s="441">
        <v>0</v>
      </c>
      <c r="AG243" s="441">
        <v>0</v>
      </c>
      <c r="AH243" s="441">
        <v>0</v>
      </c>
      <c r="AI243" s="441">
        <v>0</v>
      </c>
      <c r="AJ243" s="441">
        <v>1</v>
      </c>
      <c r="AK243" s="441">
        <v>0</v>
      </c>
      <c r="AL243" s="441">
        <v>0</v>
      </c>
      <c r="AM243" s="441">
        <v>0</v>
      </c>
      <c r="AN243" s="441">
        <v>0</v>
      </c>
      <c r="AO243" s="441">
        <v>0</v>
      </c>
      <c r="AP243" s="441">
        <v>0</v>
      </c>
      <c r="AQ243" s="430"/>
      <c r="AR243" s="221">
        <f t="shared" si="106"/>
        <v>0</v>
      </c>
      <c r="AS243" s="221">
        <f t="shared" si="107"/>
        <v>1</v>
      </c>
    </row>
    <row r="244" spans="2:45" ht="15.75" customHeight="1">
      <c r="B244" s="227" t="s">
        <v>220</v>
      </c>
      <c r="C244" s="332" t="s">
        <v>2061</v>
      </c>
      <c r="D244" s="399">
        <v>1</v>
      </c>
      <c r="E244" s="332" t="s">
        <v>204</v>
      </c>
      <c r="F244" s="427" t="s">
        <v>2347</v>
      </c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439">
        <v>3</v>
      </c>
      <c r="T244" s="218">
        <v>1</v>
      </c>
      <c r="U244" s="218">
        <v>3</v>
      </c>
      <c r="V244" s="218">
        <v>5</v>
      </c>
      <c r="W244" s="218">
        <v>3</v>
      </c>
      <c r="X244" s="218">
        <v>2</v>
      </c>
      <c r="Y244" s="218">
        <v>3</v>
      </c>
      <c r="Z244" s="218">
        <v>1</v>
      </c>
      <c r="AA244" s="218">
        <v>1</v>
      </c>
      <c r="AB244" s="218">
        <v>2</v>
      </c>
      <c r="AC244" s="218">
        <v>4</v>
      </c>
      <c r="AD244" s="440">
        <v>1</v>
      </c>
      <c r="AE244" s="439">
        <v>3</v>
      </c>
      <c r="AF244" s="218">
        <v>0</v>
      </c>
      <c r="AG244" s="218">
        <v>3</v>
      </c>
      <c r="AH244" s="218">
        <v>3</v>
      </c>
      <c r="AI244" s="218">
        <v>4</v>
      </c>
      <c r="AJ244" s="218">
        <v>1</v>
      </c>
      <c r="AK244" s="218">
        <v>1</v>
      </c>
      <c r="AL244" s="218">
        <v>0</v>
      </c>
      <c r="AM244" s="218">
        <v>1</v>
      </c>
      <c r="AN244" s="218">
        <v>6</v>
      </c>
      <c r="AO244" s="218">
        <v>5</v>
      </c>
      <c r="AP244" s="218">
        <v>3</v>
      </c>
      <c r="AQ244" s="430"/>
      <c r="AR244" s="221">
        <f t="shared" si="106"/>
        <v>29</v>
      </c>
      <c r="AS244" s="221">
        <f t="shared" si="107"/>
        <v>30</v>
      </c>
    </row>
    <row r="245" spans="2:45" ht="15.75" customHeight="1">
      <c r="B245" s="227" t="s">
        <v>220</v>
      </c>
      <c r="C245" s="332" t="s">
        <v>2062</v>
      </c>
      <c r="D245" s="399">
        <v>2</v>
      </c>
      <c r="E245" s="332" t="s">
        <v>204</v>
      </c>
      <c r="F245" s="427" t="s">
        <v>2347</v>
      </c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439">
        <v>0</v>
      </c>
      <c r="T245" s="218">
        <v>1</v>
      </c>
      <c r="U245" s="218">
        <v>4</v>
      </c>
      <c r="V245" s="218">
        <v>1</v>
      </c>
      <c r="W245" s="218">
        <v>3</v>
      </c>
      <c r="X245" s="218">
        <v>3</v>
      </c>
      <c r="Y245" s="218">
        <v>4</v>
      </c>
      <c r="Z245" s="218">
        <v>1</v>
      </c>
      <c r="AA245" s="218">
        <v>5</v>
      </c>
      <c r="AB245" s="218">
        <v>5</v>
      </c>
      <c r="AC245" s="218">
        <v>3</v>
      </c>
      <c r="AD245" s="440">
        <v>1</v>
      </c>
      <c r="AE245" s="439">
        <v>0</v>
      </c>
      <c r="AF245" s="218">
        <v>0</v>
      </c>
      <c r="AG245" s="218">
        <v>1</v>
      </c>
      <c r="AH245" s="218">
        <v>2</v>
      </c>
      <c r="AI245" s="218">
        <v>3</v>
      </c>
      <c r="AJ245" s="218">
        <v>2</v>
      </c>
      <c r="AK245" s="218">
        <v>1</v>
      </c>
      <c r="AL245" s="218">
        <v>4</v>
      </c>
      <c r="AM245" s="218">
        <v>2</v>
      </c>
      <c r="AN245" s="218">
        <v>6</v>
      </c>
      <c r="AO245" s="218">
        <v>3</v>
      </c>
      <c r="AP245" s="218">
        <v>0</v>
      </c>
      <c r="AQ245" s="430"/>
      <c r="AR245" s="221">
        <f t="shared" si="106"/>
        <v>31</v>
      </c>
      <c r="AS245" s="221">
        <f t="shared" si="107"/>
        <v>24</v>
      </c>
    </row>
    <row r="246" spans="2:45" ht="15.75" customHeight="1">
      <c r="B246" s="227" t="s">
        <v>220</v>
      </c>
      <c r="C246" s="332" t="s">
        <v>2063</v>
      </c>
      <c r="D246" s="399">
        <v>2</v>
      </c>
      <c r="E246" s="332" t="s">
        <v>204</v>
      </c>
      <c r="F246" s="427" t="s">
        <v>2347</v>
      </c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439">
        <v>1</v>
      </c>
      <c r="T246" s="218">
        <v>4</v>
      </c>
      <c r="U246" s="218">
        <v>4</v>
      </c>
      <c r="V246" s="218">
        <v>5</v>
      </c>
      <c r="W246" s="218">
        <v>4</v>
      </c>
      <c r="X246" s="218">
        <v>11</v>
      </c>
      <c r="Y246" s="218">
        <v>5</v>
      </c>
      <c r="Z246" s="218">
        <v>2</v>
      </c>
      <c r="AA246" s="218">
        <v>2</v>
      </c>
      <c r="AB246" s="218">
        <v>8</v>
      </c>
      <c r="AC246" s="218">
        <v>3</v>
      </c>
      <c r="AD246" s="440">
        <v>3</v>
      </c>
      <c r="AE246" s="439">
        <v>3</v>
      </c>
      <c r="AF246" s="218">
        <v>1</v>
      </c>
      <c r="AG246" s="218">
        <v>3</v>
      </c>
      <c r="AH246" s="218">
        <v>3</v>
      </c>
      <c r="AI246" s="218">
        <v>8</v>
      </c>
      <c r="AJ246" s="218">
        <v>5</v>
      </c>
      <c r="AK246" s="218">
        <v>1</v>
      </c>
      <c r="AL246" s="218">
        <v>3</v>
      </c>
      <c r="AM246" s="218">
        <v>1</v>
      </c>
      <c r="AN246" s="218">
        <v>7</v>
      </c>
      <c r="AO246" s="218">
        <v>2</v>
      </c>
      <c r="AP246" s="218">
        <v>4</v>
      </c>
      <c r="AQ246" s="430"/>
      <c r="AR246" s="221">
        <f t="shared" si="106"/>
        <v>52</v>
      </c>
      <c r="AS246" s="221">
        <f t="shared" si="107"/>
        <v>41</v>
      </c>
    </row>
    <row r="247" spans="2:45" ht="15.75" customHeight="1">
      <c r="B247" s="227" t="s">
        <v>220</v>
      </c>
      <c r="C247" s="332" t="s">
        <v>2064</v>
      </c>
      <c r="D247" s="399">
        <v>1</v>
      </c>
      <c r="E247" s="332" t="s">
        <v>204</v>
      </c>
      <c r="F247" s="427" t="s">
        <v>2347</v>
      </c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439">
        <v>3</v>
      </c>
      <c r="T247" s="218">
        <v>3</v>
      </c>
      <c r="U247" s="218">
        <v>8</v>
      </c>
      <c r="V247" s="218">
        <v>4</v>
      </c>
      <c r="W247" s="218">
        <v>7</v>
      </c>
      <c r="X247" s="218">
        <v>7</v>
      </c>
      <c r="Y247" s="218">
        <v>5</v>
      </c>
      <c r="Z247" s="218">
        <v>5</v>
      </c>
      <c r="AA247" s="218">
        <v>2</v>
      </c>
      <c r="AB247" s="218">
        <v>8</v>
      </c>
      <c r="AC247" s="218">
        <v>9</v>
      </c>
      <c r="AD247" s="440">
        <v>7</v>
      </c>
      <c r="AE247" s="439">
        <v>5</v>
      </c>
      <c r="AF247" s="218">
        <v>5</v>
      </c>
      <c r="AG247" s="218">
        <v>9</v>
      </c>
      <c r="AH247" s="218">
        <v>5</v>
      </c>
      <c r="AI247" s="218">
        <v>8</v>
      </c>
      <c r="AJ247" s="218">
        <v>7</v>
      </c>
      <c r="AK247" s="218">
        <v>4</v>
      </c>
      <c r="AL247" s="218">
        <v>6</v>
      </c>
      <c r="AM247" s="218">
        <v>4</v>
      </c>
      <c r="AN247" s="218">
        <v>11</v>
      </c>
      <c r="AO247" s="218">
        <v>8</v>
      </c>
      <c r="AP247" s="218">
        <v>3</v>
      </c>
      <c r="AQ247" s="430"/>
      <c r="AR247" s="221">
        <f t="shared" si="106"/>
        <v>68</v>
      </c>
      <c r="AS247" s="221">
        <f t="shared" si="107"/>
        <v>75</v>
      </c>
    </row>
    <row r="248" spans="2:45" ht="15.75" customHeight="1">
      <c r="B248" s="227" t="s">
        <v>220</v>
      </c>
      <c r="C248" s="332" t="s">
        <v>2065</v>
      </c>
      <c r="D248" s="399">
        <v>1</v>
      </c>
      <c r="E248" s="332" t="s">
        <v>204</v>
      </c>
      <c r="F248" s="427" t="s">
        <v>2347</v>
      </c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439">
        <v>2</v>
      </c>
      <c r="T248" s="218">
        <v>2</v>
      </c>
      <c r="U248" s="218">
        <v>2</v>
      </c>
      <c r="V248" s="218">
        <v>3</v>
      </c>
      <c r="W248" s="218">
        <v>2</v>
      </c>
      <c r="X248" s="218">
        <v>2</v>
      </c>
      <c r="Y248" s="218">
        <v>1</v>
      </c>
      <c r="Z248" s="218">
        <v>0</v>
      </c>
      <c r="AA248" s="218">
        <v>0</v>
      </c>
      <c r="AB248" s="218">
        <v>3</v>
      </c>
      <c r="AC248" s="218">
        <v>2</v>
      </c>
      <c r="AD248" s="440">
        <v>0</v>
      </c>
      <c r="AE248" s="439">
        <v>0</v>
      </c>
      <c r="AF248" s="218">
        <v>2</v>
      </c>
      <c r="AG248" s="218">
        <v>1</v>
      </c>
      <c r="AH248" s="218">
        <v>0</v>
      </c>
      <c r="AI248" s="218">
        <v>3</v>
      </c>
      <c r="AJ248" s="218">
        <v>3</v>
      </c>
      <c r="AK248" s="218">
        <v>0</v>
      </c>
      <c r="AL248" s="218">
        <v>0</v>
      </c>
      <c r="AM248" s="218">
        <v>0</v>
      </c>
      <c r="AN248" s="218">
        <v>3</v>
      </c>
      <c r="AO248" s="218">
        <v>2</v>
      </c>
      <c r="AP248" s="218">
        <v>2</v>
      </c>
      <c r="AQ248" s="430"/>
      <c r="AR248" s="221">
        <f t="shared" si="106"/>
        <v>19</v>
      </c>
      <c r="AS248" s="221">
        <f t="shared" si="107"/>
        <v>16</v>
      </c>
    </row>
    <row r="249" spans="2:45" ht="15.75" customHeight="1">
      <c r="B249" s="227" t="s">
        <v>220</v>
      </c>
      <c r="C249" s="332" t="s">
        <v>2066</v>
      </c>
      <c r="D249" s="399">
        <v>1</v>
      </c>
      <c r="E249" s="332" t="s">
        <v>204</v>
      </c>
      <c r="F249" s="427" t="s">
        <v>2348</v>
      </c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439">
        <v>5</v>
      </c>
      <c r="T249" s="218">
        <v>6</v>
      </c>
      <c r="U249" s="218">
        <v>9</v>
      </c>
      <c r="V249" s="218">
        <v>6</v>
      </c>
      <c r="W249" s="218">
        <v>4</v>
      </c>
      <c r="X249" s="218">
        <v>9</v>
      </c>
      <c r="Y249" s="218">
        <v>12</v>
      </c>
      <c r="Z249" s="218">
        <v>6</v>
      </c>
      <c r="AA249" s="218">
        <v>8</v>
      </c>
      <c r="AB249" s="218">
        <v>8</v>
      </c>
      <c r="AC249" s="218">
        <v>10</v>
      </c>
      <c r="AD249" s="440">
        <v>1</v>
      </c>
      <c r="AE249" s="439">
        <v>5</v>
      </c>
      <c r="AF249" s="218">
        <v>6</v>
      </c>
      <c r="AG249" s="218">
        <v>5</v>
      </c>
      <c r="AH249" s="218">
        <v>6</v>
      </c>
      <c r="AI249" s="218">
        <v>9</v>
      </c>
      <c r="AJ249" s="218">
        <v>6</v>
      </c>
      <c r="AK249" s="218">
        <v>5</v>
      </c>
      <c r="AL249" s="218">
        <v>5</v>
      </c>
      <c r="AM249" s="218">
        <v>6</v>
      </c>
      <c r="AN249" s="218">
        <v>8</v>
      </c>
      <c r="AO249" s="218">
        <v>7</v>
      </c>
      <c r="AP249" s="218">
        <v>6</v>
      </c>
      <c r="AQ249" s="430"/>
      <c r="AR249" s="221">
        <f t="shared" si="106"/>
        <v>84</v>
      </c>
      <c r="AS249" s="221">
        <f t="shared" si="107"/>
        <v>74</v>
      </c>
    </row>
    <row r="250" spans="2:45" ht="15.75" customHeight="1">
      <c r="B250" s="227" t="s">
        <v>220</v>
      </c>
      <c r="C250" s="332" t="s">
        <v>2067</v>
      </c>
      <c r="D250" s="399">
        <v>1</v>
      </c>
      <c r="E250" s="332" t="s">
        <v>204</v>
      </c>
      <c r="F250" s="427" t="s">
        <v>2348</v>
      </c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439">
        <v>1</v>
      </c>
      <c r="T250" s="218">
        <v>0</v>
      </c>
      <c r="U250" s="218">
        <v>0</v>
      </c>
      <c r="V250" s="218">
        <v>1</v>
      </c>
      <c r="W250" s="218">
        <v>1</v>
      </c>
      <c r="X250" s="218">
        <v>1</v>
      </c>
      <c r="Y250" s="218">
        <v>1</v>
      </c>
      <c r="Z250" s="218">
        <v>4</v>
      </c>
      <c r="AA250" s="218">
        <v>1</v>
      </c>
      <c r="AB250" s="218">
        <v>5</v>
      </c>
      <c r="AC250" s="218">
        <v>6</v>
      </c>
      <c r="AD250" s="440">
        <v>0</v>
      </c>
      <c r="AE250" s="439">
        <v>1</v>
      </c>
      <c r="AF250" s="218">
        <v>2</v>
      </c>
      <c r="AG250" s="218">
        <v>2</v>
      </c>
      <c r="AH250" s="218">
        <v>3</v>
      </c>
      <c r="AI250" s="218">
        <v>1</v>
      </c>
      <c r="AJ250" s="218">
        <v>2</v>
      </c>
      <c r="AK250" s="218">
        <v>1</v>
      </c>
      <c r="AL250" s="218">
        <v>2</v>
      </c>
      <c r="AM250" s="218">
        <v>2</v>
      </c>
      <c r="AN250" s="218">
        <v>3</v>
      </c>
      <c r="AO250" s="218">
        <v>1</v>
      </c>
      <c r="AP250" s="218">
        <v>0</v>
      </c>
      <c r="AQ250" s="430"/>
      <c r="AR250" s="221">
        <f t="shared" si="106"/>
        <v>21</v>
      </c>
      <c r="AS250" s="221">
        <f t="shared" si="107"/>
        <v>20</v>
      </c>
    </row>
    <row r="251" spans="2:45" ht="15.75" customHeight="1">
      <c r="B251" s="227" t="s">
        <v>220</v>
      </c>
      <c r="C251" s="332" t="s">
        <v>2068</v>
      </c>
      <c r="D251" s="399">
        <v>2</v>
      </c>
      <c r="E251" s="332" t="s">
        <v>204</v>
      </c>
      <c r="F251" s="427" t="s">
        <v>2348</v>
      </c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439">
        <v>2</v>
      </c>
      <c r="T251" s="218">
        <v>1</v>
      </c>
      <c r="U251" s="218">
        <v>4</v>
      </c>
      <c r="V251" s="218">
        <v>5</v>
      </c>
      <c r="W251" s="218">
        <v>4</v>
      </c>
      <c r="X251" s="218">
        <v>6</v>
      </c>
      <c r="Y251" s="218">
        <v>3</v>
      </c>
      <c r="Z251" s="218">
        <v>3</v>
      </c>
      <c r="AA251" s="218">
        <v>3</v>
      </c>
      <c r="AB251" s="218">
        <v>8</v>
      </c>
      <c r="AC251" s="218">
        <v>13</v>
      </c>
      <c r="AD251" s="440">
        <v>4</v>
      </c>
      <c r="AE251" s="439">
        <v>4</v>
      </c>
      <c r="AF251" s="218">
        <v>1</v>
      </c>
      <c r="AG251" s="218">
        <v>3</v>
      </c>
      <c r="AH251" s="218">
        <v>2</v>
      </c>
      <c r="AI251" s="218">
        <v>3</v>
      </c>
      <c r="AJ251" s="218">
        <v>6</v>
      </c>
      <c r="AK251" s="218">
        <v>1</v>
      </c>
      <c r="AL251" s="218">
        <v>3</v>
      </c>
      <c r="AM251" s="218">
        <v>7</v>
      </c>
      <c r="AN251" s="218">
        <v>9</v>
      </c>
      <c r="AO251" s="218">
        <v>12</v>
      </c>
      <c r="AP251" s="218">
        <v>4</v>
      </c>
      <c r="AQ251" s="430"/>
      <c r="AR251" s="221">
        <f t="shared" si="106"/>
        <v>56</v>
      </c>
      <c r="AS251" s="221">
        <f t="shared" si="107"/>
        <v>55</v>
      </c>
    </row>
    <row r="252" spans="2:45" ht="15.75" customHeight="1">
      <c r="B252" s="227" t="s">
        <v>220</v>
      </c>
      <c r="C252" s="332" t="s">
        <v>2069</v>
      </c>
      <c r="D252" s="399">
        <v>1</v>
      </c>
      <c r="E252" s="332" t="s">
        <v>204</v>
      </c>
      <c r="F252" s="427" t="s">
        <v>2348</v>
      </c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439">
        <v>2</v>
      </c>
      <c r="T252" s="218">
        <v>1</v>
      </c>
      <c r="U252" s="218">
        <v>3</v>
      </c>
      <c r="V252" s="218">
        <v>7</v>
      </c>
      <c r="W252" s="218">
        <v>2</v>
      </c>
      <c r="X252" s="218">
        <v>4</v>
      </c>
      <c r="Y252" s="218">
        <v>3</v>
      </c>
      <c r="Z252" s="218">
        <v>4</v>
      </c>
      <c r="AA252" s="218">
        <v>4</v>
      </c>
      <c r="AB252" s="218">
        <v>4</v>
      </c>
      <c r="AC252" s="218">
        <v>9</v>
      </c>
      <c r="AD252" s="440">
        <v>3</v>
      </c>
      <c r="AE252" s="439">
        <v>0</v>
      </c>
      <c r="AF252" s="218">
        <v>3</v>
      </c>
      <c r="AG252" s="218">
        <v>3</v>
      </c>
      <c r="AH252" s="218">
        <v>3</v>
      </c>
      <c r="AI252" s="218">
        <v>7</v>
      </c>
      <c r="AJ252" s="218">
        <v>6</v>
      </c>
      <c r="AK252" s="218">
        <v>3</v>
      </c>
      <c r="AL252" s="218">
        <v>4</v>
      </c>
      <c r="AM252" s="218">
        <v>5</v>
      </c>
      <c r="AN252" s="218">
        <v>4</v>
      </c>
      <c r="AO252" s="218">
        <v>12</v>
      </c>
      <c r="AP252" s="218">
        <v>3</v>
      </c>
      <c r="AQ252" s="430"/>
      <c r="AR252" s="221">
        <f t="shared" si="106"/>
        <v>46</v>
      </c>
      <c r="AS252" s="221">
        <f t="shared" si="107"/>
        <v>53</v>
      </c>
    </row>
    <row r="253" spans="2:45" ht="15.75" customHeight="1">
      <c r="B253" s="227" t="s">
        <v>220</v>
      </c>
      <c r="C253" s="332" t="s">
        <v>2070</v>
      </c>
      <c r="D253" s="399">
        <v>1</v>
      </c>
      <c r="E253" s="332" t="s">
        <v>204</v>
      </c>
      <c r="F253" s="427" t="s">
        <v>2348</v>
      </c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439">
        <v>4</v>
      </c>
      <c r="T253" s="218">
        <v>6</v>
      </c>
      <c r="U253" s="218">
        <v>13</v>
      </c>
      <c r="V253" s="218">
        <v>14</v>
      </c>
      <c r="W253" s="218">
        <v>15</v>
      </c>
      <c r="X253" s="218">
        <v>15</v>
      </c>
      <c r="Y253" s="218">
        <v>11</v>
      </c>
      <c r="Z253" s="218">
        <v>10</v>
      </c>
      <c r="AA253" s="218">
        <v>12</v>
      </c>
      <c r="AB253" s="218">
        <v>13</v>
      </c>
      <c r="AC253" s="218">
        <v>15</v>
      </c>
      <c r="AD253" s="440">
        <v>9</v>
      </c>
      <c r="AE253" s="439">
        <v>3</v>
      </c>
      <c r="AF253" s="218">
        <v>7</v>
      </c>
      <c r="AG253" s="218">
        <v>11</v>
      </c>
      <c r="AH253" s="218">
        <v>14</v>
      </c>
      <c r="AI253" s="218">
        <v>13</v>
      </c>
      <c r="AJ253" s="218">
        <v>8</v>
      </c>
      <c r="AK253" s="218">
        <v>7</v>
      </c>
      <c r="AL253" s="218">
        <v>7</v>
      </c>
      <c r="AM253" s="218">
        <v>12</v>
      </c>
      <c r="AN253" s="218">
        <v>14</v>
      </c>
      <c r="AO253" s="218">
        <v>16</v>
      </c>
      <c r="AP253" s="218">
        <v>4</v>
      </c>
      <c r="AQ253" s="430"/>
      <c r="AR253" s="221">
        <f t="shared" si="106"/>
        <v>137</v>
      </c>
      <c r="AS253" s="221">
        <f t="shared" si="107"/>
        <v>116</v>
      </c>
    </row>
    <row r="254" spans="2:45" ht="15.75" customHeight="1">
      <c r="B254" s="227" t="s">
        <v>220</v>
      </c>
      <c r="C254" s="332" t="s">
        <v>2071</v>
      </c>
      <c r="D254" s="399">
        <v>2</v>
      </c>
      <c r="E254" s="332" t="s">
        <v>204</v>
      </c>
      <c r="F254" s="427" t="s">
        <v>2348</v>
      </c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439">
        <v>0</v>
      </c>
      <c r="T254" s="218">
        <v>0</v>
      </c>
      <c r="U254" s="218">
        <v>0</v>
      </c>
      <c r="V254" s="218">
        <v>0</v>
      </c>
      <c r="W254" s="218">
        <v>0</v>
      </c>
      <c r="X254" s="218">
        <v>0</v>
      </c>
      <c r="Y254" s="218">
        <v>0</v>
      </c>
      <c r="Z254" s="218">
        <v>0</v>
      </c>
      <c r="AA254" s="218">
        <v>0</v>
      </c>
      <c r="AB254" s="218">
        <v>0</v>
      </c>
      <c r="AC254" s="218">
        <v>0</v>
      </c>
      <c r="AD254" s="440">
        <v>0</v>
      </c>
      <c r="AE254" s="439">
        <v>0</v>
      </c>
      <c r="AF254" s="218">
        <v>0</v>
      </c>
      <c r="AG254" s="218">
        <v>3</v>
      </c>
      <c r="AH254" s="218">
        <v>3</v>
      </c>
      <c r="AI254" s="218">
        <v>4</v>
      </c>
      <c r="AJ254" s="218">
        <v>0</v>
      </c>
      <c r="AK254" s="218">
        <v>0</v>
      </c>
      <c r="AL254" s="218">
        <v>2</v>
      </c>
      <c r="AM254" s="218">
        <v>2</v>
      </c>
      <c r="AN254" s="218">
        <v>4</v>
      </c>
      <c r="AO254" s="218">
        <v>3</v>
      </c>
      <c r="AP254" s="218">
        <v>1</v>
      </c>
      <c r="AQ254" s="430"/>
      <c r="AR254" s="221">
        <f t="shared" si="106"/>
        <v>0</v>
      </c>
      <c r="AS254" s="221">
        <f t="shared" si="107"/>
        <v>22</v>
      </c>
    </row>
    <row r="255" spans="2:45" ht="15.75" customHeight="1">
      <c r="B255" s="227" t="s">
        <v>220</v>
      </c>
      <c r="C255" s="332" t="s">
        <v>2072</v>
      </c>
      <c r="D255" s="399">
        <v>1</v>
      </c>
      <c r="E255" s="332" t="s">
        <v>204</v>
      </c>
      <c r="F255" s="427" t="s">
        <v>2348</v>
      </c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439">
        <v>0</v>
      </c>
      <c r="T255" s="218">
        <v>0</v>
      </c>
      <c r="U255" s="218">
        <v>1</v>
      </c>
      <c r="V255" s="218">
        <v>1</v>
      </c>
      <c r="W255" s="218">
        <v>6</v>
      </c>
      <c r="X255" s="218">
        <v>4</v>
      </c>
      <c r="Y255" s="218">
        <v>0</v>
      </c>
      <c r="Z255" s="218">
        <v>1</v>
      </c>
      <c r="AA255" s="218">
        <v>3</v>
      </c>
      <c r="AB255" s="218">
        <v>4</v>
      </c>
      <c r="AC255" s="218">
        <v>5</v>
      </c>
      <c r="AD255" s="440">
        <v>6</v>
      </c>
      <c r="AE255" s="439">
        <v>0</v>
      </c>
      <c r="AF255" s="218">
        <v>0</v>
      </c>
      <c r="AG255" s="218">
        <v>3</v>
      </c>
      <c r="AH255" s="218">
        <v>4</v>
      </c>
      <c r="AI255" s="218">
        <v>5</v>
      </c>
      <c r="AJ255" s="218">
        <v>1</v>
      </c>
      <c r="AK255" s="218">
        <v>4</v>
      </c>
      <c r="AL255" s="218">
        <v>0</v>
      </c>
      <c r="AM255" s="218">
        <v>3</v>
      </c>
      <c r="AN255" s="218">
        <v>3</v>
      </c>
      <c r="AO255" s="218">
        <v>2</v>
      </c>
      <c r="AP255" s="218">
        <v>0</v>
      </c>
      <c r="AQ255" s="430"/>
      <c r="AR255" s="221">
        <f t="shared" si="106"/>
        <v>31</v>
      </c>
      <c r="AS255" s="221">
        <f t="shared" si="107"/>
        <v>25</v>
      </c>
    </row>
    <row r="256" spans="2:45" ht="15.75" customHeight="1">
      <c r="B256" s="227" t="s">
        <v>220</v>
      </c>
      <c r="C256" s="332" t="s">
        <v>2073</v>
      </c>
      <c r="D256" s="399">
        <v>1</v>
      </c>
      <c r="E256" s="332" t="s">
        <v>204</v>
      </c>
      <c r="F256" s="427" t="s">
        <v>2349</v>
      </c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439">
        <v>2</v>
      </c>
      <c r="T256" s="218">
        <v>3</v>
      </c>
      <c r="U256" s="218">
        <v>5</v>
      </c>
      <c r="V256" s="218">
        <v>7</v>
      </c>
      <c r="W256" s="218">
        <v>6</v>
      </c>
      <c r="X256" s="218">
        <v>3</v>
      </c>
      <c r="Y256" s="218">
        <v>2</v>
      </c>
      <c r="Z256" s="218">
        <v>5</v>
      </c>
      <c r="AA256" s="218">
        <v>3</v>
      </c>
      <c r="AB256" s="218">
        <v>7</v>
      </c>
      <c r="AC256" s="218">
        <v>6</v>
      </c>
      <c r="AD256" s="440">
        <v>3</v>
      </c>
      <c r="AE256" s="439">
        <v>4</v>
      </c>
      <c r="AF256" s="218">
        <v>0</v>
      </c>
      <c r="AG256" s="218">
        <v>5</v>
      </c>
      <c r="AH256" s="218">
        <v>3</v>
      </c>
      <c r="AI256" s="218">
        <v>2</v>
      </c>
      <c r="AJ256" s="218">
        <v>3</v>
      </c>
      <c r="AK256" s="218">
        <v>2</v>
      </c>
      <c r="AL256" s="218">
        <v>3</v>
      </c>
      <c r="AM256" s="218">
        <v>3</v>
      </c>
      <c r="AN256" s="218">
        <v>8</v>
      </c>
      <c r="AO256" s="218">
        <v>5</v>
      </c>
      <c r="AP256" s="218">
        <v>2</v>
      </c>
      <c r="AQ256" s="430"/>
      <c r="AR256" s="221">
        <f t="shared" si="106"/>
        <v>52</v>
      </c>
      <c r="AS256" s="221">
        <f t="shared" si="107"/>
        <v>40</v>
      </c>
    </row>
    <row r="257" spans="2:45" ht="15.75" customHeight="1">
      <c r="B257" s="227" t="s">
        <v>220</v>
      </c>
      <c r="C257" s="332" t="s">
        <v>2074</v>
      </c>
      <c r="D257" s="399">
        <v>1</v>
      </c>
      <c r="E257" s="332" t="s">
        <v>204</v>
      </c>
      <c r="F257" s="427" t="s">
        <v>2349</v>
      </c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439">
        <v>2</v>
      </c>
      <c r="T257" s="218">
        <v>3</v>
      </c>
      <c r="U257" s="218">
        <v>2</v>
      </c>
      <c r="V257" s="218">
        <v>5</v>
      </c>
      <c r="W257" s="218">
        <v>5</v>
      </c>
      <c r="X257" s="218">
        <v>2</v>
      </c>
      <c r="Y257" s="218">
        <v>2</v>
      </c>
      <c r="Z257" s="218">
        <v>1</v>
      </c>
      <c r="AA257" s="218">
        <v>4</v>
      </c>
      <c r="AB257" s="218">
        <v>3</v>
      </c>
      <c r="AC257" s="218">
        <v>5</v>
      </c>
      <c r="AD257" s="440">
        <v>3</v>
      </c>
      <c r="AE257" s="439">
        <v>3</v>
      </c>
      <c r="AF257" s="218">
        <v>0</v>
      </c>
      <c r="AG257" s="218">
        <v>1</v>
      </c>
      <c r="AH257" s="218">
        <v>2</v>
      </c>
      <c r="AI257" s="218">
        <v>1</v>
      </c>
      <c r="AJ257" s="218">
        <v>3</v>
      </c>
      <c r="AK257" s="218">
        <v>0</v>
      </c>
      <c r="AL257" s="218">
        <v>3</v>
      </c>
      <c r="AM257" s="218">
        <v>2</v>
      </c>
      <c r="AN257" s="218">
        <v>4</v>
      </c>
      <c r="AO257" s="218">
        <v>2</v>
      </c>
      <c r="AP257" s="218">
        <v>2</v>
      </c>
      <c r="AQ257" s="430"/>
      <c r="AR257" s="221">
        <f t="shared" si="106"/>
        <v>37</v>
      </c>
      <c r="AS257" s="221">
        <f t="shared" si="107"/>
        <v>23</v>
      </c>
    </row>
    <row r="258" spans="2:45" ht="15.75" customHeight="1">
      <c r="B258" s="227" t="s">
        <v>220</v>
      </c>
      <c r="C258" s="332" t="s">
        <v>2075</v>
      </c>
      <c r="D258" s="399">
        <v>1</v>
      </c>
      <c r="E258" s="332" t="s">
        <v>204</v>
      </c>
      <c r="F258" s="427" t="s">
        <v>2349</v>
      </c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439">
        <v>4</v>
      </c>
      <c r="T258" s="218">
        <v>3</v>
      </c>
      <c r="U258" s="218">
        <v>3</v>
      </c>
      <c r="V258" s="218">
        <v>7</v>
      </c>
      <c r="W258" s="218">
        <v>10</v>
      </c>
      <c r="X258" s="218">
        <v>7</v>
      </c>
      <c r="Y258" s="218">
        <v>3</v>
      </c>
      <c r="Z258" s="218">
        <v>6</v>
      </c>
      <c r="AA258" s="218">
        <v>4</v>
      </c>
      <c r="AB258" s="218">
        <v>9</v>
      </c>
      <c r="AC258" s="218">
        <v>11</v>
      </c>
      <c r="AD258" s="440">
        <v>8</v>
      </c>
      <c r="AE258" s="439">
        <v>4</v>
      </c>
      <c r="AF258" s="218">
        <v>6</v>
      </c>
      <c r="AG258" s="218">
        <v>10</v>
      </c>
      <c r="AH258" s="218">
        <v>5</v>
      </c>
      <c r="AI258" s="218">
        <v>8</v>
      </c>
      <c r="AJ258" s="218">
        <v>11</v>
      </c>
      <c r="AK258" s="218">
        <v>6</v>
      </c>
      <c r="AL258" s="218">
        <v>5</v>
      </c>
      <c r="AM258" s="218">
        <v>3</v>
      </c>
      <c r="AN258" s="218">
        <v>8</v>
      </c>
      <c r="AO258" s="218">
        <v>7</v>
      </c>
      <c r="AP258" s="218">
        <v>3</v>
      </c>
      <c r="AQ258" s="430"/>
      <c r="AR258" s="221">
        <f t="shared" si="106"/>
        <v>75</v>
      </c>
      <c r="AS258" s="221">
        <f t="shared" si="107"/>
        <v>76</v>
      </c>
    </row>
    <row r="259" spans="2:45" ht="15.75" customHeight="1">
      <c r="B259" s="227" t="s">
        <v>220</v>
      </c>
      <c r="C259" s="332" t="s">
        <v>2076</v>
      </c>
      <c r="D259" s="399">
        <v>1</v>
      </c>
      <c r="E259" s="332" t="s">
        <v>204</v>
      </c>
      <c r="F259" s="427" t="s">
        <v>2349</v>
      </c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439">
        <v>0</v>
      </c>
      <c r="T259" s="218">
        <v>2</v>
      </c>
      <c r="U259" s="218">
        <v>3</v>
      </c>
      <c r="V259" s="218">
        <v>2</v>
      </c>
      <c r="W259" s="218">
        <v>3</v>
      </c>
      <c r="X259" s="218">
        <v>3</v>
      </c>
      <c r="Y259" s="218">
        <v>3</v>
      </c>
      <c r="Z259" s="218">
        <v>4</v>
      </c>
      <c r="AA259" s="218">
        <v>2</v>
      </c>
      <c r="AB259" s="218">
        <v>6</v>
      </c>
      <c r="AC259" s="218">
        <v>4</v>
      </c>
      <c r="AD259" s="440">
        <v>2</v>
      </c>
      <c r="AE259" s="439">
        <v>1</v>
      </c>
      <c r="AF259" s="218">
        <v>3</v>
      </c>
      <c r="AG259" s="218">
        <v>2</v>
      </c>
      <c r="AH259" s="218">
        <v>3</v>
      </c>
      <c r="AI259" s="218">
        <v>2</v>
      </c>
      <c r="AJ259" s="218">
        <v>2</v>
      </c>
      <c r="AK259" s="218">
        <v>1</v>
      </c>
      <c r="AL259" s="218">
        <v>1</v>
      </c>
      <c r="AM259" s="218">
        <v>1</v>
      </c>
      <c r="AN259" s="218">
        <v>5</v>
      </c>
      <c r="AO259" s="218">
        <v>3</v>
      </c>
      <c r="AP259" s="218">
        <v>1</v>
      </c>
      <c r="AQ259" s="430"/>
      <c r="AR259" s="221">
        <f t="shared" si="106"/>
        <v>34</v>
      </c>
      <c r="AS259" s="221">
        <f t="shared" si="107"/>
        <v>25</v>
      </c>
    </row>
    <row r="260" spans="2:45" ht="15.75" customHeight="1">
      <c r="B260" s="227" t="s">
        <v>220</v>
      </c>
      <c r="C260" s="332" t="s">
        <v>2077</v>
      </c>
      <c r="D260" s="399">
        <v>1</v>
      </c>
      <c r="E260" s="332" t="s">
        <v>204</v>
      </c>
      <c r="F260" s="427" t="s">
        <v>2349</v>
      </c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439">
        <v>4</v>
      </c>
      <c r="T260" s="218">
        <v>1</v>
      </c>
      <c r="U260" s="218">
        <v>1</v>
      </c>
      <c r="V260" s="218">
        <v>4</v>
      </c>
      <c r="W260" s="218">
        <v>4</v>
      </c>
      <c r="X260" s="218">
        <v>2</v>
      </c>
      <c r="Y260" s="218">
        <v>2</v>
      </c>
      <c r="Z260" s="218">
        <v>3</v>
      </c>
      <c r="AA260" s="218">
        <v>1</v>
      </c>
      <c r="AB260" s="218">
        <v>3</v>
      </c>
      <c r="AC260" s="218">
        <v>1</v>
      </c>
      <c r="AD260" s="440">
        <v>2</v>
      </c>
      <c r="AE260" s="439">
        <v>3</v>
      </c>
      <c r="AF260" s="218">
        <v>0</v>
      </c>
      <c r="AG260" s="218">
        <v>4</v>
      </c>
      <c r="AH260" s="218">
        <v>2</v>
      </c>
      <c r="AI260" s="218">
        <v>6</v>
      </c>
      <c r="AJ260" s="218">
        <v>1</v>
      </c>
      <c r="AK260" s="218">
        <v>0</v>
      </c>
      <c r="AL260" s="218">
        <v>1</v>
      </c>
      <c r="AM260" s="218">
        <v>1</v>
      </c>
      <c r="AN260" s="218">
        <v>3</v>
      </c>
      <c r="AO260" s="218">
        <v>1</v>
      </c>
      <c r="AP260" s="218">
        <v>0</v>
      </c>
      <c r="AQ260" s="430"/>
      <c r="AR260" s="221">
        <f t="shared" si="106"/>
        <v>28</v>
      </c>
      <c r="AS260" s="221">
        <f t="shared" si="107"/>
        <v>22</v>
      </c>
    </row>
    <row r="261" spans="2:45" ht="15.75" customHeight="1">
      <c r="B261" s="227" t="s">
        <v>220</v>
      </c>
      <c r="C261" s="332" t="s">
        <v>2078</v>
      </c>
      <c r="D261" s="399">
        <v>2</v>
      </c>
      <c r="E261" s="332" t="s">
        <v>2058</v>
      </c>
      <c r="F261" s="427" t="s">
        <v>2058</v>
      </c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439">
        <v>1</v>
      </c>
      <c r="T261" s="218">
        <v>2</v>
      </c>
      <c r="U261" s="218">
        <v>10</v>
      </c>
      <c r="V261" s="218">
        <v>5</v>
      </c>
      <c r="W261" s="218">
        <v>8</v>
      </c>
      <c r="X261" s="218">
        <v>4</v>
      </c>
      <c r="Y261" s="218">
        <v>2</v>
      </c>
      <c r="Z261" s="218">
        <v>1</v>
      </c>
      <c r="AA261" s="218">
        <v>7</v>
      </c>
      <c r="AB261" s="218">
        <v>12</v>
      </c>
      <c r="AC261" s="218">
        <v>17</v>
      </c>
      <c r="AD261" s="440">
        <v>6</v>
      </c>
      <c r="AE261" s="439">
        <v>1</v>
      </c>
      <c r="AF261" s="218">
        <v>1</v>
      </c>
      <c r="AG261" s="218">
        <v>12</v>
      </c>
      <c r="AH261" s="218">
        <v>5</v>
      </c>
      <c r="AI261" s="218">
        <v>9</v>
      </c>
      <c r="AJ261" s="218">
        <v>3</v>
      </c>
      <c r="AK261" s="218">
        <v>3</v>
      </c>
      <c r="AL261" s="218">
        <v>3</v>
      </c>
      <c r="AM261" s="218">
        <v>5</v>
      </c>
      <c r="AN261" s="218">
        <v>11</v>
      </c>
      <c r="AO261" s="218">
        <v>11</v>
      </c>
      <c r="AP261" s="218">
        <v>0</v>
      </c>
      <c r="AQ261" s="430"/>
      <c r="AR261" s="221">
        <f t="shared" si="106"/>
        <v>75</v>
      </c>
      <c r="AS261" s="221">
        <f t="shared" si="107"/>
        <v>64</v>
      </c>
    </row>
    <row r="262" spans="2:45" ht="15.75" customHeight="1">
      <c r="B262" s="227" t="s">
        <v>220</v>
      </c>
      <c r="C262" s="332" t="s">
        <v>2169</v>
      </c>
      <c r="D262" s="399">
        <v>1</v>
      </c>
      <c r="E262" s="332" t="s">
        <v>2058</v>
      </c>
      <c r="F262" s="427" t="s">
        <v>2058</v>
      </c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439">
        <v>1</v>
      </c>
      <c r="T262" s="218">
        <v>2</v>
      </c>
      <c r="U262" s="218">
        <v>4</v>
      </c>
      <c r="V262" s="218">
        <v>5</v>
      </c>
      <c r="W262" s="218">
        <v>6</v>
      </c>
      <c r="X262" s="218">
        <v>5</v>
      </c>
      <c r="Y262" s="218">
        <v>7</v>
      </c>
      <c r="Z262" s="218">
        <v>4</v>
      </c>
      <c r="AA262" s="218">
        <v>6</v>
      </c>
      <c r="AB262" s="218">
        <v>12</v>
      </c>
      <c r="AC262" s="218">
        <v>9</v>
      </c>
      <c r="AD262" s="440">
        <v>6</v>
      </c>
      <c r="AE262" s="439">
        <v>5</v>
      </c>
      <c r="AF262" s="218">
        <v>0</v>
      </c>
      <c r="AG262" s="218">
        <v>10</v>
      </c>
      <c r="AH262" s="218">
        <v>9</v>
      </c>
      <c r="AI262" s="218">
        <v>7</v>
      </c>
      <c r="AJ262" s="218">
        <v>4</v>
      </c>
      <c r="AK262" s="218">
        <v>3</v>
      </c>
      <c r="AL262" s="218">
        <v>4</v>
      </c>
      <c r="AM262" s="218">
        <v>1</v>
      </c>
      <c r="AN262" s="218">
        <v>6</v>
      </c>
      <c r="AO262" s="218">
        <v>8</v>
      </c>
      <c r="AP262" s="218">
        <v>3</v>
      </c>
      <c r="AQ262" s="430"/>
      <c r="AR262" s="221">
        <f t="shared" si="106"/>
        <v>67</v>
      </c>
      <c r="AS262" s="221">
        <f t="shared" si="107"/>
        <v>60</v>
      </c>
    </row>
    <row r="263" spans="2:45" ht="15.75" customHeight="1">
      <c r="B263" s="227" t="s">
        <v>220</v>
      </c>
      <c r="C263" s="332" t="s">
        <v>2080</v>
      </c>
      <c r="D263" s="399">
        <v>2</v>
      </c>
      <c r="E263" s="332" t="s">
        <v>2058</v>
      </c>
      <c r="F263" s="427" t="s">
        <v>2058</v>
      </c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439">
        <v>0</v>
      </c>
      <c r="T263" s="218">
        <v>0</v>
      </c>
      <c r="U263" s="218">
        <v>0</v>
      </c>
      <c r="V263" s="218">
        <v>0</v>
      </c>
      <c r="W263" s="218">
        <v>0</v>
      </c>
      <c r="X263" s="218">
        <v>0</v>
      </c>
      <c r="Y263" s="218">
        <v>0</v>
      </c>
      <c r="Z263" s="218">
        <v>0</v>
      </c>
      <c r="AA263" s="218">
        <v>0</v>
      </c>
      <c r="AB263" s="218">
        <v>0</v>
      </c>
      <c r="AC263" s="218">
        <v>0</v>
      </c>
      <c r="AD263" s="440">
        <v>0</v>
      </c>
      <c r="AE263" s="439">
        <v>0</v>
      </c>
      <c r="AF263" s="218">
        <v>0</v>
      </c>
      <c r="AG263" s="218">
        <v>0</v>
      </c>
      <c r="AH263" s="218">
        <v>0</v>
      </c>
      <c r="AI263" s="218">
        <v>0</v>
      </c>
      <c r="AJ263" s="218">
        <v>0</v>
      </c>
      <c r="AK263" s="218">
        <v>0</v>
      </c>
      <c r="AL263" s="218">
        <v>0</v>
      </c>
      <c r="AM263" s="218">
        <v>0</v>
      </c>
      <c r="AN263" s="218">
        <v>0</v>
      </c>
      <c r="AO263" s="218">
        <v>0</v>
      </c>
      <c r="AP263" s="218">
        <v>0</v>
      </c>
      <c r="AQ263" s="430"/>
      <c r="AR263" s="221">
        <f t="shared" si="106"/>
        <v>0</v>
      </c>
      <c r="AS263" s="221">
        <f t="shared" si="107"/>
        <v>0</v>
      </c>
    </row>
    <row r="264" spans="2:45" ht="15.75" customHeight="1">
      <c r="B264" s="227" t="s">
        <v>220</v>
      </c>
      <c r="C264" s="332" t="s">
        <v>2081</v>
      </c>
      <c r="D264" s="399">
        <v>1</v>
      </c>
      <c r="E264" s="332" t="s">
        <v>2058</v>
      </c>
      <c r="F264" s="427" t="s">
        <v>2058</v>
      </c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439">
        <v>1</v>
      </c>
      <c r="T264" s="218">
        <v>0</v>
      </c>
      <c r="U264" s="218">
        <v>0</v>
      </c>
      <c r="V264" s="218">
        <v>4</v>
      </c>
      <c r="W264" s="218">
        <v>1</v>
      </c>
      <c r="X264" s="218">
        <v>1</v>
      </c>
      <c r="Y264" s="218">
        <v>0</v>
      </c>
      <c r="Z264" s="218">
        <v>1</v>
      </c>
      <c r="AA264" s="218">
        <v>1</v>
      </c>
      <c r="AB264" s="218">
        <v>2</v>
      </c>
      <c r="AC264" s="218">
        <v>7</v>
      </c>
      <c r="AD264" s="440">
        <v>3</v>
      </c>
      <c r="AE264" s="439">
        <v>4</v>
      </c>
      <c r="AF264" s="218">
        <v>1</v>
      </c>
      <c r="AG264" s="218">
        <v>0</v>
      </c>
      <c r="AH264" s="218">
        <v>0</v>
      </c>
      <c r="AI264" s="218">
        <v>5</v>
      </c>
      <c r="AJ264" s="218">
        <v>0</v>
      </c>
      <c r="AK264" s="218">
        <v>1</v>
      </c>
      <c r="AL264" s="218">
        <v>1</v>
      </c>
      <c r="AM264" s="218">
        <v>2</v>
      </c>
      <c r="AN264" s="218">
        <v>3</v>
      </c>
      <c r="AO264" s="218">
        <v>1</v>
      </c>
      <c r="AP264" s="218">
        <v>1</v>
      </c>
      <c r="AQ264" s="430"/>
      <c r="AR264" s="221">
        <f t="shared" si="106"/>
        <v>21</v>
      </c>
      <c r="AS264" s="221">
        <f t="shared" si="107"/>
        <v>19</v>
      </c>
    </row>
    <row r="265" spans="2:45" ht="15.75" customHeight="1">
      <c r="B265" s="227" t="s">
        <v>220</v>
      </c>
      <c r="C265" s="332" t="s">
        <v>2082</v>
      </c>
      <c r="D265" s="399">
        <v>1</v>
      </c>
      <c r="E265" s="332" t="s">
        <v>2058</v>
      </c>
      <c r="F265" s="427" t="s">
        <v>2058</v>
      </c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439">
        <v>1</v>
      </c>
      <c r="T265" s="218">
        <v>0</v>
      </c>
      <c r="U265" s="218">
        <v>2</v>
      </c>
      <c r="V265" s="218">
        <v>4</v>
      </c>
      <c r="W265" s="218">
        <v>5</v>
      </c>
      <c r="X265" s="218">
        <v>7</v>
      </c>
      <c r="Y265" s="218">
        <v>2</v>
      </c>
      <c r="Z265" s="218">
        <v>1</v>
      </c>
      <c r="AA265" s="218">
        <v>5</v>
      </c>
      <c r="AB265" s="218">
        <v>12</v>
      </c>
      <c r="AC265" s="218">
        <v>10</v>
      </c>
      <c r="AD265" s="440">
        <v>6</v>
      </c>
      <c r="AE265" s="439">
        <v>2</v>
      </c>
      <c r="AF265" s="218">
        <v>1</v>
      </c>
      <c r="AG265" s="218">
        <v>8</v>
      </c>
      <c r="AH265" s="218">
        <v>7</v>
      </c>
      <c r="AI265" s="218">
        <v>4</v>
      </c>
      <c r="AJ265" s="218">
        <v>0</v>
      </c>
      <c r="AK265" s="218">
        <v>2</v>
      </c>
      <c r="AL265" s="218">
        <v>0</v>
      </c>
      <c r="AM265" s="218">
        <v>3</v>
      </c>
      <c r="AN265" s="218">
        <v>6</v>
      </c>
      <c r="AO265" s="218">
        <v>6</v>
      </c>
      <c r="AP265" s="218">
        <v>4</v>
      </c>
      <c r="AQ265" s="430"/>
      <c r="AR265" s="221">
        <f t="shared" si="106"/>
        <v>55</v>
      </c>
      <c r="AS265" s="221">
        <f t="shared" si="107"/>
        <v>43</v>
      </c>
    </row>
    <row r="266" spans="2:45" ht="15.75" customHeight="1">
      <c r="B266" s="227" t="s">
        <v>220</v>
      </c>
      <c r="C266" s="332" t="s">
        <v>2083</v>
      </c>
      <c r="D266" s="399">
        <v>2</v>
      </c>
      <c r="E266" s="332" t="s">
        <v>2058</v>
      </c>
      <c r="F266" s="427" t="s">
        <v>2058</v>
      </c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439">
        <v>1</v>
      </c>
      <c r="T266" s="218">
        <v>1</v>
      </c>
      <c r="U266" s="218">
        <v>9</v>
      </c>
      <c r="V266" s="218">
        <v>3</v>
      </c>
      <c r="W266" s="218">
        <v>5</v>
      </c>
      <c r="X266" s="218">
        <v>3</v>
      </c>
      <c r="Y266" s="218">
        <v>0</v>
      </c>
      <c r="Z266" s="218">
        <v>3</v>
      </c>
      <c r="AA266" s="218">
        <v>8</v>
      </c>
      <c r="AB266" s="218">
        <v>10</v>
      </c>
      <c r="AC266" s="218">
        <v>17</v>
      </c>
      <c r="AD266" s="440">
        <v>6</v>
      </c>
      <c r="AE266" s="439">
        <v>0</v>
      </c>
      <c r="AF266" s="218">
        <v>0</v>
      </c>
      <c r="AG266" s="218">
        <v>2</v>
      </c>
      <c r="AH266" s="218">
        <v>2</v>
      </c>
      <c r="AI266" s="218">
        <v>3</v>
      </c>
      <c r="AJ266" s="218">
        <v>5</v>
      </c>
      <c r="AK266" s="218">
        <v>0</v>
      </c>
      <c r="AL266" s="218">
        <v>2</v>
      </c>
      <c r="AM266" s="218">
        <v>4</v>
      </c>
      <c r="AN266" s="218">
        <v>8</v>
      </c>
      <c r="AO266" s="218">
        <v>7</v>
      </c>
      <c r="AP266" s="218">
        <v>5</v>
      </c>
      <c r="AQ266" s="430"/>
      <c r="AR266" s="221">
        <f t="shared" si="106"/>
        <v>66</v>
      </c>
      <c r="AS266" s="221">
        <f t="shared" si="107"/>
        <v>38</v>
      </c>
    </row>
    <row r="267" spans="2:45" ht="15.75" customHeight="1">
      <c r="B267" s="227" t="s">
        <v>220</v>
      </c>
      <c r="C267" s="332" t="s">
        <v>2084</v>
      </c>
      <c r="D267" s="399">
        <v>1</v>
      </c>
      <c r="E267" s="332" t="s">
        <v>2058</v>
      </c>
      <c r="F267" s="427" t="s">
        <v>2058</v>
      </c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439">
        <v>0</v>
      </c>
      <c r="T267" s="218">
        <v>0</v>
      </c>
      <c r="U267" s="218">
        <v>0</v>
      </c>
      <c r="V267" s="218">
        <v>0</v>
      </c>
      <c r="W267" s="218">
        <v>0</v>
      </c>
      <c r="X267" s="218">
        <v>0</v>
      </c>
      <c r="Y267" s="218">
        <v>0</v>
      </c>
      <c r="Z267" s="218">
        <v>0</v>
      </c>
      <c r="AA267" s="218">
        <v>0</v>
      </c>
      <c r="AB267" s="218">
        <v>0</v>
      </c>
      <c r="AC267" s="218">
        <v>3</v>
      </c>
      <c r="AD267" s="440">
        <v>0</v>
      </c>
      <c r="AE267" s="439">
        <v>1</v>
      </c>
      <c r="AF267" s="218">
        <v>1</v>
      </c>
      <c r="AG267" s="218">
        <v>5</v>
      </c>
      <c r="AH267" s="218">
        <v>1</v>
      </c>
      <c r="AI267" s="218">
        <v>4</v>
      </c>
      <c r="AJ267" s="218">
        <v>1</v>
      </c>
      <c r="AK267" s="218">
        <v>0</v>
      </c>
      <c r="AL267" s="218">
        <v>1</v>
      </c>
      <c r="AM267" s="218">
        <v>1</v>
      </c>
      <c r="AN267" s="218">
        <v>1</v>
      </c>
      <c r="AO267" s="218">
        <v>2</v>
      </c>
      <c r="AP267" s="218">
        <v>0</v>
      </c>
      <c r="AQ267" s="430"/>
      <c r="AR267" s="221">
        <f t="shared" si="106"/>
        <v>3</v>
      </c>
      <c r="AS267" s="221">
        <f t="shared" si="107"/>
        <v>18</v>
      </c>
    </row>
    <row r="268" spans="2:45" ht="15.75" customHeight="1">
      <c r="B268" s="227" t="s">
        <v>220</v>
      </c>
      <c r="C268" s="332" t="s">
        <v>2085</v>
      </c>
      <c r="D268" s="399">
        <v>1</v>
      </c>
      <c r="E268" s="332" t="s">
        <v>2059</v>
      </c>
      <c r="F268" s="427" t="s">
        <v>2059</v>
      </c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439">
        <v>5</v>
      </c>
      <c r="T268" s="218">
        <v>5</v>
      </c>
      <c r="U268" s="218">
        <v>4</v>
      </c>
      <c r="V268" s="218">
        <v>3</v>
      </c>
      <c r="W268" s="218">
        <v>6</v>
      </c>
      <c r="X268" s="218">
        <v>1</v>
      </c>
      <c r="Y268" s="218">
        <v>6</v>
      </c>
      <c r="Z268" s="218">
        <v>2</v>
      </c>
      <c r="AA268" s="218">
        <v>3</v>
      </c>
      <c r="AB268" s="218">
        <v>9</v>
      </c>
      <c r="AC268" s="218">
        <v>5</v>
      </c>
      <c r="AD268" s="440">
        <v>3</v>
      </c>
      <c r="AE268" s="439">
        <v>2</v>
      </c>
      <c r="AF268" s="218">
        <v>5</v>
      </c>
      <c r="AG268" s="218">
        <v>5</v>
      </c>
      <c r="AH268" s="218">
        <v>5</v>
      </c>
      <c r="AI268" s="218">
        <v>8</v>
      </c>
      <c r="AJ268" s="218">
        <v>4</v>
      </c>
      <c r="AK268" s="218">
        <v>2</v>
      </c>
      <c r="AL268" s="218">
        <v>5</v>
      </c>
      <c r="AM268" s="218">
        <v>2</v>
      </c>
      <c r="AN268" s="218">
        <v>2</v>
      </c>
      <c r="AO268" s="218">
        <v>6</v>
      </c>
      <c r="AP268" s="218">
        <v>4</v>
      </c>
      <c r="AQ268" s="430"/>
      <c r="AR268" s="221">
        <f t="shared" si="106"/>
        <v>52</v>
      </c>
      <c r="AS268" s="221">
        <f t="shared" si="107"/>
        <v>50</v>
      </c>
    </row>
    <row r="269" spans="2:45" ht="15.75" customHeight="1">
      <c r="B269" s="227" t="s">
        <v>220</v>
      </c>
      <c r="C269" s="332" t="s">
        <v>2086</v>
      </c>
      <c r="D269" s="399">
        <v>1</v>
      </c>
      <c r="E269" s="332" t="s">
        <v>2059</v>
      </c>
      <c r="F269" s="427" t="s">
        <v>2059</v>
      </c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439">
        <v>3</v>
      </c>
      <c r="T269" s="218">
        <v>6</v>
      </c>
      <c r="U269" s="218">
        <v>4</v>
      </c>
      <c r="V269" s="218">
        <v>3</v>
      </c>
      <c r="W269" s="218">
        <v>6</v>
      </c>
      <c r="X269" s="218">
        <v>3</v>
      </c>
      <c r="Y269" s="218">
        <v>5</v>
      </c>
      <c r="Z269" s="218">
        <v>0</v>
      </c>
      <c r="AA269" s="218">
        <v>0</v>
      </c>
      <c r="AB269" s="218">
        <v>4</v>
      </c>
      <c r="AC269" s="218">
        <v>3</v>
      </c>
      <c r="AD269" s="440">
        <v>7</v>
      </c>
      <c r="AE269" s="439">
        <v>1</v>
      </c>
      <c r="AF269" s="218">
        <v>3</v>
      </c>
      <c r="AG269" s="218">
        <v>1</v>
      </c>
      <c r="AH269" s="218">
        <v>3</v>
      </c>
      <c r="AI269" s="218">
        <v>3</v>
      </c>
      <c r="AJ269" s="218">
        <v>5</v>
      </c>
      <c r="AK269" s="218">
        <v>2</v>
      </c>
      <c r="AL269" s="218">
        <v>2</v>
      </c>
      <c r="AM269" s="218">
        <v>2</v>
      </c>
      <c r="AN269" s="218">
        <v>3</v>
      </c>
      <c r="AO269" s="218">
        <v>3</v>
      </c>
      <c r="AP269" s="218">
        <v>1</v>
      </c>
      <c r="AQ269" s="430"/>
      <c r="AR269" s="221">
        <f t="shared" si="106"/>
        <v>44</v>
      </c>
      <c r="AS269" s="221">
        <f t="shared" si="107"/>
        <v>29</v>
      </c>
    </row>
    <row r="270" spans="2:45" ht="15.75" customHeight="1">
      <c r="B270" s="227" t="s">
        <v>220</v>
      </c>
      <c r="C270" s="332" t="s">
        <v>2170</v>
      </c>
      <c r="D270" s="399">
        <v>1</v>
      </c>
      <c r="E270" s="332" t="s">
        <v>2059</v>
      </c>
      <c r="F270" s="427" t="s">
        <v>2059</v>
      </c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439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440"/>
      <c r="AE270" s="439">
        <v>0</v>
      </c>
      <c r="AF270" s="218">
        <v>0</v>
      </c>
      <c r="AG270" s="218">
        <v>0</v>
      </c>
      <c r="AH270" s="218">
        <v>0</v>
      </c>
      <c r="AI270" s="218">
        <v>0</v>
      </c>
      <c r="AJ270" s="218">
        <v>0</v>
      </c>
      <c r="AK270" s="218">
        <v>0</v>
      </c>
      <c r="AL270" s="218">
        <v>0</v>
      </c>
      <c r="AM270" s="218">
        <v>0</v>
      </c>
      <c r="AN270" s="218">
        <v>0</v>
      </c>
      <c r="AO270" s="218">
        <v>0</v>
      </c>
      <c r="AP270" s="218">
        <v>0</v>
      </c>
      <c r="AQ270" s="430"/>
      <c r="AR270" s="221">
        <f t="shared" si="106"/>
        <v>0</v>
      </c>
      <c r="AS270" s="221">
        <f t="shared" si="107"/>
        <v>0</v>
      </c>
    </row>
    <row r="271" spans="2:45" ht="15.75" customHeight="1">
      <c r="B271" s="227" t="s">
        <v>220</v>
      </c>
      <c r="C271" s="332" t="s">
        <v>2087</v>
      </c>
      <c r="D271" s="399">
        <v>1</v>
      </c>
      <c r="E271" s="332" t="s">
        <v>2059</v>
      </c>
      <c r="F271" s="427" t="s">
        <v>2059</v>
      </c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439">
        <v>2</v>
      </c>
      <c r="T271" s="218">
        <v>5</v>
      </c>
      <c r="U271" s="218">
        <v>4</v>
      </c>
      <c r="V271" s="218">
        <v>3</v>
      </c>
      <c r="W271" s="218">
        <v>3</v>
      </c>
      <c r="X271" s="218">
        <v>5</v>
      </c>
      <c r="Y271" s="218">
        <v>2</v>
      </c>
      <c r="Z271" s="218">
        <v>5</v>
      </c>
      <c r="AA271" s="218">
        <v>2</v>
      </c>
      <c r="AB271" s="218">
        <v>3</v>
      </c>
      <c r="AC271" s="218">
        <v>4</v>
      </c>
      <c r="AD271" s="440">
        <v>2</v>
      </c>
      <c r="AE271" s="439">
        <v>2</v>
      </c>
      <c r="AF271" s="218">
        <v>1</v>
      </c>
      <c r="AG271" s="218">
        <v>3</v>
      </c>
      <c r="AH271" s="218">
        <v>1</v>
      </c>
      <c r="AI271" s="218">
        <v>3</v>
      </c>
      <c r="AJ271" s="218">
        <v>1</v>
      </c>
      <c r="AK271" s="218">
        <v>0</v>
      </c>
      <c r="AL271" s="218">
        <v>3</v>
      </c>
      <c r="AM271" s="218">
        <v>0</v>
      </c>
      <c r="AN271" s="218">
        <v>4</v>
      </c>
      <c r="AO271" s="218">
        <v>1</v>
      </c>
      <c r="AP271" s="218">
        <v>2</v>
      </c>
      <c r="AQ271" s="430"/>
      <c r="AR271" s="221">
        <f t="shared" si="106"/>
        <v>40</v>
      </c>
      <c r="AS271" s="221">
        <f t="shared" si="107"/>
        <v>21</v>
      </c>
    </row>
    <row r="272" spans="2:45" ht="15.75" customHeight="1">
      <c r="B272" s="227" t="s">
        <v>220</v>
      </c>
      <c r="C272" s="332" t="s">
        <v>2088</v>
      </c>
      <c r="D272" s="399">
        <v>1</v>
      </c>
      <c r="E272" s="332" t="s">
        <v>2059</v>
      </c>
      <c r="F272" s="427" t="s">
        <v>2059</v>
      </c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439">
        <v>0</v>
      </c>
      <c r="T272" s="218">
        <v>4</v>
      </c>
      <c r="U272" s="218">
        <v>7</v>
      </c>
      <c r="V272" s="218">
        <v>5</v>
      </c>
      <c r="W272" s="218">
        <v>4</v>
      </c>
      <c r="X272" s="218">
        <v>2</v>
      </c>
      <c r="Y272" s="218">
        <v>4</v>
      </c>
      <c r="Z272" s="218">
        <v>4</v>
      </c>
      <c r="AA272" s="218">
        <v>0</v>
      </c>
      <c r="AB272" s="218">
        <v>9</v>
      </c>
      <c r="AC272" s="218">
        <v>5</v>
      </c>
      <c r="AD272" s="440">
        <v>3</v>
      </c>
      <c r="AE272" s="439">
        <v>4</v>
      </c>
      <c r="AF272" s="218">
        <v>3</v>
      </c>
      <c r="AG272" s="218">
        <v>3</v>
      </c>
      <c r="AH272" s="218">
        <v>3</v>
      </c>
      <c r="AI272" s="218">
        <v>4</v>
      </c>
      <c r="AJ272" s="218">
        <v>3</v>
      </c>
      <c r="AK272" s="218">
        <v>2</v>
      </c>
      <c r="AL272" s="218">
        <v>5</v>
      </c>
      <c r="AM272" s="218">
        <v>1</v>
      </c>
      <c r="AN272" s="218">
        <v>6</v>
      </c>
      <c r="AO272" s="218">
        <v>5</v>
      </c>
      <c r="AP272" s="218">
        <v>5</v>
      </c>
      <c r="AQ272" s="430"/>
      <c r="AR272" s="221">
        <f t="shared" si="106"/>
        <v>47</v>
      </c>
      <c r="AS272" s="221">
        <f t="shared" si="107"/>
        <v>44</v>
      </c>
    </row>
    <row r="273" spans="2:45" ht="15.75" customHeight="1">
      <c r="B273" s="227" t="s">
        <v>220</v>
      </c>
      <c r="C273" s="332" t="s">
        <v>2089</v>
      </c>
      <c r="D273" s="399">
        <v>2</v>
      </c>
      <c r="E273" s="332" t="s">
        <v>2059</v>
      </c>
      <c r="F273" s="427" t="s">
        <v>2059</v>
      </c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439">
        <v>0</v>
      </c>
      <c r="T273" s="218">
        <v>0</v>
      </c>
      <c r="U273" s="218">
        <v>0</v>
      </c>
      <c r="V273" s="218">
        <v>0</v>
      </c>
      <c r="W273" s="218">
        <v>0</v>
      </c>
      <c r="X273" s="218">
        <v>1</v>
      </c>
      <c r="Y273" s="218">
        <v>1</v>
      </c>
      <c r="Z273" s="218">
        <v>0</v>
      </c>
      <c r="AA273" s="218">
        <v>1</v>
      </c>
      <c r="AB273" s="218">
        <v>4</v>
      </c>
      <c r="AC273" s="218">
        <v>3</v>
      </c>
      <c r="AD273" s="440">
        <v>3</v>
      </c>
      <c r="AE273" s="439">
        <v>1</v>
      </c>
      <c r="AF273" s="218">
        <v>3</v>
      </c>
      <c r="AG273" s="218">
        <v>3</v>
      </c>
      <c r="AH273" s="218">
        <v>5</v>
      </c>
      <c r="AI273" s="218">
        <v>3</v>
      </c>
      <c r="AJ273" s="218">
        <v>2</v>
      </c>
      <c r="AK273" s="218">
        <v>3</v>
      </c>
      <c r="AL273" s="218">
        <v>4</v>
      </c>
      <c r="AM273" s="218">
        <v>4</v>
      </c>
      <c r="AN273" s="218">
        <v>6</v>
      </c>
      <c r="AO273" s="218">
        <v>4</v>
      </c>
      <c r="AP273" s="218">
        <v>4</v>
      </c>
      <c r="AQ273" s="430"/>
      <c r="AR273" s="221">
        <f t="shared" si="106"/>
        <v>13</v>
      </c>
      <c r="AS273" s="221">
        <f t="shared" si="107"/>
        <v>42</v>
      </c>
    </row>
    <row r="274" spans="2:45" ht="15.75" customHeight="1">
      <c r="B274" s="227" t="s">
        <v>220</v>
      </c>
      <c r="C274" s="332" t="s">
        <v>2090</v>
      </c>
      <c r="D274" s="399">
        <v>2</v>
      </c>
      <c r="E274" s="332" t="s">
        <v>2059</v>
      </c>
      <c r="F274" s="427" t="s">
        <v>2059</v>
      </c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439">
        <v>6</v>
      </c>
      <c r="T274" s="218">
        <v>9</v>
      </c>
      <c r="U274" s="218">
        <v>10</v>
      </c>
      <c r="V274" s="218">
        <v>15</v>
      </c>
      <c r="W274" s="218">
        <v>9</v>
      </c>
      <c r="X274" s="218">
        <v>6</v>
      </c>
      <c r="Y274" s="218">
        <v>6</v>
      </c>
      <c r="Z274" s="218">
        <v>6</v>
      </c>
      <c r="AA274" s="218">
        <v>9</v>
      </c>
      <c r="AB274" s="218">
        <v>14</v>
      </c>
      <c r="AC274" s="218">
        <v>15</v>
      </c>
      <c r="AD274" s="440">
        <v>8</v>
      </c>
      <c r="AE274" s="439">
        <v>3</v>
      </c>
      <c r="AF274" s="218">
        <v>8</v>
      </c>
      <c r="AG274" s="218">
        <v>11</v>
      </c>
      <c r="AH274" s="218">
        <v>6</v>
      </c>
      <c r="AI274" s="218">
        <v>13</v>
      </c>
      <c r="AJ274" s="218">
        <v>13</v>
      </c>
      <c r="AK274" s="218">
        <v>8</v>
      </c>
      <c r="AL274" s="218">
        <v>6</v>
      </c>
      <c r="AM274" s="218">
        <v>8</v>
      </c>
      <c r="AN274" s="218">
        <v>9</v>
      </c>
      <c r="AO274" s="218">
        <v>16</v>
      </c>
      <c r="AP274" s="218">
        <v>8</v>
      </c>
      <c r="AQ274" s="430"/>
      <c r="AR274" s="221">
        <f t="shared" si="106"/>
        <v>113</v>
      </c>
      <c r="AS274" s="221">
        <f t="shared" si="107"/>
        <v>109</v>
      </c>
    </row>
    <row r="275" spans="2:45" ht="15.75" customHeight="1">
      <c r="B275" s="227" t="s">
        <v>220</v>
      </c>
      <c r="C275" s="332" t="s">
        <v>2091</v>
      </c>
      <c r="D275" s="399">
        <v>1</v>
      </c>
      <c r="E275" s="332" t="s">
        <v>2059</v>
      </c>
      <c r="F275" s="427" t="s">
        <v>2059</v>
      </c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439">
        <v>0</v>
      </c>
      <c r="T275" s="218">
        <v>0</v>
      </c>
      <c r="U275" s="218">
        <v>0</v>
      </c>
      <c r="V275" s="218">
        <v>0</v>
      </c>
      <c r="W275" s="218">
        <v>0</v>
      </c>
      <c r="X275" s="218">
        <v>0</v>
      </c>
      <c r="Y275" s="218">
        <v>0</v>
      </c>
      <c r="Z275" s="218">
        <v>0</v>
      </c>
      <c r="AA275" s="218">
        <v>0</v>
      </c>
      <c r="AB275" s="218">
        <v>0</v>
      </c>
      <c r="AC275" s="218">
        <v>0</v>
      </c>
      <c r="AD275" s="440">
        <v>0</v>
      </c>
      <c r="AE275" s="439">
        <v>0</v>
      </c>
      <c r="AF275" s="218">
        <v>0</v>
      </c>
      <c r="AG275" s="218">
        <v>0</v>
      </c>
      <c r="AH275" s="218">
        <v>0</v>
      </c>
      <c r="AI275" s="218">
        <v>1</v>
      </c>
      <c r="AJ275" s="218">
        <v>0</v>
      </c>
      <c r="AK275" s="218">
        <v>0</v>
      </c>
      <c r="AL275" s="218">
        <v>0</v>
      </c>
      <c r="AM275" s="218">
        <v>2</v>
      </c>
      <c r="AN275" s="218">
        <v>2</v>
      </c>
      <c r="AO275" s="218">
        <v>0</v>
      </c>
      <c r="AP275" s="218">
        <v>1</v>
      </c>
      <c r="AQ275" s="430"/>
      <c r="AR275" s="221">
        <f t="shared" si="106"/>
        <v>0</v>
      </c>
      <c r="AS275" s="221">
        <f t="shared" si="107"/>
        <v>6</v>
      </c>
    </row>
    <row r="276" spans="2:45" ht="15.75" customHeight="1">
      <c r="B276" s="227" t="s">
        <v>220</v>
      </c>
      <c r="C276" s="332" t="s">
        <v>2092</v>
      </c>
      <c r="D276" s="399">
        <v>1</v>
      </c>
      <c r="E276" s="332" t="s">
        <v>2060</v>
      </c>
      <c r="F276" s="427" t="s">
        <v>2060</v>
      </c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439">
        <v>0</v>
      </c>
      <c r="T276" s="218">
        <v>0</v>
      </c>
      <c r="U276" s="218">
        <v>0</v>
      </c>
      <c r="V276" s="218">
        <v>0</v>
      </c>
      <c r="W276" s="218">
        <v>0</v>
      </c>
      <c r="X276" s="218">
        <v>0</v>
      </c>
      <c r="Y276" s="218">
        <v>0</v>
      </c>
      <c r="Z276" s="218">
        <v>0</v>
      </c>
      <c r="AA276" s="218">
        <v>0</v>
      </c>
      <c r="AB276" s="218">
        <v>0</v>
      </c>
      <c r="AC276" s="218">
        <v>2</v>
      </c>
      <c r="AD276" s="440">
        <v>0</v>
      </c>
      <c r="AE276" s="439">
        <v>2</v>
      </c>
      <c r="AF276" s="218">
        <v>2</v>
      </c>
      <c r="AG276" s="218">
        <v>1</v>
      </c>
      <c r="AH276" s="218">
        <v>5</v>
      </c>
      <c r="AI276" s="218">
        <v>4</v>
      </c>
      <c r="AJ276" s="218">
        <v>8</v>
      </c>
      <c r="AK276" s="218">
        <v>6</v>
      </c>
      <c r="AL276" s="218">
        <v>9</v>
      </c>
      <c r="AM276" s="218">
        <v>12</v>
      </c>
      <c r="AN276" s="218">
        <v>15</v>
      </c>
      <c r="AO276" s="218">
        <v>11</v>
      </c>
      <c r="AP276" s="218">
        <v>9</v>
      </c>
      <c r="AQ276" s="430"/>
      <c r="AR276" s="221">
        <f t="shared" si="106"/>
        <v>2</v>
      </c>
      <c r="AS276" s="221">
        <f t="shared" si="107"/>
        <v>84</v>
      </c>
    </row>
    <row r="277" spans="2:45" ht="15.75" customHeight="1">
      <c r="B277" s="233" t="s">
        <v>220</v>
      </c>
      <c r="C277" s="444" t="s">
        <v>2093</v>
      </c>
      <c r="D277" s="445">
        <v>1</v>
      </c>
      <c r="E277" s="446" t="s">
        <v>204</v>
      </c>
      <c r="F277" s="447" t="s">
        <v>2349</v>
      </c>
      <c r="G277" s="424"/>
      <c r="H277" s="424"/>
      <c r="I277" s="424"/>
      <c r="J277" s="424"/>
      <c r="K277" s="424"/>
      <c r="L277" s="424"/>
      <c r="M277" s="424"/>
      <c r="N277" s="424"/>
      <c r="O277" s="424"/>
      <c r="P277" s="424"/>
      <c r="Q277" s="424"/>
      <c r="R277" s="424"/>
      <c r="S277" s="423">
        <v>0</v>
      </c>
      <c r="T277" s="424">
        <v>0</v>
      </c>
      <c r="U277" s="424">
        <v>0</v>
      </c>
      <c r="V277" s="424">
        <v>0</v>
      </c>
      <c r="W277" s="424">
        <v>0</v>
      </c>
      <c r="X277" s="424">
        <v>0</v>
      </c>
      <c r="Y277" s="424">
        <v>0</v>
      </c>
      <c r="Z277" s="424">
        <v>0</v>
      </c>
      <c r="AA277" s="424">
        <v>0</v>
      </c>
      <c r="AB277" s="424">
        <v>0</v>
      </c>
      <c r="AC277" s="424">
        <v>0</v>
      </c>
      <c r="AD277" s="425">
        <v>0</v>
      </c>
      <c r="AE277" s="423">
        <v>0</v>
      </c>
      <c r="AF277" s="424">
        <v>0</v>
      </c>
      <c r="AG277" s="424">
        <v>0</v>
      </c>
      <c r="AH277" s="424">
        <v>0</v>
      </c>
      <c r="AI277" s="424">
        <v>0</v>
      </c>
      <c r="AJ277" s="424">
        <v>1</v>
      </c>
      <c r="AK277" s="424">
        <v>0</v>
      </c>
      <c r="AL277" s="424">
        <v>0</v>
      </c>
      <c r="AM277" s="424">
        <v>0</v>
      </c>
      <c r="AN277" s="424">
        <v>0</v>
      </c>
      <c r="AO277" s="424">
        <v>0</v>
      </c>
      <c r="AP277" s="424">
        <v>0</v>
      </c>
      <c r="AQ277" s="430"/>
      <c r="AR277" s="221">
        <f t="shared" si="106"/>
        <v>0</v>
      </c>
      <c r="AS277" s="221">
        <f t="shared" si="107"/>
        <v>1</v>
      </c>
    </row>
    <row r="278" spans="2:45" ht="15.75" customHeight="1">
      <c r="B278" s="227" t="s">
        <v>2351</v>
      </c>
      <c r="C278" s="332" t="s">
        <v>2061</v>
      </c>
      <c r="D278" s="399">
        <v>1</v>
      </c>
      <c r="E278" s="332" t="s">
        <v>204</v>
      </c>
      <c r="F278" s="427" t="s">
        <v>2347</v>
      </c>
      <c r="G278" s="428">
        <v>3</v>
      </c>
      <c r="H278" s="220">
        <v>2</v>
      </c>
      <c r="I278" s="220">
        <v>3</v>
      </c>
      <c r="J278" s="220">
        <v>2</v>
      </c>
      <c r="K278" s="220">
        <v>4</v>
      </c>
      <c r="L278" s="220">
        <v>2</v>
      </c>
      <c r="M278" s="220">
        <v>3</v>
      </c>
      <c r="N278" s="220">
        <v>2</v>
      </c>
      <c r="O278" s="220">
        <v>4</v>
      </c>
      <c r="P278" s="220">
        <v>4</v>
      </c>
      <c r="Q278" s="220">
        <v>4</v>
      </c>
      <c r="R278" s="220">
        <v>2</v>
      </c>
      <c r="S278" s="428">
        <v>1</v>
      </c>
      <c r="T278" s="220">
        <v>1</v>
      </c>
      <c r="U278" s="220">
        <v>2</v>
      </c>
      <c r="V278" s="220">
        <v>4</v>
      </c>
      <c r="W278" s="220">
        <v>4</v>
      </c>
      <c r="X278" s="220">
        <v>2</v>
      </c>
      <c r="Y278" s="220">
        <v>1</v>
      </c>
      <c r="Z278" s="220">
        <v>3</v>
      </c>
      <c r="AA278" s="220">
        <v>1</v>
      </c>
      <c r="AB278" s="220">
        <v>2</v>
      </c>
      <c r="AC278" s="220">
        <v>3</v>
      </c>
      <c r="AD278" s="231">
        <v>2</v>
      </c>
      <c r="AE278" s="428">
        <v>2</v>
      </c>
      <c r="AF278" s="220">
        <v>1</v>
      </c>
      <c r="AG278" s="220">
        <v>2</v>
      </c>
      <c r="AH278" s="220">
        <v>1</v>
      </c>
      <c r="AI278" s="220">
        <v>2</v>
      </c>
      <c r="AJ278" s="220">
        <v>1</v>
      </c>
      <c r="AK278" s="220">
        <v>1</v>
      </c>
      <c r="AL278" s="220">
        <v>4</v>
      </c>
      <c r="AM278" s="220">
        <v>1</v>
      </c>
      <c r="AN278" s="220">
        <v>3</v>
      </c>
      <c r="AO278" s="220">
        <v>4</v>
      </c>
      <c r="AP278" s="220">
        <v>2</v>
      </c>
      <c r="AQ278" s="429"/>
      <c r="AR278" s="221">
        <f t="shared" si="106"/>
        <v>26</v>
      </c>
      <c r="AS278" s="221">
        <f t="shared" si="107"/>
        <v>24</v>
      </c>
    </row>
    <row r="279" spans="2:45" ht="15.75" customHeight="1">
      <c r="B279" s="227" t="s">
        <v>2351</v>
      </c>
      <c r="C279" s="332" t="s">
        <v>2062</v>
      </c>
      <c r="D279" s="399">
        <v>2</v>
      </c>
      <c r="E279" s="332" t="s">
        <v>204</v>
      </c>
      <c r="F279" s="427" t="s">
        <v>2347</v>
      </c>
      <c r="G279" s="220">
        <v>3</v>
      </c>
      <c r="H279" s="220">
        <v>2</v>
      </c>
      <c r="I279" s="220">
        <v>3</v>
      </c>
      <c r="J279" s="220">
        <v>4</v>
      </c>
      <c r="K279" s="220">
        <v>3</v>
      </c>
      <c r="L279" s="220">
        <v>4</v>
      </c>
      <c r="M279" s="220">
        <v>4</v>
      </c>
      <c r="N279" s="220">
        <v>3</v>
      </c>
      <c r="O279" s="220">
        <v>6</v>
      </c>
      <c r="P279" s="220">
        <v>4</v>
      </c>
      <c r="Q279" s="220">
        <v>7</v>
      </c>
      <c r="R279" s="220">
        <v>5</v>
      </c>
      <c r="S279" s="428">
        <v>0</v>
      </c>
      <c r="T279" s="220">
        <v>1</v>
      </c>
      <c r="U279" s="220">
        <v>3</v>
      </c>
      <c r="V279" s="220">
        <v>5</v>
      </c>
      <c r="W279" s="220">
        <v>3</v>
      </c>
      <c r="X279" s="220">
        <v>5</v>
      </c>
      <c r="Y279" s="220">
        <v>1</v>
      </c>
      <c r="Z279" s="220">
        <v>1</v>
      </c>
      <c r="AA279" s="220">
        <v>4</v>
      </c>
      <c r="AB279" s="220">
        <v>5</v>
      </c>
      <c r="AC279" s="220">
        <v>5</v>
      </c>
      <c r="AD279" s="231">
        <v>3</v>
      </c>
      <c r="AE279" s="428">
        <v>2</v>
      </c>
      <c r="AF279" s="220">
        <v>3</v>
      </c>
      <c r="AG279" s="220">
        <v>2</v>
      </c>
      <c r="AH279" s="220">
        <v>3</v>
      </c>
      <c r="AI279" s="220">
        <v>2</v>
      </c>
      <c r="AJ279" s="220">
        <v>2</v>
      </c>
      <c r="AK279" s="220">
        <v>2</v>
      </c>
      <c r="AL279" s="220">
        <v>2</v>
      </c>
      <c r="AM279" s="220">
        <v>4</v>
      </c>
      <c r="AN279" s="220">
        <v>4</v>
      </c>
      <c r="AO279" s="220">
        <v>6</v>
      </c>
      <c r="AP279" s="220">
        <v>1</v>
      </c>
      <c r="AQ279" s="429"/>
      <c r="AR279" s="221">
        <f t="shared" si="106"/>
        <v>36</v>
      </c>
      <c r="AS279" s="221">
        <f t="shared" si="107"/>
        <v>33</v>
      </c>
    </row>
    <row r="280" spans="2:45" ht="15.75" customHeight="1">
      <c r="B280" s="227" t="s">
        <v>2351</v>
      </c>
      <c r="C280" s="332" t="s">
        <v>2063</v>
      </c>
      <c r="D280" s="399">
        <v>2</v>
      </c>
      <c r="E280" s="332" t="s">
        <v>204</v>
      </c>
      <c r="F280" s="427" t="s">
        <v>2347</v>
      </c>
      <c r="G280" s="220">
        <v>3</v>
      </c>
      <c r="H280" s="220">
        <v>2</v>
      </c>
      <c r="I280" s="220">
        <v>4</v>
      </c>
      <c r="J280" s="220">
        <v>5</v>
      </c>
      <c r="K280" s="220">
        <v>4</v>
      </c>
      <c r="L280" s="220">
        <v>4</v>
      </c>
      <c r="M280" s="220">
        <v>4</v>
      </c>
      <c r="N280" s="220">
        <v>2</v>
      </c>
      <c r="O280" s="220">
        <v>6</v>
      </c>
      <c r="P280" s="220">
        <v>3</v>
      </c>
      <c r="Q280" s="220">
        <v>3</v>
      </c>
      <c r="R280" s="220">
        <v>4</v>
      </c>
      <c r="S280" s="428">
        <v>1</v>
      </c>
      <c r="T280" s="220">
        <v>2</v>
      </c>
      <c r="U280" s="220">
        <v>1</v>
      </c>
      <c r="V280" s="220">
        <v>4</v>
      </c>
      <c r="W280" s="220">
        <v>2</v>
      </c>
      <c r="X280" s="220">
        <v>4</v>
      </c>
      <c r="Y280" s="220">
        <v>3</v>
      </c>
      <c r="Z280" s="220">
        <v>1</v>
      </c>
      <c r="AA280" s="220">
        <v>2</v>
      </c>
      <c r="AB280" s="220">
        <v>4</v>
      </c>
      <c r="AC280" s="220">
        <v>5</v>
      </c>
      <c r="AD280" s="231">
        <v>2</v>
      </c>
      <c r="AE280" s="428">
        <v>3</v>
      </c>
      <c r="AF280" s="220">
        <v>2</v>
      </c>
      <c r="AG280" s="220">
        <v>3</v>
      </c>
      <c r="AH280" s="220">
        <v>2</v>
      </c>
      <c r="AI280" s="220">
        <v>5</v>
      </c>
      <c r="AJ280" s="220">
        <v>2</v>
      </c>
      <c r="AK280" s="220">
        <v>1</v>
      </c>
      <c r="AL280" s="220">
        <v>1</v>
      </c>
      <c r="AM280" s="220">
        <v>3</v>
      </c>
      <c r="AN280" s="220">
        <v>4</v>
      </c>
      <c r="AO280" s="220">
        <v>4</v>
      </c>
      <c r="AP280" s="220">
        <v>1</v>
      </c>
      <c r="AQ280" s="429"/>
      <c r="AR280" s="221">
        <f t="shared" si="106"/>
        <v>31</v>
      </c>
      <c r="AS280" s="221">
        <f t="shared" si="107"/>
        <v>31</v>
      </c>
    </row>
    <row r="281" spans="2:45" ht="15.75" customHeight="1">
      <c r="B281" s="227" t="s">
        <v>2351</v>
      </c>
      <c r="C281" s="332" t="s">
        <v>2064</v>
      </c>
      <c r="D281" s="399">
        <v>1</v>
      </c>
      <c r="E281" s="332" t="s">
        <v>204</v>
      </c>
      <c r="F281" s="427" t="s">
        <v>2347</v>
      </c>
      <c r="G281" s="220">
        <v>0</v>
      </c>
      <c r="H281" s="220">
        <v>0</v>
      </c>
      <c r="I281" s="220">
        <v>3</v>
      </c>
      <c r="J281" s="220">
        <v>4</v>
      </c>
      <c r="K281" s="220">
        <v>4</v>
      </c>
      <c r="L281" s="220">
        <v>4</v>
      </c>
      <c r="M281" s="220">
        <v>1</v>
      </c>
      <c r="N281" s="220">
        <v>3</v>
      </c>
      <c r="O281" s="220">
        <v>5</v>
      </c>
      <c r="P281" s="220">
        <v>4</v>
      </c>
      <c r="Q281" s="220">
        <v>4</v>
      </c>
      <c r="R281" s="220">
        <v>3</v>
      </c>
      <c r="S281" s="428">
        <v>2</v>
      </c>
      <c r="T281" s="220">
        <v>3</v>
      </c>
      <c r="U281" s="220">
        <v>5</v>
      </c>
      <c r="V281" s="220">
        <v>3</v>
      </c>
      <c r="W281" s="220">
        <v>4</v>
      </c>
      <c r="X281" s="220">
        <v>4</v>
      </c>
      <c r="Y281" s="220">
        <v>2</v>
      </c>
      <c r="Z281" s="220">
        <v>5</v>
      </c>
      <c r="AA281" s="220">
        <v>4</v>
      </c>
      <c r="AB281" s="220">
        <v>4</v>
      </c>
      <c r="AC281" s="220">
        <v>4</v>
      </c>
      <c r="AD281" s="231">
        <v>2</v>
      </c>
      <c r="AE281" s="428">
        <v>3</v>
      </c>
      <c r="AF281" s="220">
        <v>2</v>
      </c>
      <c r="AG281" s="220">
        <v>3</v>
      </c>
      <c r="AH281" s="220">
        <v>3</v>
      </c>
      <c r="AI281" s="220">
        <v>4</v>
      </c>
      <c r="AJ281" s="220">
        <v>3</v>
      </c>
      <c r="AK281" s="220">
        <v>1</v>
      </c>
      <c r="AL281" s="220">
        <v>3</v>
      </c>
      <c r="AM281" s="220">
        <v>1</v>
      </c>
      <c r="AN281" s="220">
        <v>4</v>
      </c>
      <c r="AO281" s="220">
        <v>5</v>
      </c>
      <c r="AP281" s="220">
        <v>2</v>
      </c>
      <c r="AQ281" s="429"/>
      <c r="AR281" s="221">
        <f t="shared" si="106"/>
        <v>42</v>
      </c>
      <c r="AS281" s="221">
        <f t="shared" si="107"/>
        <v>34</v>
      </c>
    </row>
    <row r="282" spans="2:45" ht="15.75" customHeight="1">
      <c r="B282" s="227" t="s">
        <v>2351</v>
      </c>
      <c r="C282" s="332" t="s">
        <v>2065</v>
      </c>
      <c r="D282" s="399">
        <v>1</v>
      </c>
      <c r="E282" s="332" t="s">
        <v>204</v>
      </c>
      <c r="F282" s="427" t="s">
        <v>2347</v>
      </c>
      <c r="G282" s="220">
        <v>2</v>
      </c>
      <c r="H282" s="220">
        <v>0</v>
      </c>
      <c r="I282" s="220">
        <v>2</v>
      </c>
      <c r="J282" s="220">
        <v>4</v>
      </c>
      <c r="K282" s="220">
        <v>2</v>
      </c>
      <c r="L282" s="220">
        <v>4</v>
      </c>
      <c r="M282" s="220">
        <v>2</v>
      </c>
      <c r="N282" s="220">
        <v>3</v>
      </c>
      <c r="O282" s="220">
        <v>5</v>
      </c>
      <c r="P282" s="220">
        <v>4</v>
      </c>
      <c r="Q282" s="220">
        <v>4</v>
      </c>
      <c r="R282" s="220">
        <v>3</v>
      </c>
      <c r="S282" s="428">
        <v>3</v>
      </c>
      <c r="T282" s="220">
        <v>2</v>
      </c>
      <c r="U282" s="220">
        <v>2</v>
      </c>
      <c r="V282" s="220">
        <v>3</v>
      </c>
      <c r="W282" s="220">
        <v>1</v>
      </c>
      <c r="X282" s="220">
        <v>2</v>
      </c>
      <c r="Y282" s="220">
        <v>1</v>
      </c>
      <c r="Z282" s="220">
        <v>1</v>
      </c>
      <c r="AA282" s="220">
        <v>1</v>
      </c>
      <c r="AB282" s="220">
        <v>3</v>
      </c>
      <c r="AC282" s="220">
        <v>2</v>
      </c>
      <c r="AD282" s="231">
        <v>1</v>
      </c>
      <c r="AE282" s="428">
        <v>2</v>
      </c>
      <c r="AF282" s="220">
        <v>3</v>
      </c>
      <c r="AG282" s="220">
        <v>0</v>
      </c>
      <c r="AH282" s="220">
        <v>4</v>
      </c>
      <c r="AI282" s="220">
        <v>4</v>
      </c>
      <c r="AJ282" s="220">
        <v>2</v>
      </c>
      <c r="AK282" s="220">
        <v>0</v>
      </c>
      <c r="AL282" s="220">
        <v>2</v>
      </c>
      <c r="AM282" s="220">
        <v>1</v>
      </c>
      <c r="AN282" s="220">
        <v>4</v>
      </c>
      <c r="AO282" s="220">
        <v>5</v>
      </c>
      <c r="AP282" s="220">
        <v>2</v>
      </c>
      <c r="AQ282" s="429"/>
      <c r="AR282" s="221">
        <f t="shared" si="106"/>
        <v>22</v>
      </c>
      <c r="AS282" s="221">
        <f t="shared" si="107"/>
        <v>29</v>
      </c>
    </row>
    <row r="283" spans="2:45" ht="15.75" customHeight="1">
      <c r="B283" s="227" t="s">
        <v>2351</v>
      </c>
      <c r="C283" s="332" t="s">
        <v>2066</v>
      </c>
      <c r="D283" s="399">
        <v>1</v>
      </c>
      <c r="E283" s="332" t="s">
        <v>204</v>
      </c>
      <c r="F283" s="427" t="s">
        <v>2348</v>
      </c>
      <c r="G283" s="220">
        <v>4</v>
      </c>
      <c r="H283" s="220">
        <v>2</v>
      </c>
      <c r="I283" s="220">
        <v>4</v>
      </c>
      <c r="J283" s="220">
        <v>5</v>
      </c>
      <c r="K283" s="220">
        <v>4</v>
      </c>
      <c r="L283" s="220">
        <v>4</v>
      </c>
      <c r="M283" s="220">
        <v>5</v>
      </c>
      <c r="N283" s="220">
        <v>4</v>
      </c>
      <c r="O283" s="220">
        <v>5</v>
      </c>
      <c r="P283" s="220">
        <v>4</v>
      </c>
      <c r="Q283" s="220">
        <v>3</v>
      </c>
      <c r="R283" s="220">
        <v>5</v>
      </c>
      <c r="S283" s="428">
        <v>2</v>
      </c>
      <c r="T283" s="220">
        <v>2</v>
      </c>
      <c r="U283" s="220">
        <v>5</v>
      </c>
      <c r="V283" s="220">
        <v>3</v>
      </c>
      <c r="W283" s="220">
        <v>4</v>
      </c>
      <c r="X283" s="220">
        <v>5</v>
      </c>
      <c r="Y283" s="220">
        <v>4</v>
      </c>
      <c r="Z283" s="220">
        <v>5</v>
      </c>
      <c r="AA283" s="220">
        <v>3</v>
      </c>
      <c r="AB283" s="220">
        <v>4</v>
      </c>
      <c r="AC283" s="220">
        <v>4</v>
      </c>
      <c r="AD283" s="231">
        <v>2</v>
      </c>
      <c r="AE283" s="428">
        <v>4</v>
      </c>
      <c r="AF283" s="220">
        <v>2</v>
      </c>
      <c r="AG283" s="220">
        <v>4</v>
      </c>
      <c r="AH283" s="220">
        <v>4</v>
      </c>
      <c r="AI283" s="220">
        <v>5</v>
      </c>
      <c r="AJ283" s="220">
        <v>4</v>
      </c>
      <c r="AK283" s="220">
        <v>4</v>
      </c>
      <c r="AL283" s="220">
        <v>5</v>
      </c>
      <c r="AM283" s="220">
        <v>4</v>
      </c>
      <c r="AN283" s="220">
        <v>4</v>
      </c>
      <c r="AO283" s="220">
        <v>5</v>
      </c>
      <c r="AP283" s="220">
        <v>4</v>
      </c>
      <c r="AQ283" s="429"/>
      <c r="AR283" s="221">
        <f t="shared" si="106"/>
        <v>43</v>
      </c>
      <c r="AS283" s="221">
        <f t="shared" si="107"/>
        <v>49</v>
      </c>
    </row>
    <row r="284" spans="2:45" ht="15.75" customHeight="1">
      <c r="B284" s="227" t="s">
        <v>2351</v>
      </c>
      <c r="C284" s="332" t="s">
        <v>2067</v>
      </c>
      <c r="D284" s="399">
        <v>1</v>
      </c>
      <c r="E284" s="332" t="s">
        <v>204</v>
      </c>
      <c r="F284" s="427" t="s">
        <v>2348</v>
      </c>
      <c r="G284" s="220">
        <v>2</v>
      </c>
      <c r="H284" s="220">
        <v>0</v>
      </c>
      <c r="I284" s="220">
        <v>3</v>
      </c>
      <c r="J284" s="220">
        <v>4</v>
      </c>
      <c r="K284" s="220">
        <v>3</v>
      </c>
      <c r="L284" s="220">
        <v>1</v>
      </c>
      <c r="M284" s="220">
        <v>2</v>
      </c>
      <c r="N284" s="220">
        <v>2</v>
      </c>
      <c r="O284" s="220">
        <v>2</v>
      </c>
      <c r="P284" s="220">
        <v>3</v>
      </c>
      <c r="Q284" s="220">
        <v>3</v>
      </c>
      <c r="R284" s="220">
        <v>3</v>
      </c>
      <c r="S284" s="428">
        <v>2</v>
      </c>
      <c r="T284" s="220">
        <v>1</v>
      </c>
      <c r="U284" s="220">
        <v>0</v>
      </c>
      <c r="V284" s="220">
        <v>4</v>
      </c>
      <c r="W284" s="220">
        <v>1</v>
      </c>
      <c r="X284" s="220">
        <v>0</v>
      </c>
      <c r="Y284" s="220">
        <v>2</v>
      </c>
      <c r="Z284" s="220">
        <v>3</v>
      </c>
      <c r="AA284" s="220">
        <v>4</v>
      </c>
      <c r="AB284" s="220">
        <v>3</v>
      </c>
      <c r="AC284" s="220">
        <v>4</v>
      </c>
      <c r="AD284" s="231">
        <v>1</v>
      </c>
      <c r="AE284" s="428">
        <v>2</v>
      </c>
      <c r="AF284" s="220">
        <v>3</v>
      </c>
      <c r="AG284" s="220">
        <v>3</v>
      </c>
      <c r="AH284" s="220">
        <v>4</v>
      </c>
      <c r="AI284" s="220">
        <v>2</v>
      </c>
      <c r="AJ284" s="220">
        <v>3</v>
      </c>
      <c r="AK284" s="220">
        <v>1</v>
      </c>
      <c r="AL284" s="220">
        <v>1</v>
      </c>
      <c r="AM284" s="220">
        <v>1</v>
      </c>
      <c r="AN284" s="220">
        <v>3</v>
      </c>
      <c r="AO284" s="220">
        <v>3</v>
      </c>
      <c r="AP284" s="220">
        <v>2</v>
      </c>
      <c r="AQ284" s="429"/>
      <c r="AR284" s="221">
        <f t="shared" si="106"/>
        <v>25</v>
      </c>
      <c r="AS284" s="221">
        <f t="shared" si="107"/>
        <v>28</v>
      </c>
    </row>
    <row r="285" spans="2:45" ht="15.75" customHeight="1">
      <c r="B285" s="227" t="s">
        <v>2351</v>
      </c>
      <c r="C285" s="332" t="s">
        <v>2068</v>
      </c>
      <c r="D285" s="399">
        <v>2</v>
      </c>
      <c r="E285" s="332" t="s">
        <v>204</v>
      </c>
      <c r="F285" s="427" t="s">
        <v>2348</v>
      </c>
      <c r="G285" s="220">
        <v>3</v>
      </c>
      <c r="H285" s="220">
        <v>1</v>
      </c>
      <c r="I285" s="220">
        <v>5</v>
      </c>
      <c r="J285" s="220">
        <v>9</v>
      </c>
      <c r="K285" s="220">
        <v>6</v>
      </c>
      <c r="L285" s="220">
        <v>8</v>
      </c>
      <c r="M285" s="220">
        <v>4</v>
      </c>
      <c r="N285" s="220">
        <v>3</v>
      </c>
      <c r="O285" s="220">
        <v>9</v>
      </c>
      <c r="P285" s="220">
        <v>8</v>
      </c>
      <c r="Q285" s="220">
        <v>7</v>
      </c>
      <c r="R285" s="220">
        <v>5</v>
      </c>
      <c r="S285" s="428">
        <v>2</v>
      </c>
      <c r="T285" s="220">
        <v>2</v>
      </c>
      <c r="U285" s="220">
        <v>5</v>
      </c>
      <c r="V285" s="220">
        <v>7</v>
      </c>
      <c r="W285" s="220">
        <v>6</v>
      </c>
      <c r="X285" s="220">
        <v>4</v>
      </c>
      <c r="Y285" s="220">
        <v>0</v>
      </c>
      <c r="Z285" s="220">
        <v>5</v>
      </c>
      <c r="AA285" s="220">
        <v>5</v>
      </c>
      <c r="AB285" s="220">
        <v>8</v>
      </c>
      <c r="AC285" s="220">
        <v>8</v>
      </c>
      <c r="AD285" s="231">
        <v>3</v>
      </c>
      <c r="AE285" s="428">
        <v>2</v>
      </c>
      <c r="AF285" s="220">
        <v>0</v>
      </c>
      <c r="AG285" s="220">
        <v>4</v>
      </c>
      <c r="AH285" s="220">
        <v>5</v>
      </c>
      <c r="AI285" s="220">
        <v>5</v>
      </c>
      <c r="AJ285" s="220">
        <v>3</v>
      </c>
      <c r="AK285" s="220">
        <v>3</v>
      </c>
      <c r="AL285" s="220">
        <v>2</v>
      </c>
      <c r="AM285" s="220">
        <v>2</v>
      </c>
      <c r="AN285" s="220">
        <v>7</v>
      </c>
      <c r="AO285" s="220">
        <v>6</v>
      </c>
      <c r="AP285" s="220">
        <v>2</v>
      </c>
      <c r="AQ285" s="429"/>
      <c r="AR285" s="221">
        <f t="shared" si="106"/>
        <v>55</v>
      </c>
      <c r="AS285" s="221">
        <f t="shared" si="107"/>
        <v>41</v>
      </c>
    </row>
    <row r="286" spans="2:45" ht="15.75" customHeight="1">
      <c r="B286" s="227" t="s">
        <v>2351</v>
      </c>
      <c r="C286" s="332" t="s">
        <v>2069</v>
      </c>
      <c r="D286" s="399">
        <v>1</v>
      </c>
      <c r="E286" s="332" t="s">
        <v>204</v>
      </c>
      <c r="F286" s="427" t="s">
        <v>2348</v>
      </c>
      <c r="G286" s="220">
        <v>2</v>
      </c>
      <c r="H286" s="220">
        <v>1</v>
      </c>
      <c r="I286" s="220">
        <v>2</v>
      </c>
      <c r="J286" s="220">
        <v>4</v>
      </c>
      <c r="K286" s="220">
        <v>4</v>
      </c>
      <c r="L286" s="220">
        <v>4</v>
      </c>
      <c r="M286" s="220">
        <v>2</v>
      </c>
      <c r="N286" s="220">
        <v>1</v>
      </c>
      <c r="O286" s="220">
        <v>3</v>
      </c>
      <c r="P286" s="220">
        <v>4</v>
      </c>
      <c r="Q286" s="220">
        <v>3</v>
      </c>
      <c r="R286" s="220">
        <v>4</v>
      </c>
      <c r="S286" s="428">
        <v>1</v>
      </c>
      <c r="T286" s="220">
        <v>0</v>
      </c>
      <c r="U286" s="220">
        <v>3</v>
      </c>
      <c r="V286" s="220">
        <v>4</v>
      </c>
      <c r="W286" s="220">
        <v>4</v>
      </c>
      <c r="X286" s="220">
        <v>2</v>
      </c>
      <c r="Y286" s="220">
        <v>1</v>
      </c>
      <c r="Z286" s="220">
        <v>3</v>
      </c>
      <c r="AA286" s="220">
        <v>3</v>
      </c>
      <c r="AB286" s="220">
        <v>4</v>
      </c>
      <c r="AC286" s="220">
        <v>4</v>
      </c>
      <c r="AD286" s="231">
        <v>2</v>
      </c>
      <c r="AE286" s="428">
        <v>1</v>
      </c>
      <c r="AF286" s="220">
        <v>1</v>
      </c>
      <c r="AG286" s="220">
        <v>3</v>
      </c>
      <c r="AH286" s="220">
        <v>2</v>
      </c>
      <c r="AI286" s="220">
        <v>5</v>
      </c>
      <c r="AJ286" s="220">
        <v>4</v>
      </c>
      <c r="AK286" s="220">
        <v>3</v>
      </c>
      <c r="AL286" s="220">
        <v>3</v>
      </c>
      <c r="AM286" s="220">
        <v>4</v>
      </c>
      <c r="AN286" s="220">
        <v>4</v>
      </c>
      <c r="AO286" s="220">
        <v>5</v>
      </c>
      <c r="AP286" s="220">
        <v>3</v>
      </c>
      <c r="AQ286" s="429"/>
      <c r="AR286" s="221">
        <f t="shared" si="106"/>
        <v>31</v>
      </c>
      <c r="AS286" s="221">
        <f t="shared" si="107"/>
        <v>38</v>
      </c>
    </row>
    <row r="287" spans="2:45" ht="15.75" customHeight="1">
      <c r="B287" s="227" t="s">
        <v>2351</v>
      </c>
      <c r="C287" s="332" t="s">
        <v>2070</v>
      </c>
      <c r="D287" s="399">
        <v>1</v>
      </c>
      <c r="E287" s="332" t="s">
        <v>204</v>
      </c>
      <c r="F287" s="427" t="s">
        <v>2348</v>
      </c>
      <c r="G287" s="220">
        <v>1</v>
      </c>
      <c r="H287" s="220">
        <v>2</v>
      </c>
      <c r="I287" s="220">
        <v>4</v>
      </c>
      <c r="J287" s="220">
        <v>5</v>
      </c>
      <c r="K287" s="220">
        <v>4</v>
      </c>
      <c r="L287" s="220">
        <v>3</v>
      </c>
      <c r="M287" s="220">
        <v>4</v>
      </c>
      <c r="N287" s="220">
        <v>3</v>
      </c>
      <c r="O287" s="220">
        <v>5</v>
      </c>
      <c r="P287" s="220">
        <v>4</v>
      </c>
      <c r="Q287" s="220">
        <v>3</v>
      </c>
      <c r="R287" s="220">
        <v>4</v>
      </c>
      <c r="S287" s="428">
        <v>3</v>
      </c>
      <c r="T287" s="220">
        <v>4</v>
      </c>
      <c r="U287" s="220">
        <v>5</v>
      </c>
      <c r="V287" s="220">
        <v>4</v>
      </c>
      <c r="W287" s="220">
        <v>4</v>
      </c>
      <c r="X287" s="220">
        <v>5</v>
      </c>
      <c r="Y287" s="220">
        <v>4</v>
      </c>
      <c r="Z287" s="220">
        <v>5</v>
      </c>
      <c r="AA287" s="220">
        <v>4</v>
      </c>
      <c r="AB287" s="220">
        <v>4</v>
      </c>
      <c r="AC287" s="220">
        <v>5</v>
      </c>
      <c r="AD287" s="231">
        <v>3</v>
      </c>
      <c r="AE287" s="428">
        <v>1</v>
      </c>
      <c r="AF287" s="220">
        <v>4</v>
      </c>
      <c r="AG287" s="220">
        <v>5</v>
      </c>
      <c r="AH287" s="220">
        <v>4</v>
      </c>
      <c r="AI287" s="220">
        <v>5</v>
      </c>
      <c r="AJ287" s="220">
        <v>4</v>
      </c>
      <c r="AK287" s="220">
        <v>4</v>
      </c>
      <c r="AL287" s="220">
        <v>3</v>
      </c>
      <c r="AM287" s="220">
        <v>4</v>
      </c>
      <c r="AN287" s="220">
        <v>4</v>
      </c>
      <c r="AO287" s="220">
        <v>5</v>
      </c>
      <c r="AP287" s="220">
        <v>2</v>
      </c>
      <c r="AQ287" s="429"/>
      <c r="AR287" s="221">
        <f t="shared" si="106"/>
        <v>50</v>
      </c>
      <c r="AS287" s="221">
        <f t="shared" si="107"/>
        <v>45</v>
      </c>
    </row>
    <row r="288" spans="2:45" ht="15.75" customHeight="1">
      <c r="B288" s="227" t="s">
        <v>2351</v>
      </c>
      <c r="C288" s="332" t="s">
        <v>2071</v>
      </c>
      <c r="D288" s="399">
        <v>2</v>
      </c>
      <c r="E288" s="332" t="s">
        <v>204</v>
      </c>
      <c r="F288" s="427" t="s">
        <v>2348</v>
      </c>
      <c r="G288" s="220">
        <v>0</v>
      </c>
      <c r="H288" s="220">
        <v>0</v>
      </c>
      <c r="I288" s="220">
        <v>0</v>
      </c>
      <c r="J288" s="220">
        <v>0</v>
      </c>
      <c r="K288" s="220">
        <v>0</v>
      </c>
      <c r="L288" s="220">
        <v>0</v>
      </c>
      <c r="M288" s="220">
        <v>0</v>
      </c>
      <c r="N288" s="220">
        <v>0</v>
      </c>
      <c r="O288" s="220">
        <v>0</v>
      </c>
      <c r="P288" s="220">
        <v>0</v>
      </c>
      <c r="Q288" s="220">
        <v>0</v>
      </c>
      <c r="R288" s="220">
        <v>0</v>
      </c>
      <c r="S288" s="428">
        <v>0</v>
      </c>
      <c r="T288" s="220">
        <v>0</v>
      </c>
      <c r="U288" s="220">
        <v>0</v>
      </c>
      <c r="V288" s="220">
        <v>0</v>
      </c>
      <c r="W288" s="220">
        <v>0</v>
      </c>
      <c r="X288" s="220">
        <v>0</v>
      </c>
      <c r="Y288" s="220">
        <v>0</v>
      </c>
      <c r="Z288" s="220">
        <v>0</v>
      </c>
      <c r="AA288" s="220">
        <v>0</v>
      </c>
      <c r="AB288" s="220">
        <v>0</v>
      </c>
      <c r="AC288" s="220">
        <v>0</v>
      </c>
      <c r="AD288" s="231">
        <v>0</v>
      </c>
      <c r="AE288" s="428">
        <v>0</v>
      </c>
      <c r="AF288" s="220">
        <v>0</v>
      </c>
      <c r="AG288" s="220">
        <v>3</v>
      </c>
      <c r="AH288" s="220">
        <v>2</v>
      </c>
      <c r="AI288" s="220">
        <v>1</v>
      </c>
      <c r="AJ288" s="220">
        <v>1</v>
      </c>
      <c r="AK288" s="220">
        <v>0</v>
      </c>
      <c r="AL288" s="220">
        <v>2</v>
      </c>
      <c r="AM288" s="220">
        <v>2</v>
      </c>
      <c r="AN288" s="220">
        <v>3</v>
      </c>
      <c r="AO288" s="220">
        <v>2</v>
      </c>
      <c r="AP288" s="220">
        <v>1</v>
      </c>
      <c r="AQ288" s="429"/>
      <c r="AR288" s="221">
        <f t="shared" si="106"/>
        <v>0</v>
      </c>
      <c r="AS288" s="221">
        <f t="shared" si="107"/>
        <v>17</v>
      </c>
    </row>
    <row r="289" spans="2:45" ht="15.75" customHeight="1">
      <c r="B289" s="227" t="s">
        <v>2351</v>
      </c>
      <c r="C289" s="332" t="s">
        <v>2072</v>
      </c>
      <c r="D289" s="399">
        <v>1</v>
      </c>
      <c r="E289" s="332" t="s">
        <v>204</v>
      </c>
      <c r="F289" s="427" t="s">
        <v>2348</v>
      </c>
      <c r="G289" s="220">
        <v>0</v>
      </c>
      <c r="H289" s="220">
        <v>1</v>
      </c>
      <c r="I289" s="220">
        <v>1</v>
      </c>
      <c r="J289" s="220">
        <v>3</v>
      </c>
      <c r="K289" s="220">
        <v>2</v>
      </c>
      <c r="L289" s="220">
        <v>2</v>
      </c>
      <c r="M289" s="220">
        <v>0</v>
      </c>
      <c r="N289" s="220">
        <v>1</v>
      </c>
      <c r="O289" s="220">
        <v>4</v>
      </c>
      <c r="P289" s="220">
        <v>4</v>
      </c>
      <c r="Q289" s="220">
        <v>2</v>
      </c>
      <c r="R289" s="220">
        <v>2</v>
      </c>
      <c r="S289" s="428">
        <v>1</v>
      </c>
      <c r="T289" s="220">
        <v>0</v>
      </c>
      <c r="U289" s="220">
        <v>1</v>
      </c>
      <c r="V289" s="220">
        <v>1</v>
      </c>
      <c r="W289" s="220">
        <v>4</v>
      </c>
      <c r="X289" s="220">
        <v>2</v>
      </c>
      <c r="Y289" s="220">
        <v>0</v>
      </c>
      <c r="Z289" s="220">
        <v>2</v>
      </c>
      <c r="AA289" s="220">
        <v>3</v>
      </c>
      <c r="AB289" s="220">
        <v>2</v>
      </c>
      <c r="AC289" s="220">
        <v>4</v>
      </c>
      <c r="AD289" s="231">
        <v>1</v>
      </c>
      <c r="AE289" s="428">
        <v>1</v>
      </c>
      <c r="AF289" s="220">
        <v>0</v>
      </c>
      <c r="AG289" s="220">
        <v>2</v>
      </c>
      <c r="AH289" s="220">
        <v>3</v>
      </c>
      <c r="AI289" s="220">
        <v>4</v>
      </c>
      <c r="AJ289" s="220">
        <v>2</v>
      </c>
      <c r="AK289" s="220">
        <v>1</v>
      </c>
      <c r="AL289" s="220">
        <v>1</v>
      </c>
      <c r="AM289" s="220">
        <v>2</v>
      </c>
      <c r="AN289" s="220">
        <v>4</v>
      </c>
      <c r="AO289" s="220">
        <v>4</v>
      </c>
      <c r="AP289" s="220">
        <v>0</v>
      </c>
      <c r="AQ289" s="429"/>
      <c r="AR289" s="221">
        <f t="shared" si="106"/>
        <v>21</v>
      </c>
      <c r="AS289" s="221">
        <f t="shared" si="107"/>
        <v>24</v>
      </c>
    </row>
    <row r="290" spans="2:45" ht="15.75" customHeight="1">
      <c r="B290" s="227" t="s">
        <v>2351</v>
      </c>
      <c r="C290" s="332" t="s">
        <v>2073</v>
      </c>
      <c r="D290" s="399">
        <v>1</v>
      </c>
      <c r="E290" s="332" t="s">
        <v>204</v>
      </c>
      <c r="F290" s="427" t="s">
        <v>2349</v>
      </c>
      <c r="G290" s="220">
        <v>2</v>
      </c>
      <c r="H290" s="220">
        <v>1</v>
      </c>
      <c r="I290" s="220">
        <v>2</v>
      </c>
      <c r="J290" s="220">
        <v>3</v>
      </c>
      <c r="K290" s="220">
        <v>4</v>
      </c>
      <c r="L290" s="220">
        <v>4</v>
      </c>
      <c r="M290" s="220">
        <v>3</v>
      </c>
      <c r="N290" s="220">
        <v>1</v>
      </c>
      <c r="O290" s="220">
        <v>3</v>
      </c>
      <c r="P290" s="220">
        <v>4</v>
      </c>
      <c r="Q290" s="220">
        <v>3</v>
      </c>
      <c r="R290" s="220">
        <v>3</v>
      </c>
      <c r="S290" s="428">
        <v>2</v>
      </c>
      <c r="T290" s="220">
        <v>2</v>
      </c>
      <c r="U290" s="220">
        <v>4</v>
      </c>
      <c r="V290" s="220">
        <v>4</v>
      </c>
      <c r="W290" s="220">
        <v>4</v>
      </c>
      <c r="X290" s="220">
        <v>3</v>
      </c>
      <c r="Y290" s="220">
        <v>0</v>
      </c>
      <c r="Z290" s="220">
        <v>4</v>
      </c>
      <c r="AA290" s="220">
        <v>3</v>
      </c>
      <c r="AB290" s="220">
        <v>3</v>
      </c>
      <c r="AC290" s="220">
        <v>4</v>
      </c>
      <c r="AD290" s="231">
        <v>2</v>
      </c>
      <c r="AE290" s="428">
        <v>4</v>
      </c>
      <c r="AF290" s="220">
        <v>3</v>
      </c>
      <c r="AG290" s="220">
        <v>4</v>
      </c>
      <c r="AH290" s="220">
        <v>2</v>
      </c>
      <c r="AI290" s="220">
        <v>2</v>
      </c>
      <c r="AJ290" s="220">
        <v>4</v>
      </c>
      <c r="AK290" s="220">
        <v>1</v>
      </c>
      <c r="AL290" s="220">
        <v>1</v>
      </c>
      <c r="AM290" s="220">
        <v>3</v>
      </c>
      <c r="AN290" s="220">
        <v>4</v>
      </c>
      <c r="AO290" s="220">
        <v>3</v>
      </c>
      <c r="AP290" s="220">
        <v>3</v>
      </c>
      <c r="AQ290" s="429"/>
      <c r="AR290" s="221">
        <f t="shared" si="106"/>
        <v>35</v>
      </c>
      <c r="AS290" s="221">
        <f t="shared" si="107"/>
        <v>34</v>
      </c>
    </row>
    <row r="291" spans="2:45" ht="15.75" customHeight="1">
      <c r="B291" s="227" t="s">
        <v>2351</v>
      </c>
      <c r="C291" s="332" t="s">
        <v>2074</v>
      </c>
      <c r="D291" s="399">
        <v>1</v>
      </c>
      <c r="E291" s="332" t="s">
        <v>204</v>
      </c>
      <c r="F291" s="427" t="s">
        <v>2349</v>
      </c>
      <c r="G291" s="220">
        <v>0</v>
      </c>
      <c r="H291" s="220">
        <v>1</v>
      </c>
      <c r="I291" s="220">
        <v>0</v>
      </c>
      <c r="J291" s="220">
        <v>3</v>
      </c>
      <c r="K291" s="220">
        <v>4</v>
      </c>
      <c r="L291" s="220">
        <v>2</v>
      </c>
      <c r="M291" s="220">
        <v>2</v>
      </c>
      <c r="N291" s="220">
        <v>2</v>
      </c>
      <c r="O291" s="220">
        <v>5</v>
      </c>
      <c r="P291" s="220">
        <v>4</v>
      </c>
      <c r="Q291" s="220">
        <v>2</v>
      </c>
      <c r="R291" s="220">
        <v>2</v>
      </c>
      <c r="S291" s="428">
        <v>1</v>
      </c>
      <c r="T291" s="220">
        <v>0</v>
      </c>
      <c r="U291" s="220">
        <v>1</v>
      </c>
      <c r="V291" s="220">
        <v>4</v>
      </c>
      <c r="W291" s="220">
        <v>3</v>
      </c>
      <c r="X291" s="220">
        <v>2</v>
      </c>
      <c r="Y291" s="220">
        <v>0</v>
      </c>
      <c r="Z291" s="220">
        <v>3</v>
      </c>
      <c r="AA291" s="220">
        <v>3</v>
      </c>
      <c r="AB291" s="220">
        <v>4</v>
      </c>
      <c r="AC291" s="220">
        <v>5</v>
      </c>
      <c r="AD291" s="231">
        <v>2</v>
      </c>
      <c r="AE291" s="428">
        <v>2</v>
      </c>
      <c r="AF291" s="220">
        <v>2</v>
      </c>
      <c r="AG291" s="220">
        <v>1</v>
      </c>
      <c r="AH291" s="220">
        <v>1</v>
      </c>
      <c r="AI291" s="220">
        <v>3</v>
      </c>
      <c r="AJ291" s="220">
        <v>4</v>
      </c>
      <c r="AK291" s="220">
        <v>0</v>
      </c>
      <c r="AL291" s="220">
        <v>2</v>
      </c>
      <c r="AM291" s="220">
        <v>3</v>
      </c>
      <c r="AN291" s="220">
        <v>4</v>
      </c>
      <c r="AO291" s="220">
        <v>4</v>
      </c>
      <c r="AP291" s="220">
        <v>2</v>
      </c>
      <c r="AQ291" s="429"/>
      <c r="AR291" s="221">
        <f t="shared" si="106"/>
        <v>28</v>
      </c>
      <c r="AS291" s="221">
        <f t="shared" si="107"/>
        <v>28</v>
      </c>
    </row>
    <row r="292" spans="2:45" ht="15.75" customHeight="1">
      <c r="B292" s="227" t="s">
        <v>2351</v>
      </c>
      <c r="C292" s="332" t="s">
        <v>2075</v>
      </c>
      <c r="D292" s="399">
        <v>1</v>
      </c>
      <c r="E292" s="332" t="s">
        <v>204</v>
      </c>
      <c r="F292" s="427" t="s">
        <v>2349</v>
      </c>
      <c r="G292" s="220">
        <v>0</v>
      </c>
      <c r="H292" s="220">
        <v>0</v>
      </c>
      <c r="I292" s="220">
        <v>1</v>
      </c>
      <c r="J292" s="220">
        <v>2</v>
      </c>
      <c r="K292" s="220">
        <v>4</v>
      </c>
      <c r="L292" s="220">
        <v>2</v>
      </c>
      <c r="M292" s="220">
        <v>1</v>
      </c>
      <c r="N292" s="220">
        <v>4</v>
      </c>
      <c r="O292" s="220">
        <v>5</v>
      </c>
      <c r="P292" s="220">
        <v>4</v>
      </c>
      <c r="Q292" s="220">
        <v>3</v>
      </c>
      <c r="R292" s="220">
        <v>3</v>
      </c>
      <c r="S292" s="428">
        <v>2</v>
      </c>
      <c r="T292" s="220">
        <v>2</v>
      </c>
      <c r="U292" s="220">
        <v>5</v>
      </c>
      <c r="V292" s="220">
        <v>4</v>
      </c>
      <c r="W292" s="220">
        <v>3</v>
      </c>
      <c r="X292" s="220">
        <v>5</v>
      </c>
      <c r="Y292" s="220">
        <v>3</v>
      </c>
      <c r="Z292" s="220">
        <v>5</v>
      </c>
      <c r="AA292" s="220">
        <v>4</v>
      </c>
      <c r="AB292" s="220">
        <v>4</v>
      </c>
      <c r="AC292" s="220">
        <v>5</v>
      </c>
      <c r="AD292" s="231">
        <v>3</v>
      </c>
      <c r="AE292" s="428">
        <v>3</v>
      </c>
      <c r="AF292" s="220">
        <v>2</v>
      </c>
      <c r="AG292" s="220">
        <v>5</v>
      </c>
      <c r="AH292" s="220">
        <v>4</v>
      </c>
      <c r="AI292" s="220">
        <v>5</v>
      </c>
      <c r="AJ292" s="220">
        <v>4</v>
      </c>
      <c r="AK292" s="220">
        <v>2</v>
      </c>
      <c r="AL292" s="220">
        <v>2</v>
      </c>
      <c r="AM292" s="220">
        <v>4</v>
      </c>
      <c r="AN292" s="220">
        <v>4</v>
      </c>
      <c r="AO292" s="220">
        <v>5</v>
      </c>
      <c r="AP292" s="220">
        <v>3</v>
      </c>
      <c r="AQ292" s="429"/>
      <c r="AR292" s="221">
        <f t="shared" si="106"/>
        <v>45</v>
      </c>
      <c r="AS292" s="221">
        <f t="shared" si="107"/>
        <v>43</v>
      </c>
    </row>
    <row r="293" spans="2:45" ht="15.75" customHeight="1">
      <c r="B293" s="227" t="s">
        <v>2351</v>
      </c>
      <c r="C293" s="332" t="s">
        <v>2076</v>
      </c>
      <c r="D293" s="399">
        <v>1</v>
      </c>
      <c r="E293" s="332" t="s">
        <v>204</v>
      </c>
      <c r="F293" s="427" t="s">
        <v>2349</v>
      </c>
      <c r="G293" s="220">
        <v>0</v>
      </c>
      <c r="H293" s="220">
        <v>0</v>
      </c>
      <c r="I293" s="220">
        <v>0</v>
      </c>
      <c r="J293" s="220">
        <v>0</v>
      </c>
      <c r="K293" s="220">
        <v>0</v>
      </c>
      <c r="L293" s="220">
        <v>0</v>
      </c>
      <c r="M293" s="220">
        <v>0</v>
      </c>
      <c r="N293" s="220">
        <v>0</v>
      </c>
      <c r="O293" s="220">
        <v>1</v>
      </c>
      <c r="P293" s="220">
        <v>0</v>
      </c>
      <c r="Q293" s="220">
        <v>1</v>
      </c>
      <c r="R293" s="220">
        <v>0</v>
      </c>
      <c r="S293" s="428">
        <v>1</v>
      </c>
      <c r="T293" s="220">
        <v>1</v>
      </c>
      <c r="U293" s="220">
        <v>2</v>
      </c>
      <c r="V293" s="220">
        <v>2</v>
      </c>
      <c r="W293" s="220">
        <v>3</v>
      </c>
      <c r="X293" s="220">
        <v>3</v>
      </c>
      <c r="Y293" s="220">
        <v>1</v>
      </c>
      <c r="Z293" s="220">
        <v>3</v>
      </c>
      <c r="AA293" s="220">
        <v>3</v>
      </c>
      <c r="AB293" s="220">
        <v>4</v>
      </c>
      <c r="AC293" s="220">
        <v>3</v>
      </c>
      <c r="AD293" s="231">
        <v>3</v>
      </c>
      <c r="AE293" s="428">
        <v>2</v>
      </c>
      <c r="AF293" s="220">
        <v>1</v>
      </c>
      <c r="AG293" s="220">
        <v>1</v>
      </c>
      <c r="AH293" s="220">
        <v>3</v>
      </c>
      <c r="AI293" s="220">
        <v>2</v>
      </c>
      <c r="AJ293" s="220">
        <v>2</v>
      </c>
      <c r="AK293" s="220">
        <v>1</v>
      </c>
      <c r="AL293" s="220">
        <v>0</v>
      </c>
      <c r="AM293" s="220">
        <v>2</v>
      </c>
      <c r="AN293" s="220">
        <v>4</v>
      </c>
      <c r="AO293" s="220">
        <v>0</v>
      </c>
      <c r="AP293" s="220">
        <v>2</v>
      </c>
      <c r="AQ293" s="429"/>
      <c r="AR293" s="221">
        <f t="shared" si="106"/>
        <v>29</v>
      </c>
      <c r="AS293" s="221">
        <f t="shared" si="107"/>
        <v>20</v>
      </c>
    </row>
    <row r="294" spans="2:45" ht="15.75" customHeight="1">
      <c r="B294" s="227" t="s">
        <v>2351</v>
      </c>
      <c r="C294" s="332" t="s">
        <v>2077</v>
      </c>
      <c r="D294" s="399">
        <v>1</v>
      </c>
      <c r="E294" s="332" t="s">
        <v>204</v>
      </c>
      <c r="F294" s="427" t="s">
        <v>2349</v>
      </c>
      <c r="G294" s="220">
        <v>2</v>
      </c>
      <c r="H294" s="220">
        <v>1</v>
      </c>
      <c r="I294" s="220">
        <v>1</v>
      </c>
      <c r="J294" s="220">
        <v>2</v>
      </c>
      <c r="K294" s="220">
        <v>2</v>
      </c>
      <c r="L294" s="220">
        <v>0</v>
      </c>
      <c r="M294" s="220">
        <v>1</v>
      </c>
      <c r="N294" s="220">
        <v>2</v>
      </c>
      <c r="O294" s="220">
        <v>5</v>
      </c>
      <c r="P294" s="220">
        <v>3</v>
      </c>
      <c r="Q294" s="220">
        <v>2</v>
      </c>
      <c r="R294" s="220">
        <v>1</v>
      </c>
      <c r="S294" s="428">
        <v>4</v>
      </c>
      <c r="T294" s="220">
        <v>2</v>
      </c>
      <c r="U294" s="220">
        <v>1</v>
      </c>
      <c r="V294" s="220">
        <v>3</v>
      </c>
      <c r="W294" s="220">
        <v>2</v>
      </c>
      <c r="X294" s="220">
        <v>1</v>
      </c>
      <c r="Y294" s="220">
        <v>0</v>
      </c>
      <c r="Z294" s="220">
        <v>3</v>
      </c>
      <c r="AA294" s="220">
        <v>1</v>
      </c>
      <c r="AB294" s="220">
        <v>4</v>
      </c>
      <c r="AC294" s="220">
        <v>2</v>
      </c>
      <c r="AD294" s="231">
        <v>1</v>
      </c>
      <c r="AE294" s="428">
        <v>3</v>
      </c>
      <c r="AF294" s="220">
        <v>0</v>
      </c>
      <c r="AG294" s="220">
        <v>1</v>
      </c>
      <c r="AH294" s="220">
        <v>1</v>
      </c>
      <c r="AI294" s="220">
        <v>2</v>
      </c>
      <c r="AJ294" s="220">
        <v>2</v>
      </c>
      <c r="AK294" s="220">
        <v>1</v>
      </c>
      <c r="AL294" s="220">
        <v>1</v>
      </c>
      <c r="AM294" s="220">
        <v>1</v>
      </c>
      <c r="AN294" s="220">
        <v>2</v>
      </c>
      <c r="AO294" s="220">
        <v>4</v>
      </c>
      <c r="AP294" s="220">
        <v>1</v>
      </c>
      <c r="AQ294" s="429"/>
      <c r="AR294" s="221">
        <f t="shared" si="106"/>
        <v>24</v>
      </c>
      <c r="AS294" s="221">
        <f t="shared" si="107"/>
        <v>19</v>
      </c>
    </row>
    <row r="295" spans="2:45" ht="15.75" customHeight="1">
      <c r="B295" s="227" t="s">
        <v>2351</v>
      </c>
      <c r="C295" s="332" t="s">
        <v>2078</v>
      </c>
      <c r="D295" s="399">
        <v>2</v>
      </c>
      <c r="E295" s="332" t="s">
        <v>2058</v>
      </c>
      <c r="F295" s="427" t="s">
        <v>2058</v>
      </c>
      <c r="G295" s="220">
        <v>1</v>
      </c>
      <c r="H295" s="220">
        <v>1</v>
      </c>
      <c r="I295" s="220">
        <v>6</v>
      </c>
      <c r="J295" s="220">
        <v>4</v>
      </c>
      <c r="K295" s="220">
        <v>3</v>
      </c>
      <c r="L295" s="220">
        <v>3</v>
      </c>
      <c r="M295" s="220">
        <v>0</v>
      </c>
      <c r="N295" s="220">
        <v>0</v>
      </c>
      <c r="O295" s="220">
        <v>5</v>
      </c>
      <c r="P295" s="220">
        <v>6</v>
      </c>
      <c r="Q295" s="220">
        <v>6</v>
      </c>
      <c r="R295" s="220">
        <v>5</v>
      </c>
      <c r="S295" s="428">
        <v>1</v>
      </c>
      <c r="T295" s="220">
        <v>2</v>
      </c>
      <c r="U295" s="220">
        <v>6</v>
      </c>
      <c r="V295" s="220">
        <v>7</v>
      </c>
      <c r="W295" s="220">
        <v>5</v>
      </c>
      <c r="X295" s="220">
        <v>3</v>
      </c>
      <c r="Y295" s="220">
        <v>0</v>
      </c>
      <c r="Z295" s="220">
        <v>0</v>
      </c>
      <c r="AA295" s="220">
        <v>2</v>
      </c>
      <c r="AB295" s="220">
        <v>7</v>
      </c>
      <c r="AC295" s="220">
        <v>8</v>
      </c>
      <c r="AD295" s="231">
        <v>2</v>
      </c>
      <c r="AE295" s="428">
        <v>0</v>
      </c>
      <c r="AF295" s="220">
        <v>0</v>
      </c>
      <c r="AG295" s="220">
        <v>5</v>
      </c>
      <c r="AH295" s="220">
        <v>4</v>
      </c>
      <c r="AI295" s="220">
        <v>5</v>
      </c>
      <c r="AJ295" s="220">
        <v>0</v>
      </c>
      <c r="AK295" s="220">
        <v>2</v>
      </c>
      <c r="AL295" s="220">
        <v>2</v>
      </c>
      <c r="AM295" s="220">
        <v>5</v>
      </c>
      <c r="AN295" s="220">
        <v>7</v>
      </c>
      <c r="AO295" s="220">
        <v>8</v>
      </c>
      <c r="AP295" s="220">
        <v>4</v>
      </c>
      <c r="AQ295" s="429"/>
      <c r="AR295" s="221">
        <f t="shared" ref="AR295:AR413" si="108">SUM(S295:AD295)</f>
        <v>43</v>
      </c>
      <c r="AS295" s="221">
        <f t="shared" ref="AS295:AS413" si="109">SUM(AE295:AP295)</f>
        <v>42</v>
      </c>
    </row>
    <row r="296" spans="2:45" ht="15.75" customHeight="1">
      <c r="B296" s="227" t="s">
        <v>2351</v>
      </c>
      <c r="C296" s="332" t="s">
        <v>2169</v>
      </c>
      <c r="D296" s="399">
        <v>1</v>
      </c>
      <c r="E296" s="332" t="s">
        <v>2058</v>
      </c>
      <c r="F296" s="427" t="s">
        <v>2058</v>
      </c>
      <c r="G296" s="220">
        <v>2</v>
      </c>
      <c r="H296" s="220">
        <v>2</v>
      </c>
      <c r="I296" s="220">
        <v>3</v>
      </c>
      <c r="J296" s="220">
        <v>3</v>
      </c>
      <c r="K296" s="220">
        <v>3</v>
      </c>
      <c r="L296" s="220">
        <v>3</v>
      </c>
      <c r="M296" s="220">
        <v>3</v>
      </c>
      <c r="N296" s="220">
        <v>3</v>
      </c>
      <c r="O296" s="220">
        <v>5</v>
      </c>
      <c r="P296" s="220">
        <v>4</v>
      </c>
      <c r="Q296" s="220">
        <v>3</v>
      </c>
      <c r="R296" s="220">
        <v>4</v>
      </c>
      <c r="S296" s="428">
        <v>1</v>
      </c>
      <c r="T296" s="220">
        <v>1</v>
      </c>
      <c r="U296" s="220">
        <v>3</v>
      </c>
      <c r="V296" s="220">
        <v>4</v>
      </c>
      <c r="W296" s="220">
        <v>3</v>
      </c>
      <c r="X296" s="220">
        <v>5</v>
      </c>
      <c r="Y296" s="220">
        <v>2</v>
      </c>
      <c r="Z296" s="220">
        <v>2</v>
      </c>
      <c r="AA296" s="220">
        <v>4</v>
      </c>
      <c r="AB296" s="220">
        <v>4</v>
      </c>
      <c r="AC296" s="220">
        <v>5</v>
      </c>
      <c r="AD296" s="231">
        <v>3</v>
      </c>
      <c r="AE296" s="428">
        <v>0</v>
      </c>
      <c r="AF296" s="220">
        <v>1</v>
      </c>
      <c r="AG296" s="220">
        <v>4</v>
      </c>
      <c r="AH296" s="220">
        <v>4</v>
      </c>
      <c r="AI296" s="220">
        <v>2</v>
      </c>
      <c r="AJ296" s="220">
        <v>2</v>
      </c>
      <c r="AK296" s="220">
        <v>3</v>
      </c>
      <c r="AL296" s="220">
        <v>1</v>
      </c>
      <c r="AM296" s="220">
        <v>2</v>
      </c>
      <c r="AN296" s="220">
        <v>3</v>
      </c>
      <c r="AO296" s="220">
        <v>4</v>
      </c>
      <c r="AP296" s="220">
        <v>0</v>
      </c>
      <c r="AQ296" s="429"/>
      <c r="AR296" s="221">
        <f t="shared" si="108"/>
        <v>37</v>
      </c>
      <c r="AS296" s="221">
        <f t="shared" si="109"/>
        <v>26</v>
      </c>
    </row>
    <row r="297" spans="2:45" ht="15.75" customHeight="1">
      <c r="B297" s="227" t="s">
        <v>2351</v>
      </c>
      <c r="C297" s="332" t="s">
        <v>2080</v>
      </c>
      <c r="D297" s="399">
        <v>2</v>
      </c>
      <c r="E297" s="332" t="s">
        <v>2058</v>
      </c>
      <c r="F297" s="427" t="s">
        <v>2058</v>
      </c>
      <c r="G297" s="220">
        <v>0</v>
      </c>
      <c r="H297" s="220">
        <v>0</v>
      </c>
      <c r="I297" s="220">
        <v>0</v>
      </c>
      <c r="J297" s="220">
        <v>0</v>
      </c>
      <c r="K297" s="220">
        <v>0</v>
      </c>
      <c r="L297" s="220">
        <v>0</v>
      </c>
      <c r="M297" s="220">
        <v>0</v>
      </c>
      <c r="N297" s="220">
        <v>0</v>
      </c>
      <c r="O297" s="220">
        <v>0</v>
      </c>
      <c r="P297" s="220">
        <v>0</v>
      </c>
      <c r="Q297" s="220">
        <v>0</v>
      </c>
      <c r="R297" s="220">
        <v>0</v>
      </c>
      <c r="S297" s="428">
        <v>0</v>
      </c>
      <c r="T297" s="220">
        <v>0</v>
      </c>
      <c r="U297" s="220">
        <v>0</v>
      </c>
      <c r="V297" s="220">
        <v>0</v>
      </c>
      <c r="W297" s="220">
        <v>0</v>
      </c>
      <c r="X297" s="220">
        <v>0</v>
      </c>
      <c r="Y297" s="220">
        <v>0</v>
      </c>
      <c r="Z297" s="220">
        <v>0</v>
      </c>
      <c r="AA297" s="220">
        <v>0</v>
      </c>
      <c r="AB297" s="220">
        <v>0</v>
      </c>
      <c r="AC297" s="220">
        <v>0</v>
      </c>
      <c r="AD297" s="231">
        <v>0</v>
      </c>
      <c r="AE297" s="428">
        <v>0</v>
      </c>
      <c r="AF297" s="220">
        <v>0</v>
      </c>
      <c r="AG297" s="220">
        <v>0</v>
      </c>
      <c r="AH297" s="220">
        <v>0</v>
      </c>
      <c r="AI297" s="220">
        <v>0</v>
      </c>
      <c r="AJ297" s="220">
        <v>0</v>
      </c>
      <c r="AK297" s="220">
        <v>0</v>
      </c>
      <c r="AL297" s="220">
        <v>0</v>
      </c>
      <c r="AM297" s="220">
        <v>0</v>
      </c>
      <c r="AN297" s="220">
        <v>0</v>
      </c>
      <c r="AO297" s="220">
        <v>0</v>
      </c>
      <c r="AP297" s="220">
        <v>0</v>
      </c>
      <c r="AQ297" s="429"/>
      <c r="AR297" s="221">
        <f t="shared" si="108"/>
        <v>0</v>
      </c>
      <c r="AS297" s="221">
        <f t="shared" si="109"/>
        <v>0</v>
      </c>
    </row>
    <row r="298" spans="2:45" ht="15.75" customHeight="1">
      <c r="B298" s="227" t="s">
        <v>2351</v>
      </c>
      <c r="C298" s="332" t="s">
        <v>2081</v>
      </c>
      <c r="D298" s="399">
        <v>1</v>
      </c>
      <c r="E298" s="332" t="s">
        <v>2058</v>
      </c>
      <c r="F298" s="427" t="s">
        <v>2058</v>
      </c>
      <c r="G298" s="220">
        <v>1</v>
      </c>
      <c r="H298" s="220">
        <v>1</v>
      </c>
      <c r="I298" s="220">
        <v>2</v>
      </c>
      <c r="J298" s="220">
        <v>2</v>
      </c>
      <c r="K298" s="220">
        <v>2</v>
      </c>
      <c r="L298" s="220">
        <v>2</v>
      </c>
      <c r="M298" s="220">
        <v>3</v>
      </c>
      <c r="N298" s="220">
        <v>1</v>
      </c>
      <c r="O298" s="220">
        <v>3</v>
      </c>
      <c r="P298" s="220">
        <v>3</v>
      </c>
      <c r="Q298" s="220">
        <v>3</v>
      </c>
      <c r="R298" s="220">
        <v>3</v>
      </c>
      <c r="S298" s="428">
        <v>0</v>
      </c>
      <c r="T298" s="220">
        <v>2</v>
      </c>
      <c r="U298" s="220">
        <v>3</v>
      </c>
      <c r="V298" s="220">
        <v>2</v>
      </c>
      <c r="W298" s="220">
        <v>2</v>
      </c>
      <c r="X298" s="220">
        <v>2</v>
      </c>
      <c r="Y298" s="220">
        <v>0</v>
      </c>
      <c r="Z298" s="220">
        <v>1</v>
      </c>
      <c r="AA298" s="220">
        <v>2</v>
      </c>
      <c r="AB298" s="220">
        <v>4</v>
      </c>
      <c r="AC298" s="220">
        <v>4</v>
      </c>
      <c r="AD298" s="231">
        <v>1</v>
      </c>
      <c r="AE298" s="428">
        <v>3</v>
      </c>
      <c r="AF298" s="220">
        <v>2</v>
      </c>
      <c r="AG298" s="220">
        <v>1</v>
      </c>
      <c r="AH298" s="220">
        <v>0</v>
      </c>
      <c r="AI298" s="220">
        <v>2</v>
      </c>
      <c r="AJ298" s="220">
        <v>0</v>
      </c>
      <c r="AK298" s="220">
        <v>2</v>
      </c>
      <c r="AL298" s="220">
        <v>0</v>
      </c>
      <c r="AM298" s="220">
        <v>1</v>
      </c>
      <c r="AN298" s="220">
        <v>3</v>
      </c>
      <c r="AO298" s="220">
        <v>1</v>
      </c>
      <c r="AP298" s="220">
        <v>2</v>
      </c>
      <c r="AQ298" s="429"/>
      <c r="AR298" s="221">
        <f t="shared" si="108"/>
        <v>23</v>
      </c>
      <c r="AS298" s="221">
        <f t="shared" si="109"/>
        <v>17</v>
      </c>
    </row>
    <row r="299" spans="2:45" ht="15.75" customHeight="1">
      <c r="B299" s="227" t="s">
        <v>2351</v>
      </c>
      <c r="C299" s="332" t="s">
        <v>2082</v>
      </c>
      <c r="D299" s="399">
        <v>1</v>
      </c>
      <c r="E299" s="332" t="s">
        <v>2058</v>
      </c>
      <c r="F299" s="427" t="s">
        <v>2058</v>
      </c>
      <c r="G299" s="220">
        <v>0</v>
      </c>
      <c r="H299" s="220">
        <v>2</v>
      </c>
      <c r="I299" s="220">
        <v>4</v>
      </c>
      <c r="J299" s="220">
        <v>3</v>
      </c>
      <c r="K299" s="220">
        <v>2</v>
      </c>
      <c r="L299" s="220">
        <v>3</v>
      </c>
      <c r="M299" s="220">
        <v>3</v>
      </c>
      <c r="N299" s="220">
        <v>3</v>
      </c>
      <c r="O299" s="220">
        <v>5</v>
      </c>
      <c r="P299" s="220">
        <v>4</v>
      </c>
      <c r="Q299" s="220">
        <v>4</v>
      </c>
      <c r="R299" s="220">
        <v>2</v>
      </c>
      <c r="S299" s="428">
        <v>0</v>
      </c>
      <c r="T299" s="220">
        <v>0</v>
      </c>
      <c r="U299" s="220">
        <v>0</v>
      </c>
      <c r="V299" s="220">
        <v>2</v>
      </c>
      <c r="W299" s="220">
        <v>2</v>
      </c>
      <c r="X299" s="220">
        <v>3</v>
      </c>
      <c r="Y299" s="220">
        <v>2</v>
      </c>
      <c r="Z299" s="220">
        <v>0</v>
      </c>
      <c r="AA299" s="220">
        <v>3</v>
      </c>
      <c r="AB299" s="220">
        <v>4</v>
      </c>
      <c r="AC299" s="220">
        <v>5</v>
      </c>
      <c r="AD299" s="231">
        <v>2</v>
      </c>
      <c r="AE299" s="428">
        <v>1</v>
      </c>
      <c r="AF299" s="220">
        <v>0</v>
      </c>
      <c r="AG299" s="220">
        <v>3</v>
      </c>
      <c r="AH299" s="220">
        <v>4</v>
      </c>
      <c r="AI299" s="220">
        <v>2</v>
      </c>
      <c r="AJ299" s="220">
        <v>1</v>
      </c>
      <c r="AK299" s="220">
        <v>1</v>
      </c>
      <c r="AL299" s="220">
        <v>0</v>
      </c>
      <c r="AM299" s="220">
        <v>2</v>
      </c>
      <c r="AN299" s="220">
        <v>1</v>
      </c>
      <c r="AO299" s="220">
        <v>2</v>
      </c>
      <c r="AP299" s="220">
        <v>2</v>
      </c>
      <c r="AQ299" s="429"/>
      <c r="AR299" s="221">
        <f t="shared" si="108"/>
        <v>23</v>
      </c>
      <c r="AS299" s="221">
        <f t="shared" si="109"/>
        <v>19</v>
      </c>
    </row>
    <row r="300" spans="2:45" ht="15.75" customHeight="1">
      <c r="B300" s="227" t="s">
        <v>2351</v>
      </c>
      <c r="C300" s="332" t="s">
        <v>2083</v>
      </c>
      <c r="D300" s="399">
        <v>2</v>
      </c>
      <c r="E300" s="332" t="s">
        <v>2058</v>
      </c>
      <c r="F300" s="427" t="s">
        <v>2058</v>
      </c>
      <c r="G300" s="220">
        <v>1</v>
      </c>
      <c r="H300" s="220">
        <v>0</v>
      </c>
      <c r="I300" s="220">
        <v>7</v>
      </c>
      <c r="J300" s="220">
        <v>5</v>
      </c>
      <c r="K300" s="220">
        <v>4</v>
      </c>
      <c r="L300" s="220">
        <v>1</v>
      </c>
      <c r="M300" s="220">
        <v>0</v>
      </c>
      <c r="N300" s="220">
        <v>1</v>
      </c>
      <c r="O300" s="220">
        <v>5</v>
      </c>
      <c r="P300" s="220">
        <v>8</v>
      </c>
      <c r="Q300" s="220">
        <v>4</v>
      </c>
      <c r="R300" s="220">
        <v>3</v>
      </c>
      <c r="S300" s="428">
        <v>0</v>
      </c>
      <c r="T300" s="220">
        <v>1</v>
      </c>
      <c r="U300" s="220">
        <v>2</v>
      </c>
      <c r="V300" s="220">
        <v>3</v>
      </c>
      <c r="W300" s="220">
        <v>2</v>
      </c>
      <c r="X300" s="220">
        <v>4</v>
      </c>
      <c r="Y300" s="220">
        <v>2</v>
      </c>
      <c r="Z300" s="220">
        <v>2</v>
      </c>
      <c r="AA300" s="220">
        <v>4</v>
      </c>
      <c r="AB300" s="220">
        <v>8</v>
      </c>
      <c r="AC300" s="220">
        <v>7</v>
      </c>
      <c r="AD300" s="231">
        <v>5</v>
      </c>
      <c r="AE300" s="428">
        <v>0</v>
      </c>
      <c r="AF300" s="220">
        <v>2</v>
      </c>
      <c r="AG300" s="220">
        <v>3</v>
      </c>
      <c r="AH300" s="220">
        <v>3</v>
      </c>
      <c r="AI300" s="220">
        <v>2</v>
      </c>
      <c r="AJ300" s="220">
        <v>1</v>
      </c>
      <c r="AK300" s="220">
        <v>0</v>
      </c>
      <c r="AL300" s="220">
        <v>1</v>
      </c>
      <c r="AM300" s="220">
        <v>3</v>
      </c>
      <c r="AN300" s="220">
        <v>5</v>
      </c>
      <c r="AO300" s="220">
        <v>7</v>
      </c>
      <c r="AP300" s="220">
        <v>3</v>
      </c>
      <c r="AQ300" s="429"/>
      <c r="AR300" s="221">
        <f t="shared" si="108"/>
        <v>40</v>
      </c>
      <c r="AS300" s="221">
        <f t="shared" si="109"/>
        <v>30</v>
      </c>
    </row>
    <row r="301" spans="2:45" ht="15.75" customHeight="1">
      <c r="B301" s="227" t="s">
        <v>2351</v>
      </c>
      <c r="C301" s="332" t="s">
        <v>2084</v>
      </c>
      <c r="D301" s="399">
        <v>1</v>
      </c>
      <c r="E301" s="332" t="s">
        <v>2058</v>
      </c>
      <c r="F301" s="427" t="s">
        <v>2058</v>
      </c>
      <c r="G301" s="220">
        <v>0</v>
      </c>
      <c r="H301" s="220">
        <v>0</v>
      </c>
      <c r="I301" s="220">
        <v>0</v>
      </c>
      <c r="J301" s="220">
        <v>0</v>
      </c>
      <c r="K301" s="220">
        <v>0</v>
      </c>
      <c r="L301" s="220">
        <v>0</v>
      </c>
      <c r="M301" s="220">
        <v>0</v>
      </c>
      <c r="N301" s="220">
        <v>0</v>
      </c>
      <c r="O301" s="220">
        <v>0</v>
      </c>
      <c r="P301" s="220">
        <v>0</v>
      </c>
      <c r="Q301" s="220">
        <v>1</v>
      </c>
      <c r="R301" s="220">
        <v>0</v>
      </c>
      <c r="S301" s="428">
        <v>0</v>
      </c>
      <c r="T301" s="220">
        <v>0</v>
      </c>
      <c r="U301" s="220">
        <v>0</v>
      </c>
      <c r="V301" s="220">
        <v>2</v>
      </c>
      <c r="W301" s="220">
        <v>0</v>
      </c>
      <c r="X301" s="220">
        <v>0</v>
      </c>
      <c r="Y301" s="220">
        <v>0</v>
      </c>
      <c r="Z301" s="220">
        <v>0</v>
      </c>
      <c r="AA301" s="220">
        <v>0</v>
      </c>
      <c r="AB301" s="220">
        <v>2</v>
      </c>
      <c r="AC301" s="220">
        <v>2</v>
      </c>
      <c r="AD301" s="231">
        <v>1</v>
      </c>
      <c r="AE301" s="428">
        <v>1</v>
      </c>
      <c r="AF301" s="220">
        <v>0</v>
      </c>
      <c r="AG301" s="220">
        <v>4</v>
      </c>
      <c r="AH301" s="220">
        <v>2</v>
      </c>
      <c r="AI301" s="220">
        <v>4</v>
      </c>
      <c r="AJ301" s="220">
        <v>1</v>
      </c>
      <c r="AK301" s="220">
        <v>1</v>
      </c>
      <c r="AL301" s="220">
        <v>1</v>
      </c>
      <c r="AM301" s="220">
        <v>1</v>
      </c>
      <c r="AN301" s="220">
        <v>1</v>
      </c>
      <c r="AO301" s="220">
        <v>4</v>
      </c>
      <c r="AP301" s="220">
        <v>0</v>
      </c>
      <c r="AQ301" s="429"/>
      <c r="AR301" s="221">
        <f t="shared" si="108"/>
        <v>7</v>
      </c>
      <c r="AS301" s="221">
        <f t="shared" si="109"/>
        <v>20</v>
      </c>
    </row>
    <row r="302" spans="2:45" ht="15.75" customHeight="1">
      <c r="B302" s="227" t="s">
        <v>2351</v>
      </c>
      <c r="C302" s="332" t="s">
        <v>2085</v>
      </c>
      <c r="D302" s="399">
        <v>1</v>
      </c>
      <c r="E302" s="332" t="s">
        <v>2059</v>
      </c>
      <c r="F302" s="427" t="s">
        <v>2059</v>
      </c>
      <c r="G302" s="220">
        <v>2</v>
      </c>
      <c r="H302" s="220">
        <v>2</v>
      </c>
      <c r="I302" s="220">
        <v>4</v>
      </c>
      <c r="J302" s="220">
        <v>5</v>
      </c>
      <c r="K302" s="220">
        <v>2</v>
      </c>
      <c r="L302" s="220">
        <v>1</v>
      </c>
      <c r="M302" s="220">
        <v>1</v>
      </c>
      <c r="N302" s="220">
        <v>3</v>
      </c>
      <c r="O302" s="220">
        <v>4</v>
      </c>
      <c r="P302" s="220">
        <v>4</v>
      </c>
      <c r="Q302" s="220">
        <v>3</v>
      </c>
      <c r="R302" s="220">
        <v>3</v>
      </c>
      <c r="S302" s="428">
        <v>2</v>
      </c>
      <c r="T302" s="220">
        <v>4</v>
      </c>
      <c r="U302" s="220">
        <v>4</v>
      </c>
      <c r="V302" s="220">
        <v>3</v>
      </c>
      <c r="W302" s="220">
        <v>4</v>
      </c>
      <c r="X302" s="220">
        <v>1</v>
      </c>
      <c r="Y302" s="220">
        <v>3</v>
      </c>
      <c r="Z302" s="220">
        <v>3</v>
      </c>
      <c r="AA302" s="220">
        <v>0</v>
      </c>
      <c r="AB302" s="220">
        <v>3</v>
      </c>
      <c r="AC302" s="220">
        <v>4</v>
      </c>
      <c r="AD302" s="231">
        <v>1</v>
      </c>
      <c r="AE302" s="428">
        <v>0</v>
      </c>
      <c r="AF302" s="220">
        <v>3</v>
      </c>
      <c r="AG302" s="220">
        <v>5</v>
      </c>
      <c r="AH302" s="220">
        <v>3</v>
      </c>
      <c r="AI302" s="220">
        <v>5</v>
      </c>
      <c r="AJ302" s="220">
        <v>4</v>
      </c>
      <c r="AK302" s="220">
        <v>2</v>
      </c>
      <c r="AL302" s="220">
        <v>4</v>
      </c>
      <c r="AM302" s="220">
        <v>3</v>
      </c>
      <c r="AN302" s="220">
        <v>4</v>
      </c>
      <c r="AO302" s="220">
        <v>4</v>
      </c>
      <c r="AP302" s="220">
        <v>3</v>
      </c>
      <c r="AQ302" s="429"/>
      <c r="AR302" s="221">
        <f t="shared" si="108"/>
        <v>32</v>
      </c>
      <c r="AS302" s="221">
        <f t="shared" si="109"/>
        <v>40</v>
      </c>
    </row>
    <row r="303" spans="2:45" ht="15.75" customHeight="1">
      <c r="B303" s="227" t="s">
        <v>2351</v>
      </c>
      <c r="C303" s="332" t="s">
        <v>2086</v>
      </c>
      <c r="D303" s="399">
        <v>1</v>
      </c>
      <c r="E303" s="332" t="s">
        <v>2059</v>
      </c>
      <c r="F303" s="427" t="s">
        <v>2059</v>
      </c>
      <c r="G303" s="220">
        <v>2</v>
      </c>
      <c r="H303" s="220">
        <v>2</v>
      </c>
      <c r="I303" s="220">
        <v>4</v>
      </c>
      <c r="J303" s="220">
        <v>4</v>
      </c>
      <c r="K303" s="220">
        <v>3</v>
      </c>
      <c r="L303" s="220">
        <v>3</v>
      </c>
      <c r="M303" s="220">
        <v>2</v>
      </c>
      <c r="N303" s="220">
        <v>1</v>
      </c>
      <c r="O303" s="220">
        <v>4</v>
      </c>
      <c r="P303" s="220">
        <v>4</v>
      </c>
      <c r="Q303" s="220">
        <v>3</v>
      </c>
      <c r="R303" s="220">
        <v>4</v>
      </c>
      <c r="S303" s="428">
        <v>4</v>
      </c>
      <c r="T303" s="220">
        <v>4</v>
      </c>
      <c r="U303" s="220">
        <v>2</v>
      </c>
      <c r="V303" s="220">
        <v>4</v>
      </c>
      <c r="W303" s="220">
        <v>2</v>
      </c>
      <c r="X303" s="220">
        <v>4</v>
      </c>
      <c r="Y303" s="220">
        <v>4</v>
      </c>
      <c r="Z303" s="220">
        <v>1</v>
      </c>
      <c r="AA303" s="220">
        <v>0</v>
      </c>
      <c r="AB303" s="220">
        <v>3</v>
      </c>
      <c r="AC303" s="220">
        <v>4</v>
      </c>
      <c r="AD303" s="231">
        <v>4</v>
      </c>
      <c r="AE303" s="428">
        <v>1</v>
      </c>
      <c r="AF303" s="220">
        <v>3</v>
      </c>
      <c r="AG303" s="220">
        <v>5</v>
      </c>
      <c r="AH303" s="220">
        <v>4</v>
      </c>
      <c r="AI303" s="220">
        <v>4</v>
      </c>
      <c r="AJ303" s="220">
        <v>3</v>
      </c>
      <c r="AK303" s="220">
        <v>1</v>
      </c>
      <c r="AL303" s="220">
        <v>2</v>
      </c>
      <c r="AM303" s="220">
        <v>3</v>
      </c>
      <c r="AN303" s="220">
        <v>4</v>
      </c>
      <c r="AO303" s="220">
        <v>5</v>
      </c>
      <c r="AP303" s="220">
        <v>3</v>
      </c>
      <c r="AQ303" s="429"/>
      <c r="AR303" s="221">
        <f t="shared" si="108"/>
        <v>36</v>
      </c>
      <c r="AS303" s="221">
        <f t="shared" si="109"/>
        <v>38</v>
      </c>
    </row>
    <row r="304" spans="2:45" ht="15.75" customHeight="1">
      <c r="B304" s="227" t="s">
        <v>2351</v>
      </c>
      <c r="C304" s="332" t="s">
        <v>2170</v>
      </c>
      <c r="D304" s="399">
        <v>1</v>
      </c>
      <c r="E304" s="332" t="s">
        <v>2059</v>
      </c>
      <c r="F304" s="427" t="s">
        <v>2059</v>
      </c>
      <c r="G304" s="220">
        <v>0</v>
      </c>
      <c r="H304" s="220">
        <v>0</v>
      </c>
      <c r="I304" s="220">
        <v>0</v>
      </c>
      <c r="J304" s="220">
        <v>0</v>
      </c>
      <c r="K304" s="220">
        <v>0</v>
      </c>
      <c r="L304" s="220">
        <v>0</v>
      </c>
      <c r="M304" s="220">
        <v>0</v>
      </c>
      <c r="N304" s="220">
        <v>0</v>
      </c>
      <c r="O304" s="220">
        <v>0</v>
      </c>
      <c r="P304" s="220">
        <v>0</v>
      </c>
      <c r="Q304" s="220">
        <v>0</v>
      </c>
      <c r="R304" s="220">
        <v>0</v>
      </c>
      <c r="S304" s="428">
        <v>0</v>
      </c>
      <c r="T304" s="220">
        <v>0</v>
      </c>
      <c r="U304" s="220">
        <v>0</v>
      </c>
      <c r="V304" s="220">
        <v>0</v>
      </c>
      <c r="W304" s="220">
        <v>0</v>
      </c>
      <c r="X304" s="220">
        <v>0</v>
      </c>
      <c r="Y304" s="220">
        <v>0</v>
      </c>
      <c r="Z304" s="220">
        <v>0</v>
      </c>
      <c r="AA304" s="220">
        <v>0</v>
      </c>
      <c r="AB304" s="220">
        <v>0</v>
      </c>
      <c r="AC304" s="220">
        <v>0</v>
      </c>
      <c r="AD304" s="231">
        <v>0</v>
      </c>
      <c r="AE304" s="428">
        <v>0</v>
      </c>
      <c r="AF304" s="220">
        <v>0</v>
      </c>
      <c r="AG304" s="220">
        <v>0</v>
      </c>
      <c r="AH304" s="220">
        <v>0</v>
      </c>
      <c r="AI304" s="220">
        <v>0</v>
      </c>
      <c r="AJ304" s="220">
        <v>0</v>
      </c>
      <c r="AK304" s="220">
        <v>0</v>
      </c>
      <c r="AL304" s="220">
        <v>0</v>
      </c>
      <c r="AM304" s="220">
        <v>3</v>
      </c>
      <c r="AN304" s="220">
        <v>4</v>
      </c>
      <c r="AO304" s="220">
        <v>5</v>
      </c>
      <c r="AP304" s="220">
        <v>3</v>
      </c>
      <c r="AQ304" s="429"/>
      <c r="AR304" s="221">
        <f t="shared" si="108"/>
        <v>0</v>
      </c>
      <c r="AS304" s="221">
        <f t="shared" si="109"/>
        <v>15</v>
      </c>
    </row>
    <row r="305" spans="1:45" ht="15.75" customHeight="1">
      <c r="B305" s="227" t="s">
        <v>2351</v>
      </c>
      <c r="C305" s="332" t="s">
        <v>2087</v>
      </c>
      <c r="D305" s="399">
        <v>1</v>
      </c>
      <c r="E305" s="332" t="s">
        <v>2059</v>
      </c>
      <c r="F305" s="427" t="s">
        <v>2059</v>
      </c>
      <c r="G305" s="220">
        <v>3</v>
      </c>
      <c r="H305" s="220">
        <v>4</v>
      </c>
      <c r="I305" s="220">
        <v>1</v>
      </c>
      <c r="J305" s="220">
        <v>4</v>
      </c>
      <c r="K305" s="220">
        <v>1</v>
      </c>
      <c r="L305" s="220">
        <v>3</v>
      </c>
      <c r="M305" s="220">
        <v>2</v>
      </c>
      <c r="N305" s="220">
        <v>2</v>
      </c>
      <c r="O305" s="220">
        <v>2</v>
      </c>
      <c r="P305" s="220">
        <v>4</v>
      </c>
      <c r="Q305" s="220">
        <v>3</v>
      </c>
      <c r="R305" s="220">
        <v>4</v>
      </c>
      <c r="S305" s="428">
        <v>2</v>
      </c>
      <c r="T305" s="220">
        <v>4</v>
      </c>
      <c r="U305" s="220">
        <v>4</v>
      </c>
      <c r="V305" s="220">
        <v>4</v>
      </c>
      <c r="W305" s="220">
        <v>0</v>
      </c>
      <c r="X305" s="220">
        <v>4</v>
      </c>
      <c r="Y305" s="220">
        <v>1</v>
      </c>
      <c r="Z305" s="220">
        <v>4</v>
      </c>
      <c r="AA305" s="220">
        <v>2</v>
      </c>
      <c r="AB305" s="220">
        <v>4</v>
      </c>
      <c r="AC305" s="220">
        <v>4</v>
      </c>
      <c r="AD305" s="231">
        <v>3</v>
      </c>
      <c r="AE305" s="428">
        <v>3</v>
      </c>
      <c r="AF305" s="220">
        <v>1</v>
      </c>
      <c r="AG305" s="220">
        <v>3</v>
      </c>
      <c r="AH305" s="220">
        <v>3</v>
      </c>
      <c r="AI305" s="220">
        <v>3</v>
      </c>
      <c r="AJ305" s="220">
        <v>1</v>
      </c>
      <c r="AK305" s="220">
        <v>0</v>
      </c>
      <c r="AL305" s="220">
        <v>2</v>
      </c>
      <c r="AM305" s="220">
        <v>0</v>
      </c>
      <c r="AN305" s="220">
        <v>4</v>
      </c>
      <c r="AO305" s="220">
        <v>2</v>
      </c>
      <c r="AP305" s="220">
        <v>0</v>
      </c>
      <c r="AQ305" s="429"/>
      <c r="AR305" s="221">
        <f t="shared" si="108"/>
        <v>36</v>
      </c>
      <c r="AS305" s="221">
        <f t="shared" si="109"/>
        <v>22</v>
      </c>
    </row>
    <row r="306" spans="1:45" ht="15.75" customHeight="1">
      <c r="B306" s="227" t="s">
        <v>2351</v>
      </c>
      <c r="C306" s="332" t="s">
        <v>2088</v>
      </c>
      <c r="D306" s="399">
        <v>1</v>
      </c>
      <c r="E306" s="332" t="s">
        <v>2059</v>
      </c>
      <c r="F306" s="427" t="s">
        <v>2059</v>
      </c>
      <c r="G306" s="220">
        <v>3</v>
      </c>
      <c r="H306" s="220">
        <v>2</v>
      </c>
      <c r="I306" s="220">
        <v>4</v>
      </c>
      <c r="J306" s="220">
        <v>5</v>
      </c>
      <c r="K306" s="220">
        <v>4</v>
      </c>
      <c r="L306" s="220">
        <v>3</v>
      </c>
      <c r="M306" s="220">
        <v>3</v>
      </c>
      <c r="N306" s="220">
        <v>4</v>
      </c>
      <c r="O306" s="220">
        <v>4</v>
      </c>
      <c r="P306" s="220">
        <v>4</v>
      </c>
      <c r="Q306" s="220">
        <v>3</v>
      </c>
      <c r="R306" s="220">
        <v>3</v>
      </c>
      <c r="S306" s="428">
        <v>0</v>
      </c>
      <c r="T306" s="220">
        <v>3</v>
      </c>
      <c r="U306" s="220">
        <v>4</v>
      </c>
      <c r="V306" s="220">
        <v>4</v>
      </c>
      <c r="W306" s="220">
        <v>3</v>
      </c>
      <c r="X306" s="220">
        <v>3</v>
      </c>
      <c r="Y306" s="220">
        <v>2</v>
      </c>
      <c r="Z306" s="220">
        <v>3</v>
      </c>
      <c r="AA306" s="220">
        <v>1</v>
      </c>
      <c r="AB306" s="220">
        <v>4</v>
      </c>
      <c r="AC306" s="220">
        <v>5</v>
      </c>
      <c r="AD306" s="231">
        <v>2</v>
      </c>
      <c r="AE306" s="428">
        <v>3</v>
      </c>
      <c r="AF306" s="220">
        <v>2</v>
      </c>
      <c r="AG306" s="220">
        <v>5</v>
      </c>
      <c r="AH306" s="220">
        <v>3</v>
      </c>
      <c r="AI306" s="220">
        <v>3</v>
      </c>
      <c r="AJ306" s="220">
        <v>2</v>
      </c>
      <c r="AK306" s="220">
        <v>1</v>
      </c>
      <c r="AL306" s="220">
        <v>1</v>
      </c>
      <c r="AM306" s="220">
        <v>1</v>
      </c>
      <c r="AN306" s="220">
        <v>4</v>
      </c>
      <c r="AO306" s="220">
        <v>4</v>
      </c>
      <c r="AP306" s="220">
        <v>2</v>
      </c>
      <c r="AQ306" s="429"/>
      <c r="AR306" s="221">
        <f t="shared" si="108"/>
        <v>34</v>
      </c>
      <c r="AS306" s="221">
        <f t="shared" si="109"/>
        <v>31</v>
      </c>
    </row>
    <row r="307" spans="1:45" ht="15.75" customHeight="1">
      <c r="B307" s="227" t="s">
        <v>2351</v>
      </c>
      <c r="C307" s="332" t="s">
        <v>2089</v>
      </c>
      <c r="D307" s="399">
        <v>2</v>
      </c>
      <c r="E307" s="332" t="s">
        <v>2059</v>
      </c>
      <c r="F307" s="427" t="s">
        <v>2059</v>
      </c>
      <c r="G307" s="220">
        <v>0</v>
      </c>
      <c r="H307" s="220">
        <v>0</v>
      </c>
      <c r="I307" s="220">
        <v>0</v>
      </c>
      <c r="J307" s="220">
        <v>0</v>
      </c>
      <c r="K307" s="220">
        <v>0</v>
      </c>
      <c r="L307" s="220">
        <v>0</v>
      </c>
      <c r="M307" s="220">
        <v>0</v>
      </c>
      <c r="N307" s="220">
        <v>0</v>
      </c>
      <c r="O307" s="220">
        <v>1</v>
      </c>
      <c r="P307" s="220">
        <v>3</v>
      </c>
      <c r="Q307" s="220">
        <v>3</v>
      </c>
      <c r="R307" s="220">
        <v>3</v>
      </c>
      <c r="S307" s="428">
        <v>4</v>
      </c>
      <c r="T307" s="220">
        <v>3</v>
      </c>
      <c r="U307" s="220">
        <v>4</v>
      </c>
      <c r="V307" s="220">
        <v>4</v>
      </c>
      <c r="W307" s="220">
        <v>1</v>
      </c>
      <c r="X307" s="220">
        <v>1</v>
      </c>
      <c r="Y307" s="220">
        <v>1</v>
      </c>
      <c r="Z307" s="220">
        <v>0</v>
      </c>
      <c r="AA307" s="220">
        <v>1</v>
      </c>
      <c r="AB307" s="220">
        <v>4</v>
      </c>
      <c r="AC307" s="220">
        <v>5</v>
      </c>
      <c r="AD307" s="231">
        <v>2</v>
      </c>
      <c r="AE307" s="428">
        <v>1</v>
      </c>
      <c r="AF307" s="220">
        <v>3</v>
      </c>
      <c r="AG307" s="220">
        <v>5</v>
      </c>
      <c r="AH307" s="220">
        <v>3</v>
      </c>
      <c r="AI307" s="220">
        <v>5</v>
      </c>
      <c r="AJ307" s="220">
        <v>3</v>
      </c>
      <c r="AK307" s="220">
        <v>3</v>
      </c>
      <c r="AL307" s="220">
        <v>2</v>
      </c>
      <c r="AM307" s="220">
        <v>2</v>
      </c>
      <c r="AN307" s="220">
        <v>3</v>
      </c>
      <c r="AO307" s="220">
        <v>6</v>
      </c>
      <c r="AP307" s="220">
        <v>4</v>
      </c>
      <c r="AQ307" s="429"/>
      <c r="AR307" s="221">
        <f t="shared" si="108"/>
        <v>30</v>
      </c>
      <c r="AS307" s="221">
        <f t="shared" si="109"/>
        <v>40</v>
      </c>
    </row>
    <row r="308" spans="1:45" ht="15.75" customHeight="1">
      <c r="B308" s="227" t="s">
        <v>2351</v>
      </c>
      <c r="C308" s="332" t="s">
        <v>2090</v>
      </c>
      <c r="D308" s="399">
        <v>2</v>
      </c>
      <c r="E308" s="332" t="s">
        <v>2059</v>
      </c>
      <c r="F308" s="427" t="s">
        <v>2059</v>
      </c>
      <c r="G308" s="220">
        <v>7</v>
      </c>
      <c r="H308" s="220">
        <v>6</v>
      </c>
      <c r="I308" s="220">
        <v>7</v>
      </c>
      <c r="J308" s="220">
        <v>7</v>
      </c>
      <c r="K308" s="220">
        <v>5</v>
      </c>
      <c r="L308" s="220">
        <v>4</v>
      </c>
      <c r="M308" s="220">
        <v>6</v>
      </c>
      <c r="N308" s="220">
        <v>6</v>
      </c>
      <c r="O308" s="220">
        <v>8</v>
      </c>
      <c r="P308" s="220">
        <v>6</v>
      </c>
      <c r="Q308" s="220">
        <v>7</v>
      </c>
      <c r="R308" s="220">
        <v>8</v>
      </c>
      <c r="S308" s="428">
        <v>6</v>
      </c>
      <c r="T308" s="220">
        <v>8</v>
      </c>
      <c r="U308" s="220">
        <v>10</v>
      </c>
      <c r="V308" s="220">
        <v>7</v>
      </c>
      <c r="W308" s="220">
        <v>5</v>
      </c>
      <c r="X308" s="220">
        <v>7</v>
      </c>
      <c r="Y308" s="220">
        <v>2</v>
      </c>
      <c r="Z308" s="220">
        <v>5</v>
      </c>
      <c r="AA308" s="220">
        <v>6</v>
      </c>
      <c r="AB308" s="220">
        <v>8</v>
      </c>
      <c r="AC308" s="220">
        <v>9</v>
      </c>
      <c r="AD308" s="231">
        <v>7</v>
      </c>
      <c r="AE308" s="428">
        <v>6</v>
      </c>
      <c r="AF308" s="220">
        <v>6</v>
      </c>
      <c r="AG308" s="220">
        <v>7</v>
      </c>
      <c r="AH308" s="220">
        <v>5</v>
      </c>
      <c r="AI308" s="220">
        <v>7</v>
      </c>
      <c r="AJ308" s="220">
        <v>6</v>
      </c>
      <c r="AK308" s="220">
        <v>5</v>
      </c>
      <c r="AL308" s="220">
        <v>3</v>
      </c>
      <c r="AM308" s="220">
        <v>6</v>
      </c>
      <c r="AN308" s="220">
        <v>6</v>
      </c>
      <c r="AO308" s="220">
        <v>9</v>
      </c>
      <c r="AP308" s="220">
        <v>5</v>
      </c>
      <c r="AQ308" s="429"/>
      <c r="AR308" s="221">
        <f t="shared" si="108"/>
        <v>80</v>
      </c>
      <c r="AS308" s="221">
        <f t="shared" si="109"/>
        <v>71</v>
      </c>
    </row>
    <row r="309" spans="1:45" ht="15.75" customHeight="1">
      <c r="B309" s="227" t="s">
        <v>2351</v>
      </c>
      <c r="C309" s="332" t="s">
        <v>2091</v>
      </c>
      <c r="D309" s="399">
        <v>1</v>
      </c>
      <c r="E309" s="332" t="s">
        <v>2059</v>
      </c>
      <c r="F309" s="427" t="s">
        <v>2059</v>
      </c>
      <c r="G309" s="220">
        <v>0</v>
      </c>
      <c r="H309" s="220">
        <v>0</v>
      </c>
      <c r="I309" s="220">
        <v>0</v>
      </c>
      <c r="J309" s="220">
        <v>0</v>
      </c>
      <c r="K309" s="220">
        <v>0</v>
      </c>
      <c r="L309" s="220">
        <v>0</v>
      </c>
      <c r="M309" s="220">
        <v>0</v>
      </c>
      <c r="N309" s="220">
        <v>0</v>
      </c>
      <c r="O309" s="220">
        <v>0</v>
      </c>
      <c r="P309" s="220">
        <v>0</v>
      </c>
      <c r="Q309" s="220">
        <v>0</v>
      </c>
      <c r="R309" s="220">
        <v>0</v>
      </c>
      <c r="S309" s="428">
        <v>0</v>
      </c>
      <c r="T309" s="220">
        <v>0</v>
      </c>
      <c r="U309" s="220">
        <v>0</v>
      </c>
      <c r="V309" s="220">
        <v>0</v>
      </c>
      <c r="W309" s="220">
        <v>0</v>
      </c>
      <c r="X309" s="220">
        <v>0</v>
      </c>
      <c r="Y309" s="220">
        <v>0</v>
      </c>
      <c r="Z309" s="220">
        <v>0</v>
      </c>
      <c r="AA309" s="220">
        <v>0</v>
      </c>
      <c r="AB309" s="220">
        <v>0</v>
      </c>
      <c r="AC309" s="220">
        <v>0</v>
      </c>
      <c r="AD309" s="231">
        <v>0</v>
      </c>
      <c r="AE309" s="428">
        <v>1</v>
      </c>
      <c r="AF309" s="220">
        <v>1</v>
      </c>
      <c r="AG309" s="220">
        <v>2</v>
      </c>
      <c r="AH309" s="220">
        <v>3</v>
      </c>
      <c r="AI309" s="220">
        <v>2</v>
      </c>
      <c r="AJ309" s="220">
        <v>3</v>
      </c>
      <c r="AK309" s="220">
        <v>0</v>
      </c>
      <c r="AL309" s="220">
        <v>0</v>
      </c>
      <c r="AM309" s="220">
        <v>4</v>
      </c>
      <c r="AN309" s="220">
        <v>4</v>
      </c>
      <c r="AO309" s="220">
        <v>3</v>
      </c>
      <c r="AP309" s="220">
        <v>1</v>
      </c>
      <c r="AQ309" s="429"/>
      <c r="AR309" s="221">
        <f t="shared" si="108"/>
        <v>0</v>
      </c>
      <c r="AS309" s="221">
        <f t="shared" si="109"/>
        <v>24</v>
      </c>
    </row>
    <row r="310" spans="1:45" ht="15.75" customHeight="1">
      <c r="B310" s="227" t="s">
        <v>2351</v>
      </c>
      <c r="C310" s="332" t="s">
        <v>2092</v>
      </c>
      <c r="D310" s="399">
        <v>1</v>
      </c>
      <c r="E310" s="332" t="s">
        <v>2060</v>
      </c>
      <c r="F310" s="427" t="s">
        <v>2060</v>
      </c>
      <c r="G310" s="220">
        <v>3</v>
      </c>
      <c r="H310" s="220">
        <v>7</v>
      </c>
      <c r="I310" s="220">
        <v>8</v>
      </c>
      <c r="J310" s="220">
        <v>9</v>
      </c>
      <c r="K310" s="220">
        <v>7</v>
      </c>
      <c r="L310" s="220">
        <v>7</v>
      </c>
      <c r="M310" s="220">
        <v>9</v>
      </c>
      <c r="N310" s="220">
        <v>7</v>
      </c>
      <c r="O310" s="220">
        <v>10</v>
      </c>
      <c r="P310" s="220">
        <v>8</v>
      </c>
      <c r="Q310" s="220">
        <v>7</v>
      </c>
      <c r="R310" s="220">
        <v>7</v>
      </c>
      <c r="S310" s="428">
        <v>6</v>
      </c>
      <c r="T310" s="220">
        <v>7</v>
      </c>
      <c r="U310" s="220">
        <v>8</v>
      </c>
      <c r="V310" s="220">
        <v>7</v>
      </c>
      <c r="W310" s="220">
        <v>7</v>
      </c>
      <c r="X310" s="220">
        <v>10</v>
      </c>
      <c r="Y310" s="220">
        <v>6</v>
      </c>
      <c r="Z310" s="220">
        <v>9</v>
      </c>
      <c r="AA310" s="220">
        <v>6</v>
      </c>
      <c r="AB310" s="220">
        <v>8</v>
      </c>
      <c r="AC310" s="220">
        <v>7</v>
      </c>
      <c r="AD310" s="231">
        <v>5</v>
      </c>
      <c r="AE310" s="428">
        <v>3</v>
      </c>
      <c r="AF310" s="220">
        <v>4</v>
      </c>
      <c r="AG310" s="220">
        <v>7</v>
      </c>
      <c r="AH310" s="220">
        <v>6</v>
      </c>
      <c r="AI310" s="220">
        <v>8</v>
      </c>
      <c r="AJ310" s="220">
        <v>6</v>
      </c>
      <c r="AK310" s="220">
        <v>6</v>
      </c>
      <c r="AL310" s="220">
        <v>8</v>
      </c>
      <c r="AM310" s="220">
        <v>7</v>
      </c>
      <c r="AN310" s="220">
        <v>7</v>
      </c>
      <c r="AO310" s="220">
        <v>9</v>
      </c>
      <c r="AP310" s="220">
        <v>6</v>
      </c>
      <c r="AQ310" s="429"/>
      <c r="AR310" s="221">
        <f t="shared" si="108"/>
        <v>86</v>
      </c>
      <c r="AS310" s="221">
        <f t="shared" si="109"/>
        <v>77</v>
      </c>
    </row>
    <row r="311" spans="1:45" ht="15.75" customHeight="1">
      <c r="B311" s="431" t="s">
        <v>2351</v>
      </c>
      <c r="C311" s="432" t="s">
        <v>2093</v>
      </c>
      <c r="D311" s="433">
        <v>1</v>
      </c>
      <c r="E311" s="434" t="s">
        <v>204</v>
      </c>
      <c r="F311" s="435" t="s">
        <v>2349</v>
      </c>
      <c r="G311" s="436">
        <v>0</v>
      </c>
      <c r="H311" s="436">
        <v>0</v>
      </c>
      <c r="I311" s="436">
        <v>0</v>
      </c>
      <c r="J311" s="436">
        <v>0</v>
      </c>
      <c r="K311" s="436">
        <v>0</v>
      </c>
      <c r="L311" s="436">
        <v>0</v>
      </c>
      <c r="M311" s="436">
        <v>0</v>
      </c>
      <c r="N311" s="436">
        <v>0</v>
      </c>
      <c r="O311" s="436">
        <v>0</v>
      </c>
      <c r="P311" s="436">
        <v>0</v>
      </c>
      <c r="Q311" s="436">
        <v>0</v>
      </c>
      <c r="R311" s="436">
        <v>0</v>
      </c>
      <c r="S311" s="437">
        <v>0</v>
      </c>
      <c r="T311" s="436">
        <v>0</v>
      </c>
      <c r="U311" s="436">
        <v>0</v>
      </c>
      <c r="V311" s="436">
        <v>0</v>
      </c>
      <c r="W311" s="436">
        <v>0</v>
      </c>
      <c r="X311" s="436">
        <v>0</v>
      </c>
      <c r="Y311" s="436">
        <v>0</v>
      </c>
      <c r="Z311" s="436">
        <v>0</v>
      </c>
      <c r="AA311" s="436">
        <v>0</v>
      </c>
      <c r="AB311" s="436">
        <v>0</v>
      </c>
      <c r="AC311" s="436">
        <v>0</v>
      </c>
      <c r="AD311" s="438">
        <v>0</v>
      </c>
      <c r="AE311" s="437">
        <v>0</v>
      </c>
      <c r="AF311" s="436">
        <v>0</v>
      </c>
      <c r="AG311" s="436">
        <v>0</v>
      </c>
      <c r="AH311" s="436">
        <v>3</v>
      </c>
      <c r="AI311" s="436">
        <v>5</v>
      </c>
      <c r="AJ311" s="436">
        <v>4</v>
      </c>
      <c r="AK311" s="436">
        <v>2</v>
      </c>
      <c r="AL311" s="436">
        <v>2</v>
      </c>
      <c r="AM311" s="436">
        <v>4</v>
      </c>
      <c r="AN311" s="436">
        <v>4</v>
      </c>
      <c r="AO311" s="436">
        <v>4</v>
      </c>
      <c r="AP311" s="436">
        <v>4</v>
      </c>
      <c r="AQ311" s="429"/>
      <c r="AR311" s="221">
        <f t="shared" si="108"/>
        <v>0</v>
      </c>
      <c r="AS311" s="221">
        <f t="shared" si="109"/>
        <v>32</v>
      </c>
    </row>
    <row r="312" spans="1:45" ht="15.75" customHeight="1">
      <c r="A312" s="332"/>
      <c r="B312" s="448" t="s">
        <v>2352</v>
      </c>
      <c r="C312" s="332" t="s">
        <v>2061</v>
      </c>
      <c r="D312" s="399">
        <v>1</v>
      </c>
      <c r="E312" s="332" t="s">
        <v>204</v>
      </c>
      <c r="F312" s="427" t="s">
        <v>2347</v>
      </c>
      <c r="G312" s="449">
        <v>1</v>
      </c>
      <c r="H312" s="392">
        <v>1</v>
      </c>
      <c r="I312" s="392">
        <v>0</v>
      </c>
      <c r="J312" s="392">
        <v>2</v>
      </c>
      <c r="K312" s="392">
        <v>2</v>
      </c>
      <c r="L312" s="392">
        <v>0</v>
      </c>
      <c r="M312" s="392">
        <v>0</v>
      </c>
      <c r="N312" s="392">
        <v>3</v>
      </c>
      <c r="O312" s="392">
        <v>1</v>
      </c>
      <c r="P312" s="392">
        <v>2</v>
      </c>
      <c r="Q312" s="392">
        <v>1</v>
      </c>
      <c r="R312" s="392">
        <v>0</v>
      </c>
      <c r="S312" s="449">
        <v>0</v>
      </c>
      <c r="T312" s="392">
        <v>0</v>
      </c>
      <c r="U312" s="392">
        <v>1</v>
      </c>
      <c r="V312" s="392">
        <v>1</v>
      </c>
      <c r="W312" s="392">
        <v>2</v>
      </c>
      <c r="X312" s="392">
        <v>2</v>
      </c>
      <c r="Y312" s="392">
        <v>2</v>
      </c>
      <c r="Z312" s="392">
        <v>0</v>
      </c>
      <c r="AA312" s="392">
        <v>0</v>
      </c>
      <c r="AB312" s="392">
        <v>2</v>
      </c>
      <c r="AC312" s="392">
        <v>3</v>
      </c>
      <c r="AD312" s="450">
        <v>1</v>
      </c>
      <c r="AE312" s="449">
        <v>1</v>
      </c>
      <c r="AF312" s="392">
        <v>0</v>
      </c>
      <c r="AG312" s="392">
        <v>1</v>
      </c>
      <c r="AH312" s="392">
        <v>0</v>
      </c>
      <c r="AI312" s="392">
        <v>0</v>
      </c>
      <c r="AJ312" s="392">
        <v>0</v>
      </c>
      <c r="AK312" s="392">
        <v>0</v>
      </c>
      <c r="AL312" s="392">
        <v>0</v>
      </c>
      <c r="AM312" s="392">
        <v>0</v>
      </c>
      <c r="AN312" s="392">
        <v>3</v>
      </c>
      <c r="AO312" s="392">
        <v>2</v>
      </c>
      <c r="AP312" s="392">
        <v>0</v>
      </c>
      <c r="AQ312" s="429"/>
      <c r="AR312" s="221">
        <f t="shared" si="108"/>
        <v>14</v>
      </c>
      <c r="AS312" s="221">
        <f t="shared" si="109"/>
        <v>7</v>
      </c>
    </row>
    <row r="313" spans="1:45" ht="15.75" customHeight="1">
      <c r="A313" s="332"/>
      <c r="B313" s="448" t="s">
        <v>2352</v>
      </c>
      <c r="C313" s="332" t="s">
        <v>2062</v>
      </c>
      <c r="D313" s="399">
        <v>2</v>
      </c>
      <c r="E313" s="332" t="s">
        <v>204</v>
      </c>
      <c r="F313" s="427" t="s">
        <v>2347</v>
      </c>
      <c r="G313" s="392">
        <v>0</v>
      </c>
      <c r="H313" s="392">
        <v>0</v>
      </c>
      <c r="I313" s="392">
        <v>1</v>
      </c>
      <c r="J313" s="392">
        <v>1</v>
      </c>
      <c r="K313" s="392">
        <v>3</v>
      </c>
      <c r="L313" s="392">
        <v>1</v>
      </c>
      <c r="M313" s="392">
        <v>2</v>
      </c>
      <c r="N313" s="392">
        <v>2</v>
      </c>
      <c r="O313" s="392">
        <v>2</v>
      </c>
      <c r="P313" s="392">
        <v>4</v>
      </c>
      <c r="Q313" s="392">
        <v>3</v>
      </c>
      <c r="R313" s="392">
        <v>1</v>
      </c>
      <c r="S313" s="449">
        <v>1</v>
      </c>
      <c r="T313" s="392">
        <v>2</v>
      </c>
      <c r="U313" s="392">
        <v>2</v>
      </c>
      <c r="V313" s="392">
        <v>1</v>
      </c>
      <c r="W313" s="392">
        <v>3</v>
      </c>
      <c r="X313" s="392">
        <v>1</v>
      </c>
      <c r="Y313" s="392">
        <v>2</v>
      </c>
      <c r="Z313" s="392">
        <v>1</v>
      </c>
      <c r="AA313" s="392">
        <v>4</v>
      </c>
      <c r="AB313" s="392">
        <v>3</v>
      </c>
      <c r="AC313" s="392">
        <v>0</v>
      </c>
      <c r="AD313" s="450">
        <v>3</v>
      </c>
      <c r="AE313" s="449">
        <v>2</v>
      </c>
      <c r="AF313" s="392">
        <v>0</v>
      </c>
      <c r="AG313" s="392">
        <v>2</v>
      </c>
      <c r="AH313" s="392">
        <v>1</v>
      </c>
      <c r="AI313" s="392">
        <v>3</v>
      </c>
      <c r="AJ313" s="392">
        <v>1</v>
      </c>
      <c r="AK313" s="392">
        <v>1</v>
      </c>
      <c r="AL313" s="392">
        <v>3</v>
      </c>
      <c r="AM313" s="392">
        <v>2</v>
      </c>
      <c r="AN313" s="392">
        <v>3</v>
      </c>
      <c r="AO313" s="392">
        <v>1</v>
      </c>
      <c r="AP313" s="392">
        <v>1</v>
      </c>
      <c r="AQ313" s="429"/>
      <c r="AR313" s="221">
        <f t="shared" si="108"/>
        <v>23</v>
      </c>
      <c r="AS313" s="221">
        <f t="shared" si="109"/>
        <v>20</v>
      </c>
    </row>
    <row r="314" spans="1:45" ht="15.75" customHeight="1">
      <c r="A314" s="332"/>
      <c r="B314" s="448" t="s">
        <v>2352</v>
      </c>
      <c r="C314" s="332" t="s">
        <v>2063</v>
      </c>
      <c r="D314" s="399">
        <v>2</v>
      </c>
      <c r="E314" s="332" t="s">
        <v>204</v>
      </c>
      <c r="F314" s="427" t="s">
        <v>2347</v>
      </c>
      <c r="G314" s="392">
        <v>1</v>
      </c>
      <c r="H314" s="392">
        <v>1</v>
      </c>
      <c r="I314" s="392">
        <v>1</v>
      </c>
      <c r="J314" s="392">
        <v>0</v>
      </c>
      <c r="K314" s="392">
        <v>1</v>
      </c>
      <c r="L314" s="392">
        <v>2</v>
      </c>
      <c r="M314" s="392">
        <v>2</v>
      </c>
      <c r="N314" s="392">
        <v>1</v>
      </c>
      <c r="O314" s="392">
        <v>1</v>
      </c>
      <c r="P314" s="392">
        <v>5</v>
      </c>
      <c r="Q314" s="392">
        <v>0</v>
      </c>
      <c r="R314" s="392">
        <v>2</v>
      </c>
      <c r="S314" s="449">
        <v>0</v>
      </c>
      <c r="T314" s="392">
        <v>2</v>
      </c>
      <c r="U314" s="392">
        <v>1</v>
      </c>
      <c r="V314" s="392">
        <v>2</v>
      </c>
      <c r="W314" s="392">
        <v>0</v>
      </c>
      <c r="X314" s="392">
        <v>3</v>
      </c>
      <c r="Y314" s="392">
        <v>0</v>
      </c>
      <c r="Z314" s="392">
        <v>0</v>
      </c>
      <c r="AA314" s="392">
        <v>0</v>
      </c>
      <c r="AB314" s="392">
        <v>3</v>
      </c>
      <c r="AC314" s="392">
        <v>0</v>
      </c>
      <c r="AD314" s="450">
        <v>2</v>
      </c>
      <c r="AE314" s="449">
        <v>0</v>
      </c>
      <c r="AF314" s="392">
        <v>1</v>
      </c>
      <c r="AG314" s="392">
        <v>0</v>
      </c>
      <c r="AH314" s="392">
        <v>3</v>
      </c>
      <c r="AI314" s="392">
        <v>2</v>
      </c>
      <c r="AJ314" s="392">
        <v>2</v>
      </c>
      <c r="AK314" s="392">
        <v>0</v>
      </c>
      <c r="AL314" s="392">
        <v>2</v>
      </c>
      <c r="AM314" s="392">
        <v>0</v>
      </c>
      <c r="AN314" s="392">
        <v>3</v>
      </c>
      <c r="AO314" s="392">
        <v>3</v>
      </c>
      <c r="AP314" s="392">
        <v>1</v>
      </c>
      <c r="AQ314" s="429"/>
      <c r="AR314" s="221">
        <f t="shared" si="108"/>
        <v>13</v>
      </c>
      <c r="AS314" s="221">
        <f t="shared" si="109"/>
        <v>17</v>
      </c>
    </row>
    <row r="315" spans="1:45" ht="15.75" customHeight="1">
      <c r="A315" s="332"/>
      <c r="B315" s="448" t="s">
        <v>2352</v>
      </c>
      <c r="C315" s="332" t="s">
        <v>2064</v>
      </c>
      <c r="D315" s="399">
        <v>1</v>
      </c>
      <c r="E315" s="332" t="s">
        <v>204</v>
      </c>
      <c r="F315" s="427" t="s">
        <v>2347</v>
      </c>
      <c r="G315" s="392">
        <v>1</v>
      </c>
      <c r="H315" s="392">
        <v>1</v>
      </c>
      <c r="I315" s="392">
        <v>1</v>
      </c>
      <c r="J315" s="392">
        <v>0</v>
      </c>
      <c r="K315" s="392">
        <v>2</v>
      </c>
      <c r="L315" s="392">
        <v>0</v>
      </c>
      <c r="M315" s="392">
        <v>1</v>
      </c>
      <c r="N315" s="392">
        <v>0</v>
      </c>
      <c r="O315" s="392">
        <v>2</v>
      </c>
      <c r="P315" s="392">
        <v>4</v>
      </c>
      <c r="Q315" s="392">
        <v>2</v>
      </c>
      <c r="R315" s="392">
        <v>3</v>
      </c>
      <c r="S315" s="449">
        <v>2</v>
      </c>
      <c r="T315" s="392">
        <v>3</v>
      </c>
      <c r="U315" s="392">
        <v>1</v>
      </c>
      <c r="V315" s="392">
        <v>2</v>
      </c>
      <c r="W315" s="392">
        <v>1</v>
      </c>
      <c r="X315" s="392">
        <v>2</v>
      </c>
      <c r="Y315" s="392">
        <v>1</v>
      </c>
      <c r="Z315" s="392">
        <v>3</v>
      </c>
      <c r="AA315" s="392">
        <v>0</v>
      </c>
      <c r="AB315" s="392">
        <v>3</v>
      </c>
      <c r="AC315" s="392">
        <v>3</v>
      </c>
      <c r="AD315" s="450">
        <v>3</v>
      </c>
      <c r="AE315" s="449">
        <v>3</v>
      </c>
      <c r="AF315" s="392">
        <v>2</v>
      </c>
      <c r="AG315" s="392">
        <v>4</v>
      </c>
      <c r="AH315" s="392">
        <v>0</v>
      </c>
      <c r="AI315" s="392">
        <v>2</v>
      </c>
      <c r="AJ315" s="392">
        <v>4</v>
      </c>
      <c r="AK315" s="392">
        <v>1</v>
      </c>
      <c r="AL315" s="392">
        <v>4</v>
      </c>
      <c r="AM315" s="392">
        <v>1</v>
      </c>
      <c r="AN315" s="392">
        <v>3</v>
      </c>
      <c r="AO315" s="392">
        <v>4</v>
      </c>
      <c r="AP315" s="392">
        <v>1</v>
      </c>
      <c r="AQ315" s="429"/>
      <c r="AR315" s="221">
        <f t="shared" si="108"/>
        <v>24</v>
      </c>
      <c r="AS315" s="221">
        <f t="shared" si="109"/>
        <v>29</v>
      </c>
    </row>
    <row r="316" spans="1:45" ht="15.75" customHeight="1">
      <c r="A316" s="332"/>
      <c r="B316" s="448" t="s">
        <v>2352</v>
      </c>
      <c r="C316" s="332" t="s">
        <v>2065</v>
      </c>
      <c r="D316" s="399">
        <v>1</v>
      </c>
      <c r="E316" s="332" t="s">
        <v>204</v>
      </c>
      <c r="F316" s="427" t="s">
        <v>2347</v>
      </c>
      <c r="G316" s="392">
        <v>1</v>
      </c>
      <c r="H316" s="392">
        <v>0</v>
      </c>
      <c r="I316" s="392">
        <v>0</v>
      </c>
      <c r="J316" s="392">
        <v>0</v>
      </c>
      <c r="K316" s="392">
        <v>0</v>
      </c>
      <c r="L316" s="392">
        <v>0</v>
      </c>
      <c r="M316" s="392">
        <v>1</v>
      </c>
      <c r="N316" s="392">
        <v>0</v>
      </c>
      <c r="O316" s="392">
        <v>2</v>
      </c>
      <c r="P316" s="392">
        <v>0</v>
      </c>
      <c r="Q316" s="392">
        <v>1</v>
      </c>
      <c r="R316" s="392">
        <v>2</v>
      </c>
      <c r="S316" s="449">
        <v>1</v>
      </c>
      <c r="T316" s="392">
        <v>1</v>
      </c>
      <c r="U316" s="392">
        <v>0</v>
      </c>
      <c r="V316" s="392">
        <v>0</v>
      </c>
      <c r="W316" s="392">
        <v>0</v>
      </c>
      <c r="X316" s="392">
        <v>1</v>
      </c>
      <c r="Y316" s="392">
        <v>1</v>
      </c>
      <c r="Z316" s="392">
        <v>0</v>
      </c>
      <c r="AA316" s="392">
        <v>1</v>
      </c>
      <c r="AB316" s="392">
        <v>1</v>
      </c>
      <c r="AC316" s="392">
        <v>1</v>
      </c>
      <c r="AD316" s="450">
        <v>2</v>
      </c>
      <c r="AE316" s="449">
        <v>0</v>
      </c>
      <c r="AF316" s="392">
        <v>0</v>
      </c>
      <c r="AG316" s="392">
        <v>1</v>
      </c>
      <c r="AH316" s="392">
        <v>0</v>
      </c>
      <c r="AI316" s="392">
        <v>0</v>
      </c>
      <c r="AJ316" s="392">
        <v>2</v>
      </c>
      <c r="AK316" s="392">
        <v>0</v>
      </c>
      <c r="AL316" s="392">
        <v>1</v>
      </c>
      <c r="AM316" s="392">
        <v>2</v>
      </c>
      <c r="AN316" s="392">
        <v>1</v>
      </c>
      <c r="AO316" s="392">
        <v>0</v>
      </c>
      <c r="AP316" s="392">
        <v>1</v>
      </c>
      <c r="AQ316" s="429"/>
      <c r="AR316" s="221">
        <f t="shared" si="108"/>
        <v>9</v>
      </c>
      <c r="AS316" s="221">
        <f t="shared" si="109"/>
        <v>8</v>
      </c>
    </row>
    <row r="317" spans="1:45" ht="15.75" customHeight="1">
      <c r="A317" s="332"/>
      <c r="B317" s="448" t="s">
        <v>2352</v>
      </c>
      <c r="C317" s="332" t="s">
        <v>2066</v>
      </c>
      <c r="D317" s="399">
        <v>1</v>
      </c>
      <c r="E317" s="332" t="s">
        <v>204</v>
      </c>
      <c r="F317" s="427" t="s">
        <v>2348</v>
      </c>
      <c r="G317" s="392">
        <v>0</v>
      </c>
      <c r="H317" s="392">
        <v>0</v>
      </c>
      <c r="I317" s="392">
        <v>2</v>
      </c>
      <c r="J317" s="392">
        <v>2</v>
      </c>
      <c r="K317" s="392">
        <v>3</v>
      </c>
      <c r="L317" s="392">
        <v>4</v>
      </c>
      <c r="M317" s="392">
        <v>1</v>
      </c>
      <c r="N317" s="392">
        <v>3</v>
      </c>
      <c r="O317" s="392">
        <v>2</v>
      </c>
      <c r="P317" s="392">
        <v>5</v>
      </c>
      <c r="Q317" s="392">
        <v>2</v>
      </c>
      <c r="R317" s="392">
        <v>4</v>
      </c>
      <c r="S317" s="449">
        <v>2</v>
      </c>
      <c r="T317" s="392">
        <v>1</v>
      </c>
      <c r="U317" s="392">
        <v>2</v>
      </c>
      <c r="V317" s="392">
        <v>0</v>
      </c>
      <c r="W317" s="392">
        <v>3</v>
      </c>
      <c r="X317" s="392">
        <v>5</v>
      </c>
      <c r="Y317" s="392">
        <v>3</v>
      </c>
      <c r="Z317" s="392">
        <v>2</v>
      </c>
      <c r="AA317" s="392">
        <v>1</v>
      </c>
      <c r="AB317" s="392">
        <v>4</v>
      </c>
      <c r="AC317" s="392">
        <v>1</v>
      </c>
      <c r="AD317" s="450">
        <v>0</v>
      </c>
      <c r="AE317" s="449">
        <v>0</v>
      </c>
      <c r="AF317" s="392">
        <v>1</v>
      </c>
      <c r="AG317" s="392">
        <v>2</v>
      </c>
      <c r="AH317" s="392">
        <v>2</v>
      </c>
      <c r="AI317" s="392">
        <v>2</v>
      </c>
      <c r="AJ317" s="392">
        <v>5</v>
      </c>
      <c r="AK317" s="392">
        <v>1</v>
      </c>
      <c r="AL317" s="392">
        <v>2</v>
      </c>
      <c r="AM317" s="392">
        <v>4</v>
      </c>
      <c r="AN317" s="392">
        <v>3</v>
      </c>
      <c r="AO317" s="392">
        <v>3</v>
      </c>
      <c r="AP317" s="392">
        <v>2</v>
      </c>
      <c r="AQ317" s="429"/>
      <c r="AR317" s="221">
        <f t="shared" si="108"/>
        <v>24</v>
      </c>
      <c r="AS317" s="221">
        <f t="shared" si="109"/>
        <v>27</v>
      </c>
    </row>
    <row r="318" spans="1:45" ht="15.75" customHeight="1">
      <c r="A318" s="332"/>
      <c r="B318" s="448" t="s">
        <v>2352</v>
      </c>
      <c r="C318" s="332" t="s">
        <v>2067</v>
      </c>
      <c r="D318" s="399">
        <v>1</v>
      </c>
      <c r="E318" s="332" t="s">
        <v>204</v>
      </c>
      <c r="F318" s="427" t="s">
        <v>2348</v>
      </c>
      <c r="G318" s="392">
        <v>0</v>
      </c>
      <c r="H318" s="392">
        <v>0</v>
      </c>
      <c r="I318" s="392">
        <v>2</v>
      </c>
      <c r="J318" s="392">
        <v>1</v>
      </c>
      <c r="K318" s="392">
        <v>1</v>
      </c>
      <c r="L318" s="392">
        <v>2</v>
      </c>
      <c r="M318" s="392">
        <v>0</v>
      </c>
      <c r="N318" s="392">
        <v>0</v>
      </c>
      <c r="O318" s="392">
        <v>1</v>
      </c>
      <c r="P318" s="392">
        <v>1</v>
      </c>
      <c r="Q318" s="392">
        <v>0</v>
      </c>
      <c r="R318" s="392">
        <v>3</v>
      </c>
      <c r="S318" s="449">
        <v>0</v>
      </c>
      <c r="T318" s="392">
        <v>0</v>
      </c>
      <c r="U318" s="392">
        <v>1</v>
      </c>
      <c r="V318" s="392">
        <v>0</v>
      </c>
      <c r="W318" s="392">
        <v>0</v>
      </c>
      <c r="X318" s="392">
        <v>1</v>
      </c>
      <c r="Y318" s="392">
        <v>1</v>
      </c>
      <c r="Z318" s="392">
        <v>1</v>
      </c>
      <c r="AA318" s="392">
        <v>0</v>
      </c>
      <c r="AB318" s="392">
        <v>2</v>
      </c>
      <c r="AC318" s="392">
        <v>1</v>
      </c>
      <c r="AD318" s="450">
        <v>1</v>
      </c>
      <c r="AE318" s="449">
        <v>0</v>
      </c>
      <c r="AF318" s="392">
        <v>0</v>
      </c>
      <c r="AG318" s="392">
        <v>1</v>
      </c>
      <c r="AH318" s="392">
        <v>0</v>
      </c>
      <c r="AI318" s="392">
        <v>0</v>
      </c>
      <c r="AJ318" s="392">
        <v>0</v>
      </c>
      <c r="AK318" s="392">
        <v>0</v>
      </c>
      <c r="AL318" s="392">
        <v>1</v>
      </c>
      <c r="AM318" s="392">
        <v>1</v>
      </c>
      <c r="AN318" s="392">
        <v>1</v>
      </c>
      <c r="AO318" s="392">
        <v>2</v>
      </c>
      <c r="AP318" s="392">
        <v>2</v>
      </c>
      <c r="AQ318" s="429"/>
      <c r="AR318" s="221">
        <f t="shared" si="108"/>
        <v>8</v>
      </c>
      <c r="AS318" s="221">
        <f t="shared" si="109"/>
        <v>8</v>
      </c>
    </row>
    <row r="319" spans="1:45" ht="15.75" customHeight="1">
      <c r="A319" s="332"/>
      <c r="B319" s="448" t="s">
        <v>2352</v>
      </c>
      <c r="C319" s="332" t="s">
        <v>2068</v>
      </c>
      <c r="D319" s="399">
        <v>2</v>
      </c>
      <c r="E319" s="332" t="s">
        <v>204</v>
      </c>
      <c r="F319" s="427" t="s">
        <v>2348</v>
      </c>
      <c r="G319" s="392">
        <v>0</v>
      </c>
      <c r="H319" s="392">
        <v>0</v>
      </c>
      <c r="I319" s="392">
        <v>0</v>
      </c>
      <c r="J319" s="392">
        <v>1</v>
      </c>
      <c r="K319" s="392">
        <v>1</v>
      </c>
      <c r="L319" s="392">
        <v>1</v>
      </c>
      <c r="M319" s="392">
        <v>1</v>
      </c>
      <c r="N319" s="392">
        <v>1</v>
      </c>
      <c r="O319" s="392">
        <v>0</v>
      </c>
      <c r="P319" s="392">
        <v>2</v>
      </c>
      <c r="Q319" s="392">
        <v>3</v>
      </c>
      <c r="R319" s="392">
        <v>4</v>
      </c>
      <c r="S319" s="449">
        <v>1</v>
      </c>
      <c r="T319" s="392">
        <v>0</v>
      </c>
      <c r="U319" s="392">
        <v>0</v>
      </c>
      <c r="V319" s="392">
        <v>2</v>
      </c>
      <c r="W319" s="392">
        <v>0</v>
      </c>
      <c r="X319" s="392">
        <v>0</v>
      </c>
      <c r="Y319" s="392">
        <v>1</v>
      </c>
      <c r="Z319" s="392">
        <v>2</v>
      </c>
      <c r="AA319" s="392">
        <v>1</v>
      </c>
      <c r="AB319" s="392">
        <v>3</v>
      </c>
      <c r="AC319" s="392">
        <v>6</v>
      </c>
      <c r="AD319" s="450">
        <v>2</v>
      </c>
      <c r="AE319" s="449">
        <v>0</v>
      </c>
      <c r="AF319" s="392">
        <v>3</v>
      </c>
      <c r="AG319" s="392">
        <v>4</v>
      </c>
      <c r="AH319" s="392">
        <v>0</v>
      </c>
      <c r="AI319" s="392">
        <v>4</v>
      </c>
      <c r="AJ319" s="392">
        <v>3</v>
      </c>
      <c r="AK319" s="392">
        <v>0</v>
      </c>
      <c r="AL319" s="392">
        <v>3</v>
      </c>
      <c r="AM319" s="392">
        <v>3</v>
      </c>
      <c r="AN319" s="392">
        <v>1</v>
      </c>
      <c r="AO319" s="392">
        <v>1</v>
      </c>
      <c r="AP319" s="392">
        <v>1</v>
      </c>
      <c r="AQ319" s="429"/>
      <c r="AR319" s="221">
        <f t="shared" si="108"/>
        <v>18</v>
      </c>
      <c r="AS319" s="221">
        <f t="shared" si="109"/>
        <v>23</v>
      </c>
    </row>
    <row r="320" spans="1:45" ht="15.75" customHeight="1">
      <c r="A320" s="332"/>
      <c r="B320" s="448" t="s">
        <v>2352</v>
      </c>
      <c r="C320" s="332" t="s">
        <v>2069</v>
      </c>
      <c r="D320" s="399">
        <v>1</v>
      </c>
      <c r="E320" s="332" t="s">
        <v>204</v>
      </c>
      <c r="F320" s="427" t="s">
        <v>2348</v>
      </c>
      <c r="G320" s="392">
        <v>0</v>
      </c>
      <c r="H320" s="392">
        <v>1</v>
      </c>
      <c r="I320" s="392">
        <v>0</v>
      </c>
      <c r="J320" s="392">
        <v>2</v>
      </c>
      <c r="K320" s="392">
        <v>1</v>
      </c>
      <c r="L320" s="392">
        <v>3</v>
      </c>
      <c r="M320" s="392">
        <v>1</v>
      </c>
      <c r="N320" s="392">
        <v>1</v>
      </c>
      <c r="O320" s="392">
        <v>0</v>
      </c>
      <c r="P320" s="392">
        <v>3</v>
      </c>
      <c r="Q320" s="392">
        <v>1</v>
      </c>
      <c r="R320" s="392">
        <v>0</v>
      </c>
      <c r="S320" s="449">
        <v>1</v>
      </c>
      <c r="T320" s="392">
        <v>1</v>
      </c>
      <c r="U320" s="392">
        <v>2</v>
      </c>
      <c r="V320" s="392">
        <v>1</v>
      </c>
      <c r="W320" s="392">
        <v>1</v>
      </c>
      <c r="X320" s="392">
        <v>0</v>
      </c>
      <c r="Y320" s="392">
        <v>1</v>
      </c>
      <c r="Z320" s="392">
        <v>1</v>
      </c>
      <c r="AA320" s="392">
        <v>1</v>
      </c>
      <c r="AB320" s="392">
        <v>0</v>
      </c>
      <c r="AC320" s="392">
        <v>3</v>
      </c>
      <c r="AD320" s="450">
        <v>3</v>
      </c>
      <c r="AE320" s="449">
        <v>1</v>
      </c>
      <c r="AF320" s="392">
        <v>2</v>
      </c>
      <c r="AG320" s="392">
        <v>2</v>
      </c>
      <c r="AH320" s="392">
        <v>0</v>
      </c>
      <c r="AI320" s="392">
        <v>4</v>
      </c>
      <c r="AJ320" s="392">
        <v>2</v>
      </c>
      <c r="AK320" s="392">
        <v>0</v>
      </c>
      <c r="AL320" s="392">
        <v>1</v>
      </c>
      <c r="AM320" s="392">
        <v>1</v>
      </c>
      <c r="AN320" s="392">
        <v>4</v>
      </c>
      <c r="AO320" s="392">
        <v>4</v>
      </c>
      <c r="AP320" s="392">
        <v>1</v>
      </c>
      <c r="AQ320" s="429"/>
      <c r="AR320" s="221">
        <f t="shared" si="108"/>
        <v>15</v>
      </c>
      <c r="AS320" s="221">
        <f t="shared" si="109"/>
        <v>22</v>
      </c>
    </row>
    <row r="321" spans="1:45" ht="15.75" customHeight="1">
      <c r="A321" s="332"/>
      <c r="B321" s="448" t="s">
        <v>2352</v>
      </c>
      <c r="C321" s="332" t="s">
        <v>2070</v>
      </c>
      <c r="D321" s="399">
        <v>1</v>
      </c>
      <c r="E321" s="332" t="s">
        <v>204</v>
      </c>
      <c r="F321" s="427" t="s">
        <v>2348</v>
      </c>
      <c r="G321" s="392">
        <v>0</v>
      </c>
      <c r="H321" s="392">
        <v>0</v>
      </c>
      <c r="I321" s="392">
        <v>2</v>
      </c>
      <c r="J321" s="392">
        <v>4</v>
      </c>
      <c r="K321" s="392">
        <v>2</v>
      </c>
      <c r="L321" s="392">
        <v>1</v>
      </c>
      <c r="M321" s="392">
        <v>2</v>
      </c>
      <c r="N321" s="392">
        <v>2</v>
      </c>
      <c r="O321" s="392">
        <v>4</v>
      </c>
      <c r="P321" s="392">
        <v>5</v>
      </c>
      <c r="Q321" s="392">
        <v>4</v>
      </c>
      <c r="R321" s="392">
        <v>2</v>
      </c>
      <c r="S321" s="449">
        <v>0</v>
      </c>
      <c r="T321" s="392">
        <v>0</v>
      </c>
      <c r="U321" s="392">
        <v>2</v>
      </c>
      <c r="V321" s="392">
        <v>4</v>
      </c>
      <c r="W321" s="392">
        <v>4</v>
      </c>
      <c r="X321" s="392">
        <v>3</v>
      </c>
      <c r="Y321" s="392">
        <v>2</v>
      </c>
      <c r="Z321" s="392">
        <v>3</v>
      </c>
      <c r="AA321" s="392">
        <v>4</v>
      </c>
      <c r="AB321" s="392">
        <v>4</v>
      </c>
      <c r="AC321" s="392">
        <v>4</v>
      </c>
      <c r="AD321" s="450">
        <v>2</v>
      </c>
      <c r="AE321" s="449">
        <v>2</v>
      </c>
      <c r="AF321" s="392">
        <v>0</v>
      </c>
      <c r="AG321" s="392">
        <v>2</v>
      </c>
      <c r="AH321" s="392">
        <v>2</v>
      </c>
      <c r="AI321" s="392">
        <v>3</v>
      </c>
      <c r="AJ321" s="392">
        <v>3</v>
      </c>
      <c r="AK321" s="392">
        <v>2</v>
      </c>
      <c r="AL321" s="392">
        <v>2</v>
      </c>
      <c r="AM321" s="392">
        <v>4</v>
      </c>
      <c r="AN321" s="392">
        <v>3</v>
      </c>
      <c r="AO321" s="392">
        <v>5</v>
      </c>
      <c r="AP321" s="392">
        <v>3</v>
      </c>
      <c r="AQ321" s="429"/>
      <c r="AR321" s="221">
        <f t="shared" si="108"/>
        <v>32</v>
      </c>
      <c r="AS321" s="221">
        <f t="shared" si="109"/>
        <v>31</v>
      </c>
    </row>
    <row r="322" spans="1:45" ht="15.75" customHeight="1">
      <c r="A322" s="332"/>
      <c r="B322" s="448" t="s">
        <v>2352</v>
      </c>
      <c r="C322" s="332" t="s">
        <v>2071</v>
      </c>
      <c r="D322" s="399">
        <v>2</v>
      </c>
      <c r="E322" s="332" t="s">
        <v>204</v>
      </c>
      <c r="F322" s="427" t="s">
        <v>2348</v>
      </c>
      <c r="G322" s="392">
        <v>0</v>
      </c>
      <c r="H322" s="392">
        <v>0</v>
      </c>
      <c r="I322" s="392">
        <v>0</v>
      </c>
      <c r="J322" s="392">
        <v>0</v>
      </c>
      <c r="K322" s="392">
        <v>0</v>
      </c>
      <c r="L322" s="392">
        <v>0</v>
      </c>
      <c r="M322" s="392">
        <v>0</v>
      </c>
      <c r="N322" s="392">
        <v>0</v>
      </c>
      <c r="O322" s="392">
        <v>0</v>
      </c>
      <c r="P322" s="392">
        <v>0</v>
      </c>
      <c r="Q322" s="392">
        <v>0</v>
      </c>
      <c r="R322" s="392">
        <v>0</v>
      </c>
      <c r="S322" s="449">
        <v>0</v>
      </c>
      <c r="T322" s="392">
        <v>0</v>
      </c>
      <c r="U322" s="392">
        <v>0</v>
      </c>
      <c r="V322" s="392">
        <v>0</v>
      </c>
      <c r="W322" s="392">
        <v>0</v>
      </c>
      <c r="X322" s="392">
        <v>0</v>
      </c>
      <c r="Y322" s="392">
        <v>0</v>
      </c>
      <c r="Z322" s="392">
        <v>0</v>
      </c>
      <c r="AA322" s="392">
        <v>0</v>
      </c>
      <c r="AB322" s="392">
        <v>0</v>
      </c>
      <c r="AC322" s="392">
        <v>0</v>
      </c>
      <c r="AD322" s="450">
        <v>0</v>
      </c>
      <c r="AE322" s="449">
        <v>0</v>
      </c>
      <c r="AF322" s="392">
        <v>0</v>
      </c>
      <c r="AG322" s="392">
        <v>0</v>
      </c>
      <c r="AH322" s="392">
        <v>0</v>
      </c>
      <c r="AI322" s="392">
        <v>3</v>
      </c>
      <c r="AJ322" s="392">
        <v>0</v>
      </c>
      <c r="AK322" s="392">
        <v>4</v>
      </c>
      <c r="AL322" s="392">
        <v>0</v>
      </c>
      <c r="AM322" s="392">
        <v>0</v>
      </c>
      <c r="AN322" s="392">
        <v>3</v>
      </c>
      <c r="AO322" s="392">
        <v>1</v>
      </c>
      <c r="AP322" s="392">
        <v>0</v>
      </c>
      <c r="AQ322" s="429"/>
      <c r="AR322" s="221">
        <f t="shared" si="108"/>
        <v>0</v>
      </c>
      <c r="AS322" s="221">
        <f t="shared" si="109"/>
        <v>11</v>
      </c>
    </row>
    <row r="323" spans="1:45" ht="15.75" customHeight="1">
      <c r="A323" s="332"/>
      <c r="B323" s="448" t="s">
        <v>2352</v>
      </c>
      <c r="C323" s="332" t="s">
        <v>2072</v>
      </c>
      <c r="D323" s="399">
        <v>1</v>
      </c>
      <c r="E323" s="332" t="s">
        <v>204</v>
      </c>
      <c r="F323" s="427" t="s">
        <v>2348</v>
      </c>
      <c r="G323" s="392">
        <v>0</v>
      </c>
      <c r="H323" s="392">
        <v>0</v>
      </c>
      <c r="I323" s="392">
        <v>1</v>
      </c>
      <c r="J323" s="392">
        <v>0</v>
      </c>
      <c r="K323" s="392">
        <v>0</v>
      </c>
      <c r="L323" s="392">
        <v>0</v>
      </c>
      <c r="M323" s="392">
        <v>0</v>
      </c>
      <c r="N323" s="392">
        <v>0</v>
      </c>
      <c r="O323" s="392">
        <v>0</v>
      </c>
      <c r="P323" s="392">
        <v>2</v>
      </c>
      <c r="Q323" s="392">
        <v>1</v>
      </c>
      <c r="R323" s="392">
        <v>0</v>
      </c>
      <c r="S323" s="449">
        <v>0</v>
      </c>
      <c r="T323" s="392">
        <v>0</v>
      </c>
      <c r="U323" s="392">
        <v>0</v>
      </c>
      <c r="V323" s="392">
        <v>1</v>
      </c>
      <c r="W323" s="392">
        <v>1</v>
      </c>
      <c r="X323" s="392">
        <v>1</v>
      </c>
      <c r="Y323" s="392">
        <v>0</v>
      </c>
      <c r="Z323" s="392">
        <v>0</v>
      </c>
      <c r="AA323" s="392">
        <v>1</v>
      </c>
      <c r="AB323" s="392">
        <v>0</v>
      </c>
      <c r="AC323" s="392">
        <v>0</v>
      </c>
      <c r="AD323" s="450">
        <v>2</v>
      </c>
      <c r="AE323" s="449">
        <v>0</v>
      </c>
      <c r="AF323" s="392">
        <v>0</v>
      </c>
      <c r="AG323" s="392">
        <v>1</v>
      </c>
      <c r="AH323" s="392">
        <v>0</v>
      </c>
      <c r="AI323" s="392">
        <v>2</v>
      </c>
      <c r="AJ323" s="392">
        <v>0</v>
      </c>
      <c r="AK323" s="392">
        <v>0</v>
      </c>
      <c r="AL323" s="392">
        <v>0</v>
      </c>
      <c r="AM323" s="392">
        <v>0</v>
      </c>
      <c r="AN323" s="392">
        <v>0</v>
      </c>
      <c r="AO323" s="392">
        <v>3</v>
      </c>
      <c r="AP323" s="392">
        <v>0</v>
      </c>
      <c r="AQ323" s="429"/>
      <c r="AR323" s="221">
        <f t="shared" si="108"/>
        <v>6</v>
      </c>
      <c r="AS323" s="221">
        <f t="shared" si="109"/>
        <v>6</v>
      </c>
    </row>
    <row r="324" spans="1:45" ht="15.75" customHeight="1">
      <c r="A324" s="332"/>
      <c r="B324" s="448" t="s">
        <v>2352</v>
      </c>
      <c r="C324" s="332" t="s">
        <v>2073</v>
      </c>
      <c r="D324" s="399">
        <v>1</v>
      </c>
      <c r="E324" s="332" t="s">
        <v>204</v>
      </c>
      <c r="F324" s="427" t="s">
        <v>2349</v>
      </c>
      <c r="G324" s="392">
        <v>0</v>
      </c>
      <c r="H324" s="392">
        <v>1</v>
      </c>
      <c r="I324" s="392">
        <v>2</v>
      </c>
      <c r="J324" s="392">
        <v>1</v>
      </c>
      <c r="K324" s="392">
        <v>1</v>
      </c>
      <c r="L324" s="392">
        <v>3</v>
      </c>
      <c r="M324" s="392">
        <v>1</v>
      </c>
      <c r="N324" s="392">
        <v>2</v>
      </c>
      <c r="O324" s="392">
        <v>2</v>
      </c>
      <c r="P324" s="392">
        <v>2</v>
      </c>
      <c r="Q324" s="392">
        <v>1</v>
      </c>
      <c r="R324" s="392">
        <v>1</v>
      </c>
      <c r="S324" s="449">
        <v>1</v>
      </c>
      <c r="T324" s="392">
        <v>0</v>
      </c>
      <c r="U324" s="392">
        <v>0</v>
      </c>
      <c r="V324" s="392">
        <v>3</v>
      </c>
      <c r="W324" s="392">
        <v>1</v>
      </c>
      <c r="X324" s="392">
        <v>3</v>
      </c>
      <c r="Y324" s="392">
        <v>3</v>
      </c>
      <c r="Z324" s="392">
        <v>1</v>
      </c>
      <c r="AA324" s="392">
        <v>2</v>
      </c>
      <c r="AB324" s="392">
        <v>2</v>
      </c>
      <c r="AC324" s="392">
        <v>3</v>
      </c>
      <c r="AD324" s="450">
        <v>1</v>
      </c>
      <c r="AE324" s="449">
        <v>1</v>
      </c>
      <c r="AF324" s="392">
        <v>0</v>
      </c>
      <c r="AG324" s="392">
        <v>2</v>
      </c>
      <c r="AH324" s="392">
        <v>1</v>
      </c>
      <c r="AI324" s="392">
        <v>1</v>
      </c>
      <c r="AJ324" s="392">
        <v>2</v>
      </c>
      <c r="AK324" s="392">
        <v>1</v>
      </c>
      <c r="AL324" s="392">
        <v>3</v>
      </c>
      <c r="AM324" s="392">
        <v>2</v>
      </c>
      <c r="AN324" s="392">
        <v>2</v>
      </c>
      <c r="AO324" s="392">
        <v>0</v>
      </c>
      <c r="AP324" s="392">
        <v>1</v>
      </c>
      <c r="AQ324" s="429"/>
      <c r="AR324" s="221">
        <f t="shared" si="108"/>
        <v>20</v>
      </c>
      <c r="AS324" s="221">
        <f t="shared" si="109"/>
        <v>16</v>
      </c>
    </row>
    <row r="325" spans="1:45" ht="15.75" customHeight="1">
      <c r="A325" s="332"/>
      <c r="B325" s="448" t="s">
        <v>2352</v>
      </c>
      <c r="C325" s="332" t="s">
        <v>2074</v>
      </c>
      <c r="D325" s="399">
        <v>1</v>
      </c>
      <c r="E325" s="332" t="s">
        <v>204</v>
      </c>
      <c r="F325" s="427" t="s">
        <v>2349</v>
      </c>
      <c r="G325" s="392">
        <v>1</v>
      </c>
      <c r="H325" s="392">
        <v>1</v>
      </c>
      <c r="I325" s="392">
        <v>0</v>
      </c>
      <c r="J325" s="392">
        <v>3</v>
      </c>
      <c r="K325" s="392">
        <v>3</v>
      </c>
      <c r="L325" s="392">
        <v>1</v>
      </c>
      <c r="M325" s="392">
        <v>0</v>
      </c>
      <c r="N325" s="392">
        <v>0</v>
      </c>
      <c r="O325" s="392">
        <v>3</v>
      </c>
      <c r="P325" s="392">
        <v>4</v>
      </c>
      <c r="Q325" s="392">
        <v>2</v>
      </c>
      <c r="R325" s="392">
        <v>2</v>
      </c>
      <c r="S325" s="449">
        <v>0</v>
      </c>
      <c r="T325" s="392">
        <v>1</v>
      </c>
      <c r="U325" s="392">
        <v>1</v>
      </c>
      <c r="V325" s="392">
        <v>3</v>
      </c>
      <c r="W325" s="392">
        <v>1</v>
      </c>
      <c r="X325" s="392">
        <v>2</v>
      </c>
      <c r="Y325" s="392">
        <v>1</v>
      </c>
      <c r="Z325" s="392">
        <v>0</v>
      </c>
      <c r="AA325" s="392">
        <v>2</v>
      </c>
      <c r="AB325" s="392">
        <v>3</v>
      </c>
      <c r="AC325" s="392">
        <v>3</v>
      </c>
      <c r="AD325" s="450">
        <v>1</v>
      </c>
      <c r="AE325" s="449">
        <v>2</v>
      </c>
      <c r="AF325" s="392">
        <v>0</v>
      </c>
      <c r="AG325" s="392">
        <v>0</v>
      </c>
      <c r="AH325" s="392">
        <v>1</v>
      </c>
      <c r="AI325" s="392">
        <v>2</v>
      </c>
      <c r="AJ325" s="392">
        <v>2</v>
      </c>
      <c r="AK325" s="392">
        <v>1</v>
      </c>
      <c r="AL325" s="392">
        <v>2</v>
      </c>
      <c r="AM325" s="392">
        <v>3</v>
      </c>
      <c r="AN325" s="392">
        <v>3</v>
      </c>
      <c r="AO325" s="392">
        <v>3</v>
      </c>
      <c r="AP325" s="392">
        <v>2</v>
      </c>
      <c r="AQ325" s="429"/>
      <c r="AR325" s="221">
        <f t="shared" si="108"/>
        <v>18</v>
      </c>
      <c r="AS325" s="221">
        <f t="shared" si="109"/>
        <v>21</v>
      </c>
    </row>
    <row r="326" spans="1:45" ht="15.75" customHeight="1">
      <c r="A326" s="332"/>
      <c r="B326" s="448" t="s">
        <v>2352</v>
      </c>
      <c r="C326" s="332" t="s">
        <v>2075</v>
      </c>
      <c r="D326" s="399">
        <v>1</v>
      </c>
      <c r="E326" s="332" t="s">
        <v>204</v>
      </c>
      <c r="F326" s="427" t="s">
        <v>2349</v>
      </c>
      <c r="G326" s="392">
        <v>0</v>
      </c>
      <c r="H326" s="392">
        <v>0</v>
      </c>
      <c r="I326" s="392">
        <v>0</v>
      </c>
      <c r="J326" s="392">
        <v>0</v>
      </c>
      <c r="K326" s="392">
        <v>2</v>
      </c>
      <c r="L326" s="392">
        <v>1</v>
      </c>
      <c r="M326" s="392">
        <v>1</v>
      </c>
      <c r="N326" s="392">
        <v>1</v>
      </c>
      <c r="O326" s="392">
        <v>3</v>
      </c>
      <c r="P326" s="392">
        <v>3</v>
      </c>
      <c r="Q326" s="392">
        <v>3</v>
      </c>
      <c r="R326" s="392">
        <v>2</v>
      </c>
      <c r="S326" s="449">
        <v>3</v>
      </c>
      <c r="T326" s="392">
        <v>1</v>
      </c>
      <c r="U326" s="392">
        <v>1</v>
      </c>
      <c r="V326" s="392">
        <v>0</v>
      </c>
      <c r="W326" s="392">
        <v>1</v>
      </c>
      <c r="X326" s="392">
        <v>2</v>
      </c>
      <c r="Y326" s="392">
        <v>0</v>
      </c>
      <c r="Z326" s="392">
        <v>2</v>
      </c>
      <c r="AA326" s="392">
        <v>0</v>
      </c>
      <c r="AB326" s="392">
        <v>3</v>
      </c>
      <c r="AC326" s="392">
        <v>3</v>
      </c>
      <c r="AD326" s="450">
        <v>4</v>
      </c>
      <c r="AE326" s="449">
        <v>0</v>
      </c>
      <c r="AF326" s="392">
        <v>1</v>
      </c>
      <c r="AG326" s="392">
        <v>2</v>
      </c>
      <c r="AH326" s="392">
        <v>2</v>
      </c>
      <c r="AI326" s="392">
        <v>3</v>
      </c>
      <c r="AJ326" s="392">
        <v>4</v>
      </c>
      <c r="AK326" s="392">
        <v>2</v>
      </c>
      <c r="AL326" s="392">
        <v>2</v>
      </c>
      <c r="AM326" s="392">
        <v>3</v>
      </c>
      <c r="AN326" s="392">
        <v>4</v>
      </c>
      <c r="AO326" s="392">
        <v>4</v>
      </c>
      <c r="AP326" s="392">
        <v>2</v>
      </c>
      <c r="AQ326" s="429"/>
      <c r="AR326" s="221">
        <f t="shared" si="108"/>
        <v>20</v>
      </c>
      <c r="AS326" s="221">
        <f t="shared" si="109"/>
        <v>29</v>
      </c>
    </row>
    <row r="327" spans="1:45" ht="15.75" customHeight="1">
      <c r="A327" s="332"/>
      <c r="B327" s="448" t="s">
        <v>2352</v>
      </c>
      <c r="C327" s="332" t="s">
        <v>2076</v>
      </c>
      <c r="D327" s="399">
        <v>1</v>
      </c>
      <c r="E327" s="332" t="s">
        <v>204</v>
      </c>
      <c r="F327" s="427" t="s">
        <v>2349</v>
      </c>
      <c r="G327" s="392">
        <v>0</v>
      </c>
      <c r="H327" s="392">
        <v>0</v>
      </c>
      <c r="I327" s="392">
        <v>0</v>
      </c>
      <c r="J327" s="392">
        <v>0</v>
      </c>
      <c r="K327" s="392">
        <v>0</v>
      </c>
      <c r="L327" s="392">
        <v>0</v>
      </c>
      <c r="M327" s="392">
        <v>0</v>
      </c>
      <c r="N327" s="392">
        <v>0</v>
      </c>
      <c r="O327" s="392">
        <v>0</v>
      </c>
      <c r="P327" s="392">
        <v>0</v>
      </c>
      <c r="Q327" s="392">
        <v>0</v>
      </c>
      <c r="R327" s="392">
        <v>0</v>
      </c>
      <c r="S327" s="449">
        <v>0</v>
      </c>
      <c r="T327" s="392">
        <v>0</v>
      </c>
      <c r="U327" s="392">
        <v>1</v>
      </c>
      <c r="V327" s="392">
        <v>2</v>
      </c>
      <c r="W327" s="392">
        <v>1</v>
      </c>
      <c r="X327" s="392">
        <v>3</v>
      </c>
      <c r="Y327" s="392">
        <v>0</v>
      </c>
      <c r="Z327" s="392">
        <v>1</v>
      </c>
      <c r="AA327" s="392">
        <v>0</v>
      </c>
      <c r="AB327" s="392">
        <v>1</v>
      </c>
      <c r="AC327" s="392">
        <v>1</v>
      </c>
      <c r="AD327" s="450">
        <v>0</v>
      </c>
      <c r="AE327" s="449">
        <v>0</v>
      </c>
      <c r="AF327" s="392">
        <v>0</v>
      </c>
      <c r="AG327" s="392">
        <v>2</v>
      </c>
      <c r="AH327" s="392">
        <v>0</v>
      </c>
      <c r="AI327" s="392">
        <v>1</v>
      </c>
      <c r="AJ327" s="392">
        <v>2</v>
      </c>
      <c r="AK327" s="392">
        <v>0</v>
      </c>
      <c r="AL327" s="392">
        <v>0</v>
      </c>
      <c r="AM327" s="392">
        <v>1</v>
      </c>
      <c r="AN327" s="392">
        <v>3</v>
      </c>
      <c r="AO327" s="392">
        <v>2</v>
      </c>
      <c r="AP327" s="392">
        <v>3</v>
      </c>
      <c r="AQ327" s="429"/>
      <c r="AR327" s="221">
        <f t="shared" si="108"/>
        <v>10</v>
      </c>
      <c r="AS327" s="221">
        <f t="shared" si="109"/>
        <v>14</v>
      </c>
    </row>
    <row r="328" spans="1:45" ht="15.75" customHeight="1">
      <c r="A328" s="332"/>
      <c r="B328" s="448" t="s">
        <v>2352</v>
      </c>
      <c r="C328" s="332" t="s">
        <v>2077</v>
      </c>
      <c r="D328" s="399">
        <v>1</v>
      </c>
      <c r="E328" s="332" t="s">
        <v>204</v>
      </c>
      <c r="F328" s="427" t="s">
        <v>2349</v>
      </c>
      <c r="G328" s="392">
        <v>1</v>
      </c>
      <c r="H328" s="392">
        <v>0</v>
      </c>
      <c r="I328" s="392">
        <v>0</v>
      </c>
      <c r="J328" s="392">
        <v>2</v>
      </c>
      <c r="K328" s="392">
        <v>2</v>
      </c>
      <c r="L328" s="392">
        <v>1</v>
      </c>
      <c r="M328" s="392">
        <v>0</v>
      </c>
      <c r="N328" s="392">
        <v>1</v>
      </c>
      <c r="O328" s="392">
        <v>2</v>
      </c>
      <c r="P328" s="392">
        <v>4</v>
      </c>
      <c r="Q328" s="392">
        <v>2</v>
      </c>
      <c r="R328" s="392">
        <v>2</v>
      </c>
      <c r="S328" s="449">
        <v>1</v>
      </c>
      <c r="T328" s="392">
        <v>0</v>
      </c>
      <c r="U328" s="392">
        <v>0</v>
      </c>
      <c r="V328" s="392">
        <v>2</v>
      </c>
      <c r="W328" s="392">
        <v>1</v>
      </c>
      <c r="X328" s="392">
        <v>1</v>
      </c>
      <c r="Y328" s="392">
        <v>1</v>
      </c>
      <c r="Z328" s="392">
        <v>1</v>
      </c>
      <c r="AA328" s="392">
        <v>2</v>
      </c>
      <c r="AB328" s="392">
        <v>4</v>
      </c>
      <c r="AC328" s="392">
        <v>3</v>
      </c>
      <c r="AD328" s="450">
        <v>3</v>
      </c>
      <c r="AE328" s="449">
        <v>1</v>
      </c>
      <c r="AF328" s="392">
        <v>0</v>
      </c>
      <c r="AG328" s="392">
        <v>1</v>
      </c>
      <c r="AH328" s="392">
        <v>3</v>
      </c>
      <c r="AI328" s="392">
        <v>0</v>
      </c>
      <c r="AJ328" s="392">
        <v>0</v>
      </c>
      <c r="AK328" s="392">
        <v>1</v>
      </c>
      <c r="AL328" s="392">
        <v>2</v>
      </c>
      <c r="AM328" s="392">
        <v>0</v>
      </c>
      <c r="AN328" s="392">
        <v>4</v>
      </c>
      <c r="AO328" s="392">
        <v>2</v>
      </c>
      <c r="AP328" s="392">
        <v>2</v>
      </c>
      <c r="AQ328" s="429"/>
      <c r="AR328" s="221">
        <f t="shared" si="108"/>
        <v>19</v>
      </c>
      <c r="AS328" s="221">
        <f t="shared" si="109"/>
        <v>16</v>
      </c>
    </row>
    <row r="329" spans="1:45" ht="15.75" customHeight="1">
      <c r="A329" s="332"/>
      <c r="B329" s="448" t="s">
        <v>2352</v>
      </c>
      <c r="C329" s="332" t="s">
        <v>2078</v>
      </c>
      <c r="D329" s="399">
        <v>2</v>
      </c>
      <c r="E329" s="332" t="s">
        <v>2058</v>
      </c>
      <c r="F329" s="427" t="s">
        <v>2058</v>
      </c>
      <c r="G329" s="392">
        <v>1</v>
      </c>
      <c r="H329" s="392">
        <v>0</v>
      </c>
      <c r="I329" s="392">
        <v>2</v>
      </c>
      <c r="J329" s="392">
        <v>1</v>
      </c>
      <c r="K329" s="392">
        <v>2</v>
      </c>
      <c r="L329" s="392">
        <v>1</v>
      </c>
      <c r="M329" s="392">
        <v>3</v>
      </c>
      <c r="N329" s="392">
        <v>0</v>
      </c>
      <c r="O329" s="392">
        <v>0</v>
      </c>
      <c r="P329" s="392">
        <v>4</v>
      </c>
      <c r="Q329" s="392">
        <v>6</v>
      </c>
      <c r="R329" s="392">
        <v>1</v>
      </c>
      <c r="S329" s="449">
        <v>0</v>
      </c>
      <c r="T329" s="392">
        <v>0</v>
      </c>
      <c r="U329" s="392">
        <v>1</v>
      </c>
      <c r="V329" s="392">
        <v>2</v>
      </c>
      <c r="W329" s="392">
        <v>3</v>
      </c>
      <c r="X329" s="392">
        <v>0</v>
      </c>
      <c r="Y329" s="392">
        <v>0</v>
      </c>
      <c r="Z329" s="392">
        <v>0</v>
      </c>
      <c r="AA329" s="392">
        <v>1</v>
      </c>
      <c r="AB329" s="392">
        <v>5</v>
      </c>
      <c r="AC329" s="392">
        <v>4</v>
      </c>
      <c r="AD329" s="450">
        <v>0</v>
      </c>
      <c r="AE329" s="449">
        <v>1</v>
      </c>
      <c r="AF329" s="392">
        <v>0</v>
      </c>
      <c r="AG329" s="392">
        <v>5</v>
      </c>
      <c r="AH329" s="392">
        <v>0</v>
      </c>
      <c r="AI329" s="392">
        <v>2</v>
      </c>
      <c r="AJ329" s="392">
        <v>0</v>
      </c>
      <c r="AK329" s="392">
        <v>0</v>
      </c>
      <c r="AL329" s="392">
        <v>1</v>
      </c>
      <c r="AM329" s="392">
        <v>1</v>
      </c>
      <c r="AN329" s="392">
        <v>3</v>
      </c>
      <c r="AO329" s="392">
        <v>4</v>
      </c>
      <c r="AP329" s="392">
        <v>2</v>
      </c>
      <c r="AQ329" s="429"/>
      <c r="AR329" s="221">
        <f t="shared" si="108"/>
        <v>16</v>
      </c>
      <c r="AS329" s="221">
        <f t="shared" si="109"/>
        <v>19</v>
      </c>
    </row>
    <row r="330" spans="1:45" ht="15.75" customHeight="1">
      <c r="A330" s="332"/>
      <c r="B330" s="448" t="s">
        <v>2352</v>
      </c>
      <c r="C330" s="332" t="s">
        <v>2169</v>
      </c>
      <c r="D330" s="399">
        <v>1</v>
      </c>
      <c r="E330" s="332" t="s">
        <v>2058</v>
      </c>
      <c r="F330" s="427" t="s">
        <v>2058</v>
      </c>
      <c r="G330" s="392">
        <v>0</v>
      </c>
      <c r="H330" s="392">
        <v>1</v>
      </c>
      <c r="I330" s="392">
        <v>1</v>
      </c>
      <c r="J330" s="392">
        <v>2</v>
      </c>
      <c r="K330" s="392">
        <v>0</v>
      </c>
      <c r="L330" s="392">
        <v>0</v>
      </c>
      <c r="M330" s="392">
        <v>0</v>
      </c>
      <c r="N330" s="392">
        <v>1</v>
      </c>
      <c r="O330" s="392">
        <v>1</v>
      </c>
      <c r="P330" s="392">
        <v>0</v>
      </c>
      <c r="Q330" s="392">
        <v>1</v>
      </c>
      <c r="R330" s="392">
        <v>2</v>
      </c>
      <c r="S330" s="449">
        <v>2</v>
      </c>
      <c r="T330" s="392">
        <v>1</v>
      </c>
      <c r="U330" s="392">
        <v>0</v>
      </c>
      <c r="V330" s="392">
        <v>2</v>
      </c>
      <c r="W330" s="392">
        <v>1</v>
      </c>
      <c r="X330" s="392">
        <v>0</v>
      </c>
      <c r="Y330" s="392">
        <v>0</v>
      </c>
      <c r="Z330" s="392">
        <v>0</v>
      </c>
      <c r="AA330" s="392">
        <v>0</v>
      </c>
      <c r="AB330" s="392">
        <v>3</v>
      </c>
      <c r="AC330" s="392">
        <v>4</v>
      </c>
      <c r="AD330" s="450">
        <v>0</v>
      </c>
      <c r="AE330" s="449">
        <v>1</v>
      </c>
      <c r="AF330" s="392">
        <v>0</v>
      </c>
      <c r="AG330" s="392">
        <v>1</v>
      </c>
      <c r="AH330" s="392">
        <v>0</v>
      </c>
      <c r="AI330" s="392">
        <v>1</v>
      </c>
      <c r="AJ330" s="392">
        <v>2</v>
      </c>
      <c r="AK330" s="392">
        <v>1</v>
      </c>
      <c r="AL330" s="392">
        <v>1</v>
      </c>
      <c r="AM330" s="392">
        <v>0</v>
      </c>
      <c r="AN330" s="392">
        <v>2</v>
      </c>
      <c r="AO330" s="392">
        <v>1</v>
      </c>
      <c r="AP330" s="392">
        <v>1</v>
      </c>
      <c r="AQ330" s="429"/>
      <c r="AR330" s="221">
        <f t="shared" si="108"/>
        <v>13</v>
      </c>
      <c r="AS330" s="221">
        <f t="shared" si="109"/>
        <v>11</v>
      </c>
    </row>
    <row r="331" spans="1:45" ht="15.75" customHeight="1">
      <c r="A331" s="332"/>
      <c r="B331" s="448" t="s">
        <v>2352</v>
      </c>
      <c r="C331" s="332" t="s">
        <v>2080</v>
      </c>
      <c r="D331" s="399">
        <v>2</v>
      </c>
      <c r="E331" s="332" t="s">
        <v>2058</v>
      </c>
      <c r="F331" s="427" t="s">
        <v>2058</v>
      </c>
      <c r="G331" s="392">
        <v>0</v>
      </c>
      <c r="H331" s="392">
        <v>0</v>
      </c>
      <c r="I331" s="392">
        <v>0</v>
      </c>
      <c r="J331" s="392">
        <v>0</v>
      </c>
      <c r="K331" s="392">
        <v>0</v>
      </c>
      <c r="L331" s="392">
        <v>0</v>
      </c>
      <c r="M331" s="392">
        <v>0</v>
      </c>
      <c r="N331" s="392">
        <v>0</v>
      </c>
      <c r="O331" s="392">
        <v>0</v>
      </c>
      <c r="P331" s="392">
        <v>0</v>
      </c>
      <c r="Q331" s="392">
        <v>0</v>
      </c>
      <c r="R331" s="392">
        <v>0</v>
      </c>
      <c r="S331" s="449">
        <v>0</v>
      </c>
      <c r="T331" s="392">
        <v>0</v>
      </c>
      <c r="U331" s="392">
        <v>0</v>
      </c>
      <c r="V331" s="392">
        <v>0</v>
      </c>
      <c r="W331" s="392">
        <v>0</v>
      </c>
      <c r="X331" s="392">
        <v>0</v>
      </c>
      <c r="Y331" s="392">
        <v>0</v>
      </c>
      <c r="Z331" s="392">
        <v>0</v>
      </c>
      <c r="AA331" s="392">
        <v>0</v>
      </c>
      <c r="AB331" s="392">
        <v>0</v>
      </c>
      <c r="AC331" s="392">
        <v>0</v>
      </c>
      <c r="AD331" s="450">
        <v>0</v>
      </c>
      <c r="AE331" s="449">
        <v>0</v>
      </c>
      <c r="AF331" s="392">
        <v>0</v>
      </c>
      <c r="AG331" s="392">
        <v>0</v>
      </c>
      <c r="AH331" s="392">
        <v>0</v>
      </c>
      <c r="AI331" s="392">
        <v>0</v>
      </c>
      <c r="AJ331" s="392">
        <v>0</v>
      </c>
      <c r="AK331" s="392">
        <v>0</v>
      </c>
      <c r="AL331" s="392">
        <v>0</v>
      </c>
      <c r="AM331" s="392">
        <v>0</v>
      </c>
      <c r="AN331" s="392">
        <v>0</v>
      </c>
      <c r="AO331" s="392">
        <v>0</v>
      </c>
      <c r="AP331" s="392">
        <v>0</v>
      </c>
      <c r="AQ331" s="429"/>
      <c r="AR331" s="221">
        <f t="shared" si="108"/>
        <v>0</v>
      </c>
      <c r="AS331" s="221">
        <f t="shared" si="109"/>
        <v>0</v>
      </c>
    </row>
    <row r="332" spans="1:45" ht="15.75" customHeight="1">
      <c r="A332" s="332"/>
      <c r="B332" s="448" t="s">
        <v>2352</v>
      </c>
      <c r="C332" s="332" t="s">
        <v>2081</v>
      </c>
      <c r="D332" s="399">
        <v>1</v>
      </c>
      <c r="E332" s="332" t="s">
        <v>2058</v>
      </c>
      <c r="F332" s="427" t="s">
        <v>2058</v>
      </c>
      <c r="G332" s="392">
        <v>0</v>
      </c>
      <c r="H332" s="392">
        <v>0</v>
      </c>
      <c r="I332" s="392">
        <v>1</v>
      </c>
      <c r="J332" s="392">
        <v>0</v>
      </c>
      <c r="K332" s="392">
        <v>0</v>
      </c>
      <c r="L332" s="392">
        <v>1</v>
      </c>
      <c r="M332" s="392">
        <v>1</v>
      </c>
      <c r="N332" s="392">
        <v>0</v>
      </c>
      <c r="O332" s="392">
        <v>0</v>
      </c>
      <c r="P332" s="392">
        <v>1</v>
      </c>
      <c r="Q332" s="392">
        <v>3</v>
      </c>
      <c r="R332" s="392">
        <v>1</v>
      </c>
      <c r="S332" s="449">
        <v>0</v>
      </c>
      <c r="T332" s="392">
        <v>0</v>
      </c>
      <c r="U332" s="392">
        <v>1</v>
      </c>
      <c r="V332" s="392">
        <v>1</v>
      </c>
      <c r="W332" s="392">
        <v>2</v>
      </c>
      <c r="X332" s="392">
        <v>0</v>
      </c>
      <c r="Y332" s="392">
        <v>0</v>
      </c>
      <c r="Z332" s="392">
        <v>0</v>
      </c>
      <c r="AA332" s="392">
        <v>0</v>
      </c>
      <c r="AB332" s="392">
        <v>2</v>
      </c>
      <c r="AC332" s="392">
        <v>0</v>
      </c>
      <c r="AD332" s="450">
        <v>2</v>
      </c>
      <c r="AE332" s="449">
        <v>1</v>
      </c>
      <c r="AF332" s="392">
        <v>0</v>
      </c>
      <c r="AG332" s="392">
        <v>0</v>
      </c>
      <c r="AH332" s="392">
        <v>0</v>
      </c>
      <c r="AI332" s="392">
        <v>0</v>
      </c>
      <c r="AJ332" s="392">
        <v>0</v>
      </c>
      <c r="AK332" s="392">
        <v>0</v>
      </c>
      <c r="AL332" s="392">
        <v>1</v>
      </c>
      <c r="AM332" s="392">
        <v>0</v>
      </c>
      <c r="AN332" s="392">
        <v>1</v>
      </c>
      <c r="AO332" s="392">
        <v>1</v>
      </c>
      <c r="AP332" s="392">
        <v>0</v>
      </c>
      <c r="AQ332" s="429"/>
      <c r="AR332" s="221">
        <f t="shared" si="108"/>
        <v>8</v>
      </c>
      <c r="AS332" s="221">
        <f t="shared" si="109"/>
        <v>4</v>
      </c>
    </row>
    <row r="333" spans="1:45" ht="15.75" customHeight="1">
      <c r="A333" s="332"/>
      <c r="B333" s="448" t="s">
        <v>2352</v>
      </c>
      <c r="C333" s="332" t="s">
        <v>2082</v>
      </c>
      <c r="D333" s="399">
        <v>1</v>
      </c>
      <c r="E333" s="332" t="s">
        <v>2058</v>
      </c>
      <c r="F333" s="427" t="s">
        <v>2058</v>
      </c>
      <c r="G333" s="392">
        <v>1</v>
      </c>
      <c r="H333" s="392">
        <v>0</v>
      </c>
      <c r="I333" s="392">
        <v>1</v>
      </c>
      <c r="J333" s="392">
        <v>0</v>
      </c>
      <c r="K333" s="392">
        <v>2</v>
      </c>
      <c r="L333" s="392">
        <v>2</v>
      </c>
      <c r="M333" s="392">
        <v>2</v>
      </c>
      <c r="N333" s="392">
        <v>1</v>
      </c>
      <c r="O333" s="392">
        <v>2</v>
      </c>
      <c r="P333" s="392">
        <v>5</v>
      </c>
      <c r="Q333" s="392">
        <v>2</v>
      </c>
      <c r="R333" s="392">
        <v>2</v>
      </c>
      <c r="S333" s="449">
        <v>0</v>
      </c>
      <c r="T333" s="392">
        <v>0</v>
      </c>
      <c r="U333" s="392">
        <v>0</v>
      </c>
      <c r="V333" s="392">
        <v>2</v>
      </c>
      <c r="W333" s="392">
        <v>2</v>
      </c>
      <c r="X333" s="392">
        <v>1</v>
      </c>
      <c r="Y333" s="392">
        <v>1</v>
      </c>
      <c r="Z333" s="392">
        <v>0</v>
      </c>
      <c r="AA333" s="392">
        <v>4</v>
      </c>
      <c r="AB333" s="392">
        <v>4</v>
      </c>
      <c r="AC333" s="392">
        <v>4</v>
      </c>
      <c r="AD333" s="450">
        <v>0</v>
      </c>
      <c r="AE333" s="449">
        <v>0</v>
      </c>
      <c r="AF333" s="392">
        <v>0</v>
      </c>
      <c r="AG333" s="392">
        <v>3</v>
      </c>
      <c r="AH333" s="392">
        <v>1</v>
      </c>
      <c r="AI333" s="392">
        <v>2</v>
      </c>
      <c r="AJ333" s="392">
        <v>0</v>
      </c>
      <c r="AK333" s="392">
        <v>1</v>
      </c>
      <c r="AL333" s="392">
        <v>3</v>
      </c>
      <c r="AM333" s="392">
        <v>1</v>
      </c>
      <c r="AN333" s="392">
        <v>3</v>
      </c>
      <c r="AO333" s="392">
        <v>1</v>
      </c>
      <c r="AP333" s="392">
        <v>2</v>
      </c>
      <c r="AQ333" s="429"/>
      <c r="AR333" s="221">
        <f t="shared" si="108"/>
        <v>18</v>
      </c>
      <c r="AS333" s="221">
        <f t="shared" si="109"/>
        <v>17</v>
      </c>
    </row>
    <row r="334" spans="1:45" ht="15.75" customHeight="1">
      <c r="A334" s="332"/>
      <c r="B334" s="448" t="s">
        <v>2352</v>
      </c>
      <c r="C334" s="332" t="s">
        <v>2083</v>
      </c>
      <c r="D334" s="399">
        <v>2</v>
      </c>
      <c r="E334" s="332" t="s">
        <v>2058</v>
      </c>
      <c r="F334" s="427" t="s">
        <v>2058</v>
      </c>
      <c r="G334" s="392">
        <v>0</v>
      </c>
      <c r="H334" s="392">
        <v>1</v>
      </c>
      <c r="I334" s="392">
        <v>1</v>
      </c>
      <c r="J334" s="392">
        <v>0</v>
      </c>
      <c r="K334" s="392">
        <v>1</v>
      </c>
      <c r="L334" s="392">
        <v>0</v>
      </c>
      <c r="M334" s="392">
        <v>1</v>
      </c>
      <c r="N334" s="392">
        <v>2</v>
      </c>
      <c r="O334" s="392">
        <v>0</v>
      </c>
      <c r="P334" s="392">
        <v>6</v>
      </c>
      <c r="Q334" s="392">
        <v>5</v>
      </c>
      <c r="R334" s="392">
        <v>1</v>
      </c>
      <c r="S334" s="449">
        <v>1</v>
      </c>
      <c r="T334" s="392">
        <v>1</v>
      </c>
      <c r="U334" s="392">
        <v>1</v>
      </c>
      <c r="V334" s="392">
        <v>1</v>
      </c>
      <c r="W334" s="392">
        <v>1</v>
      </c>
      <c r="X334" s="392">
        <v>0</v>
      </c>
      <c r="Y334" s="392">
        <v>0</v>
      </c>
      <c r="Z334" s="392">
        <v>0</v>
      </c>
      <c r="AA334" s="392">
        <v>1</v>
      </c>
      <c r="AB334" s="392">
        <v>4</v>
      </c>
      <c r="AC334" s="392">
        <v>4</v>
      </c>
      <c r="AD334" s="450">
        <v>1</v>
      </c>
      <c r="AE334" s="449">
        <v>0</v>
      </c>
      <c r="AF334" s="392">
        <v>1</v>
      </c>
      <c r="AG334" s="392">
        <v>1</v>
      </c>
      <c r="AH334" s="392">
        <v>0</v>
      </c>
      <c r="AI334" s="392">
        <v>2</v>
      </c>
      <c r="AJ334" s="392">
        <v>2</v>
      </c>
      <c r="AK334" s="392">
        <v>0</v>
      </c>
      <c r="AL334" s="392">
        <v>0</v>
      </c>
      <c r="AM334" s="392">
        <v>1</v>
      </c>
      <c r="AN334" s="392">
        <v>1</v>
      </c>
      <c r="AO334" s="392">
        <v>2</v>
      </c>
      <c r="AP334" s="392">
        <v>0</v>
      </c>
      <c r="AQ334" s="429"/>
      <c r="AR334" s="221">
        <f t="shared" si="108"/>
        <v>15</v>
      </c>
      <c r="AS334" s="221">
        <f t="shared" si="109"/>
        <v>10</v>
      </c>
    </row>
    <row r="335" spans="1:45" ht="15.75" customHeight="1">
      <c r="A335" s="332"/>
      <c r="B335" s="448" t="s">
        <v>2352</v>
      </c>
      <c r="C335" s="332" t="s">
        <v>2084</v>
      </c>
      <c r="D335" s="399">
        <v>1</v>
      </c>
      <c r="E335" s="332" t="s">
        <v>2058</v>
      </c>
      <c r="F335" s="427" t="s">
        <v>2058</v>
      </c>
      <c r="G335" s="392">
        <v>0</v>
      </c>
      <c r="H335" s="392">
        <v>0</v>
      </c>
      <c r="I335" s="392">
        <v>0</v>
      </c>
      <c r="J335" s="392">
        <v>0</v>
      </c>
      <c r="K335" s="392">
        <v>0</v>
      </c>
      <c r="L335" s="392">
        <v>0</v>
      </c>
      <c r="M335" s="392">
        <v>0</v>
      </c>
      <c r="N335" s="392">
        <v>0</v>
      </c>
      <c r="O335" s="392">
        <v>0</v>
      </c>
      <c r="P335" s="392">
        <v>0</v>
      </c>
      <c r="Q335" s="392">
        <v>0</v>
      </c>
      <c r="R335" s="392">
        <v>0</v>
      </c>
      <c r="S335" s="449">
        <v>0</v>
      </c>
      <c r="T335" s="392">
        <v>0</v>
      </c>
      <c r="U335" s="392">
        <v>0</v>
      </c>
      <c r="V335" s="392">
        <v>1</v>
      </c>
      <c r="W335" s="392">
        <v>1</v>
      </c>
      <c r="X335" s="392">
        <v>0</v>
      </c>
      <c r="Y335" s="392">
        <v>0</v>
      </c>
      <c r="Z335" s="392">
        <v>0</v>
      </c>
      <c r="AA335" s="392">
        <v>0</v>
      </c>
      <c r="AB335" s="392">
        <v>0</v>
      </c>
      <c r="AC335" s="392">
        <v>0</v>
      </c>
      <c r="AD335" s="450">
        <v>1</v>
      </c>
      <c r="AE335" s="449">
        <v>0</v>
      </c>
      <c r="AF335" s="392">
        <v>0</v>
      </c>
      <c r="AG335" s="392">
        <v>3</v>
      </c>
      <c r="AH335" s="392">
        <v>0</v>
      </c>
      <c r="AI335" s="392">
        <v>1</v>
      </c>
      <c r="AJ335" s="392">
        <v>0</v>
      </c>
      <c r="AK335" s="392">
        <v>0</v>
      </c>
      <c r="AL335" s="392">
        <v>0</v>
      </c>
      <c r="AM335" s="392">
        <v>1</v>
      </c>
      <c r="AN335" s="392">
        <v>1</v>
      </c>
      <c r="AO335" s="392">
        <v>0</v>
      </c>
      <c r="AP335" s="392">
        <v>0</v>
      </c>
      <c r="AQ335" s="429"/>
      <c r="AR335" s="221">
        <f t="shared" si="108"/>
        <v>3</v>
      </c>
      <c r="AS335" s="221">
        <f t="shared" si="109"/>
        <v>6</v>
      </c>
    </row>
    <row r="336" spans="1:45" ht="15.75" customHeight="1">
      <c r="A336" s="332"/>
      <c r="B336" s="448" t="s">
        <v>2352</v>
      </c>
      <c r="C336" s="332" t="s">
        <v>2085</v>
      </c>
      <c r="D336" s="399">
        <v>1</v>
      </c>
      <c r="E336" s="332" t="s">
        <v>2059</v>
      </c>
      <c r="F336" s="427" t="s">
        <v>2059</v>
      </c>
      <c r="G336" s="392">
        <v>2</v>
      </c>
      <c r="H336" s="392">
        <v>4</v>
      </c>
      <c r="I336" s="392">
        <v>0</v>
      </c>
      <c r="J336" s="392">
        <v>3</v>
      </c>
      <c r="K336" s="392">
        <v>1</v>
      </c>
      <c r="L336" s="392">
        <v>1</v>
      </c>
      <c r="M336" s="392">
        <v>0</v>
      </c>
      <c r="N336" s="392">
        <v>2</v>
      </c>
      <c r="O336" s="392">
        <v>2</v>
      </c>
      <c r="P336" s="392">
        <v>2</v>
      </c>
      <c r="Q336" s="392">
        <v>2</v>
      </c>
      <c r="R336" s="392">
        <v>3</v>
      </c>
      <c r="S336" s="449">
        <v>1</v>
      </c>
      <c r="T336" s="392">
        <v>1</v>
      </c>
      <c r="U336" s="392">
        <v>2</v>
      </c>
      <c r="V336" s="392">
        <v>1</v>
      </c>
      <c r="W336" s="392">
        <v>1</v>
      </c>
      <c r="X336" s="392">
        <v>3</v>
      </c>
      <c r="Y336" s="392">
        <v>2</v>
      </c>
      <c r="Z336" s="392">
        <v>1</v>
      </c>
      <c r="AA336" s="392">
        <v>1</v>
      </c>
      <c r="AB336" s="392">
        <v>2</v>
      </c>
      <c r="AC336" s="392">
        <v>1</v>
      </c>
      <c r="AD336" s="450">
        <v>3</v>
      </c>
      <c r="AE336" s="449">
        <v>2</v>
      </c>
      <c r="AF336" s="392">
        <v>2</v>
      </c>
      <c r="AG336" s="392">
        <v>4</v>
      </c>
      <c r="AH336" s="392">
        <v>0</v>
      </c>
      <c r="AI336" s="392">
        <v>2</v>
      </c>
      <c r="AJ336" s="392">
        <v>1</v>
      </c>
      <c r="AK336" s="392">
        <v>2</v>
      </c>
      <c r="AL336" s="392">
        <v>3</v>
      </c>
      <c r="AM336" s="392">
        <v>2</v>
      </c>
      <c r="AN336" s="392">
        <v>2</v>
      </c>
      <c r="AO336" s="392">
        <v>3</v>
      </c>
      <c r="AP336" s="392">
        <v>0</v>
      </c>
      <c r="AQ336" s="429"/>
      <c r="AR336" s="221">
        <f t="shared" si="108"/>
        <v>19</v>
      </c>
      <c r="AS336" s="221">
        <f t="shared" si="109"/>
        <v>23</v>
      </c>
    </row>
    <row r="337" spans="1:45" ht="15.75" customHeight="1">
      <c r="A337" s="332"/>
      <c r="B337" s="448" t="s">
        <v>2352</v>
      </c>
      <c r="C337" s="332" t="s">
        <v>2086</v>
      </c>
      <c r="D337" s="399">
        <v>1</v>
      </c>
      <c r="E337" s="332" t="s">
        <v>2059</v>
      </c>
      <c r="F337" s="427" t="s">
        <v>2059</v>
      </c>
      <c r="G337" s="392">
        <v>2</v>
      </c>
      <c r="H337" s="392">
        <v>0</v>
      </c>
      <c r="I337" s="392">
        <v>2</v>
      </c>
      <c r="J337" s="392">
        <v>1</v>
      </c>
      <c r="K337" s="392">
        <v>2</v>
      </c>
      <c r="L337" s="392">
        <v>1</v>
      </c>
      <c r="M337" s="392">
        <v>2</v>
      </c>
      <c r="N337" s="392">
        <v>0</v>
      </c>
      <c r="O337" s="392">
        <v>1</v>
      </c>
      <c r="P337" s="392">
        <v>3</v>
      </c>
      <c r="Q337" s="392">
        <v>2</v>
      </c>
      <c r="R337" s="392">
        <v>3</v>
      </c>
      <c r="S337" s="449">
        <v>3</v>
      </c>
      <c r="T337" s="392">
        <v>0</v>
      </c>
      <c r="U337" s="392">
        <v>1</v>
      </c>
      <c r="V337" s="392">
        <v>1</v>
      </c>
      <c r="W337" s="392">
        <v>2</v>
      </c>
      <c r="X337" s="392">
        <v>1</v>
      </c>
      <c r="Y337" s="392">
        <v>0</v>
      </c>
      <c r="Z337" s="392">
        <v>1</v>
      </c>
      <c r="AA337" s="392">
        <v>1</v>
      </c>
      <c r="AB337" s="392">
        <v>3</v>
      </c>
      <c r="AC337" s="392">
        <v>1</v>
      </c>
      <c r="AD337" s="450">
        <v>3</v>
      </c>
      <c r="AE337" s="449">
        <v>2</v>
      </c>
      <c r="AF337" s="392">
        <v>3</v>
      </c>
      <c r="AG337" s="392">
        <v>1</v>
      </c>
      <c r="AH337" s="392">
        <v>1</v>
      </c>
      <c r="AI337" s="392">
        <v>2</v>
      </c>
      <c r="AJ337" s="392">
        <v>4</v>
      </c>
      <c r="AK337" s="392">
        <v>3</v>
      </c>
      <c r="AL337" s="392">
        <v>2</v>
      </c>
      <c r="AM337" s="392">
        <v>3</v>
      </c>
      <c r="AN337" s="392">
        <v>2</v>
      </c>
      <c r="AO337" s="392">
        <v>3</v>
      </c>
      <c r="AP337" s="392">
        <v>2</v>
      </c>
      <c r="AQ337" s="429"/>
      <c r="AR337" s="221">
        <f t="shared" si="108"/>
        <v>17</v>
      </c>
      <c r="AS337" s="221">
        <f t="shared" si="109"/>
        <v>28</v>
      </c>
    </row>
    <row r="338" spans="1:45" ht="15.75" customHeight="1">
      <c r="A338" s="332"/>
      <c r="B338" s="448" t="s">
        <v>2352</v>
      </c>
      <c r="C338" s="332" t="s">
        <v>2170</v>
      </c>
      <c r="D338" s="399">
        <v>1</v>
      </c>
      <c r="E338" s="332" t="s">
        <v>2059</v>
      </c>
      <c r="F338" s="427" t="s">
        <v>2059</v>
      </c>
      <c r="G338" s="392">
        <v>0</v>
      </c>
      <c r="H338" s="392">
        <v>0</v>
      </c>
      <c r="I338" s="392">
        <v>0</v>
      </c>
      <c r="J338" s="392">
        <v>0</v>
      </c>
      <c r="K338" s="392">
        <v>0</v>
      </c>
      <c r="L338" s="392">
        <v>0</v>
      </c>
      <c r="M338" s="392">
        <v>0</v>
      </c>
      <c r="N338" s="392">
        <v>0</v>
      </c>
      <c r="O338" s="392">
        <v>0</v>
      </c>
      <c r="P338" s="392">
        <v>0</v>
      </c>
      <c r="Q338" s="392">
        <v>0</v>
      </c>
      <c r="R338" s="392">
        <v>0</v>
      </c>
      <c r="S338" s="449">
        <v>0</v>
      </c>
      <c r="T338" s="392">
        <v>0</v>
      </c>
      <c r="U338" s="392">
        <v>0</v>
      </c>
      <c r="V338" s="392">
        <v>0</v>
      </c>
      <c r="W338" s="392">
        <v>0</v>
      </c>
      <c r="X338" s="392">
        <v>0</v>
      </c>
      <c r="Y338" s="392">
        <v>0</v>
      </c>
      <c r="Z338" s="392">
        <v>0</v>
      </c>
      <c r="AA338" s="392">
        <v>0</v>
      </c>
      <c r="AB338" s="392">
        <v>0</v>
      </c>
      <c r="AC338" s="392">
        <v>0</v>
      </c>
      <c r="AD338" s="450">
        <v>0</v>
      </c>
      <c r="AE338" s="449">
        <v>0</v>
      </c>
      <c r="AF338" s="392">
        <v>0</v>
      </c>
      <c r="AG338" s="392">
        <v>0</v>
      </c>
      <c r="AH338" s="392">
        <v>0</v>
      </c>
      <c r="AI338" s="392">
        <v>0</v>
      </c>
      <c r="AJ338" s="392">
        <v>0</v>
      </c>
      <c r="AK338" s="392">
        <v>0</v>
      </c>
      <c r="AL338" s="392">
        <v>0</v>
      </c>
      <c r="AM338" s="392">
        <v>1</v>
      </c>
      <c r="AN338" s="392">
        <v>2</v>
      </c>
      <c r="AO338" s="392">
        <v>2</v>
      </c>
      <c r="AP338" s="392">
        <v>3</v>
      </c>
      <c r="AQ338" s="429"/>
      <c r="AR338" s="221">
        <f t="shared" si="108"/>
        <v>0</v>
      </c>
      <c r="AS338" s="221">
        <f t="shared" si="109"/>
        <v>8</v>
      </c>
    </row>
    <row r="339" spans="1:45" ht="15.75" customHeight="1">
      <c r="A339" s="332"/>
      <c r="B339" s="448" t="s">
        <v>2352</v>
      </c>
      <c r="C339" s="332" t="s">
        <v>2087</v>
      </c>
      <c r="D339" s="399">
        <v>1</v>
      </c>
      <c r="E339" s="332" t="s">
        <v>2059</v>
      </c>
      <c r="F339" s="427" t="s">
        <v>2059</v>
      </c>
      <c r="G339" s="392">
        <v>2</v>
      </c>
      <c r="H339" s="392">
        <v>2</v>
      </c>
      <c r="I339" s="392">
        <v>1</v>
      </c>
      <c r="J339" s="392">
        <v>1</v>
      </c>
      <c r="K339" s="392">
        <v>0</v>
      </c>
      <c r="L339" s="392">
        <v>1</v>
      </c>
      <c r="M339" s="392">
        <v>2</v>
      </c>
      <c r="N339" s="392">
        <v>0</v>
      </c>
      <c r="O339" s="392">
        <v>0</v>
      </c>
      <c r="P339" s="392">
        <v>3</v>
      </c>
      <c r="Q339" s="392">
        <v>1</v>
      </c>
      <c r="R339" s="392">
        <v>0</v>
      </c>
      <c r="S339" s="449">
        <v>1</v>
      </c>
      <c r="T339" s="392">
        <v>1</v>
      </c>
      <c r="U339" s="392">
        <v>0</v>
      </c>
      <c r="V339" s="392">
        <v>1</v>
      </c>
      <c r="W339" s="392">
        <v>1</v>
      </c>
      <c r="X339" s="392">
        <v>2</v>
      </c>
      <c r="Y339" s="392">
        <v>2</v>
      </c>
      <c r="Z339" s="392">
        <v>0</v>
      </c>
      <c r="AA339" s="392">
        <v>1</v>
      </c>
      <c r="AB339" s="392">
        <v>1</v>
      </c>
      <c r="AC339" s="392">
        <v>0</v>
      </c>
      <c r="AD339" s="450">
        <v>1</v>
      </c>
      <c r="AE339" s="449">
        <v>0</v>
      </c>
      <c r="AF339" s="392">
        <v>0</v>
      </c>
      <c r="AG339" s="392">
        <v>3</v>
      </c>
      <c r="AH339" s="392">
        <v>0</v>
      </c>
      <c r="AI339" s="392">
        <v>1</v>
      </c>
      <c r="AJ339" s="392">
        <v>2</v>
      </c>
      <c r="AK339" s="392">
        <v>1</v>
      </c>
      <c r="AL339" s="392">
        <v>2</v>
      </c>
      <c r="AM339" s="392">
        <v>1</v>
      </c>
      <c r="AN339" s="392">
        <v>1</v>
      </c>
      <c r="AO339" s="392">
        <v>1</v>
      </c>
      <c r="AP339" s="392">
        <v>1</v>
      </c>
      <c r="AQ339" s="429"/>
      <c r="AR339" s="221">
        <f t="shared" si="108"/>
        <v>11</v>
      </c>
      <c r="AS339" s="221">
        <f t="shared" si="109"/>
        <v>13</v>
      </c>
    </row>
    <row r="340" spans="1:45" ht="15.75" customHeight="1">
      <c r="A340" s="332"/>
      <c r="B340" s="448" t="s">
        <v>2352</v>
      </c>
      <c r="C340" s="332" t="s">
        <v>2088</v>
      </c>
      <c r="D340" s="399">
        <v>1</v>
      </c>
      <c r="E340" s="332" t="s">
        <v>2059</v>
      </c>
      <c r="F340" s="427" t="s">
        <v>2059</v>
      </c>
      <c r="G340" s="392">
        <v>5</v>
      </c>
      <c r="H340" s="392">
        <v>2</v>
      </c>
      <c r="I340" s="392">
        <v>3</v>
      </c>
      <c r="J340" s="392">
        <v>3</v>
      </c>
      <c r="K340" s="392">
        <v>2</v>
      </c>
      <c r="L340" s="392">
        <v>2</v>
      </c>
      <c r="M340" s="392">
        <v>4</v>
      </c>
      <c r="N340" s="392">
        <v>0</v>
      </c>
      <c r="O340" s="392">
        <v>3</v>
      </c>
      <c r="P340" s="392">
        <v>2</v>
      </c>
      <c r="Q340" s="392">
        <v>3</v>
      </c>
      <c r="R340" s="392">
        <v>1</v>
      </c>
      <c r="S340" s="449">
        <v>3</v>
      </c>
      <c r="T340" s="392">
        <v>1</v>
      </c>
      <c r="U340" s="392">
        <v>0</v>
      </c>
      <c r="V340" s="392">
        <v>1</v>
      </c>
      <c r="W340" s="392">
        <v>2</v>
      </c>
      <c r="X340" s="392">
        <v>1</v>
      </c>
      <c r="Y340" s="392">
        <v>1</v>
      </c>
      <c r="Z340" s="392">
        <v>2</v>
      </c>
      <c r="AA340" s="392">
        <v>1</v>
      </c>
      <c r="AB340" s="392">
        <v>3</v>
      </c>
      <c r="AC340" s="392">
        <v>1</v>
      </c>
      <c r="AD340" s="450">
        <v>2</v>
      </c>
      <c r="AE340" s="449">
        <v>2</v>
      </c>
      <c r="AF340" s="392">
        <v>1</v>
      </c>
      <c r="AG340" s="392">
        <v>1</v>
      </c>
      <c r="AH340" s="392">
        <v>1</v>
      </c>
      <c r="AI340" s="392">
        <v>1</v>
      </c>
      <c r="AJ340" s="392">
        <v>1</v>
      </c>
      <c r="AK340" s="392">
        <v>2</v>
      </c>
      <c r="AL340" s="392">
        <v>3</v>
      </c>
      <c r="AM340" s="392">
        <v>2</v>
      </c>
      <c r="AN340" s="392">
        <v>2</v>
      </c>
      <c r="AO340" s="392">
        <v>3</v>
      </c>
      <c r="AP340" s="392">
        <v>1</v>
      </c>
      <c r="AQ340" s="429"/>
      <c r="AR340" s="221">
        <f t="shared" si="108"/>
        <v>18</v>
      </c>
      <c r="AS340" s="221">
        <f t="shared" si="109"/>
        <v>20</v>
      </c>
    </row>
    <row r="341" spans="1:45" ht="15.75" customHeight="1">
      <c r="A341" s="332"/>
      <c r="B341" s="448" t="s">
        <v>2352</v>
      </c>
      <c r="C341" s="332" t="s">
        <v>2089</v>
      </c>
      <c r="D341" s="399">
        <v>2</v>
      </c>
      <c r="E341" s="332" t="s">
        <v>2059</v>
      </c>
      <c r="F341" s="427" t="s">
        <v>2059</v>
      </c>
      <c r="G341" s="392">
        <v>0</v>
      </c>
      <c r="H341" s="392">
        <v>0</v>
      </c>
      <c r="I341" s="392">
        <v>0</v>
      </c>
      <c r="J341" s="392">
        <v>0</v>
      </c>
      <c r="K341" s="392">
        <v>0</v>
      </c>
      <c r="L341" s="392">
        <v>0</v>
      </c>
      <c r="M341" s="392">
        <v>0</v>
      </c>
      <c r="N341" s="392">
        <v>0</v>
      </c>
      <c r="O341" s="392">
        <v>0</v>
      </c>
      <c r="P341" s="392">
        <v>0</v>
      </c>
      <c r="Q341" s="392">
        <v>2</v>
      </c>
      <c r="R341" s="392">
        <v>0</v>
      </c>
      <c r="S341" s="449">
        <v>0</v>
      </c>
      <c r="T341" s="392">
        <v>0</v>
      </c>
      <c r="U341" s="392">
        <v>0</v>
      </c>
      <c r="V341" s="392">
        <v>0</v>
      </c>
      <c r="W341" s="392">
        <v>0</v>
      </c>
      <c r="X341" s="392">
        <v>0</v>
      </c>
      <c r="Y341" s="392">
        <v>0</v>
      </c>
      <c r="Z341" s="392">
        <v>0</v>
      </c>
      <c r="AA341" s="392">
        <v>0</v>
      </c>
      <c r="AB341" s="392">
        <v>0</v>
      </c>
      <c r="AC341" s="392">
        <v>0</v>
      </c>
      <c r="AD341" s="450">
        <v>1</v>
      </c>
      <c r="AE341" s="449">
        <v>0</v>
      </c>
      <c r="AF341" s="392">
        <v>1</v>
      </c>
      <c r="AG341" s="392">
        <v>0</v>
      </c>
      <c r="AH341" s="392">
        <v>2</v>
      </c>
      <c r="AI341" s="392">
        <v>2</v>
      </c>
      <c r="AJ341" s="392">
        <v>0</v>
      </c>
      <c r="AK341" s="392">
        <v>0</v>
      </c>
      <c r="AL341" s="392">
        <v>1</v>
      </c>
      <c r="AM341" s="392">
        <v>2</v>
      </c>
      <c r="AN341" s="392">
        <v>1</v>
      </c>
      <c r="AO341" s="392">
        <v>2</v>
      </c>
      <c r="AP341" s="392">
        <v>4</v>
      </c>
      <c r="AQ341" s="429"/>
      <c r="AR341" s="221">
        <f t="shared" si="108"/>
        <v>1</v>
      </c>
      <c r="AS341" s="221">
        <f t="shared" si="109"/>
        <v>15</v>
      </c>
    </row>
    <row r="342" spans="1:45" ht="15.75" customHeight="1">
      <c r="A342" s="332"/>
      <c r="B342" s="448" t="s">
        <v>2352</v>
      </c>
      <c r="C342" s="332" t="s">
        <v>2090</v>
      </c>
      <c r="D342" s="399">
        <v>2</v>
      </c>
      <c r="E342" s="332" t="s">
        <v>2059</v>
      </c>
      <c r="F342" s="427" t="s">
        <v>2059</v>
      </c>
      <c r="G342" s="392">
        <v>2</v>
      </c>
      <c r="H342" s="392">
        <v>2</v>
      </c>
      <c r="I342" s="392">
        <v>5</v>
      </c>
      <c r="J342" s="392">
        <v>2</v>
      </c>
      <c r="K342" s="392">
        <v>2</v>
      </c>
      <c r="L342" s="392">
        <v>1</v>
      </c>
      <c r="M342" s="392">
        <v>3</v>
      </c>
      <c r="N342" s="392">
        <v>1</v>
      </c>
      <c r="O342" s="392">
        <v>4</v>
      </c>
      <c r="P342" s="392">
        <v>4</v>
      </c>
      <c r="Q342" s="392">
        <v>1</v>
      </c>
      <c r="R342" s="392">
        <v>4</v>
      </c>
      <c r="S342" s="449">
        <v>2</v>
      </c>
      <c r="T342" s="392">
        <v>5</v>
      </c>
      <c r="U342" s="392">
        <v>2</v>
      </c>
      <c r="V342" s="392">
        <v>5</v>
      </c>
      <c r="W342" s="392">
        <v>2</v>
      </c>
      <c r="X342" s="392">
        <v>2</v>
      </c>
      <c r="Y342" s="392">
        <v>2</v>
      </c>
      <c r="Z342" s="392">
        <v>1</v>
      </c>
      <c r="AA342" s="392">
        <v>4</v>
      </c>
      <c r="AB342" s="392">
        <v>6</v>
      </c>
      <c r="AC342" s="392">
        <v>6</v>
      </c>
      <c r="AD342" s="450">
        <v>3</v>
      </c>
      <c r="AE342" s="449">
        <v>1</v>
      </c>
      <c r="AF342" s="392">
        <v>3</v>
      </c>
      <c r="AG342" s="392">
        <v>4</v>
      </c>
      <c r="AH342" s="392">
        <v>3</v>
      </c>
      <c r="AI342" s="392">
        <v>3</v>
      </c>
      <c r="AJ342" s="392">
        <v>4</v>
      </c>
      <c r="AK342" s="392">
        <v>3</v>
      </c>
      <c r="AL342" s="392">
        <v>5</v>
      </c>
      <c r="AM342" s="392">
        <v>2</v>
      </c>
      <c r="AN342" s="392">
        <v>5</v>
      </c>
      <c r="AO342" s="392">
        <v>6</v>
      </c>
      <c r="AP342" s="392">
        <v>1</v>
      </c>
      <c r="AQ342" s="429"/>
      <c r="AR342" s="221">
        <f t="shared" si="108"/>
        <v>40</v>
      </c>
      <c r="AS342" s="221">
        <f t="shared" si="109"/>
        <v>40</v>
      </c>
    </row>
    <row r="343" spans="1:45" ht="15.75" customHeight="1">
      <c r="A343" s="332"/>
      <c r="B343" s="448" t="s">
        <v>2352</v>
      </c>
      <c r="C343" s="332" t="s">
        <v>2091</v>
      </c>
      <c r="D343" s="399">
        <v>1</v>
      </c>
      <c r="E343" s="332" t="s">
        <v>2059</v>
      </c>
      <c r="F343" s="427" t="s">
        <v>2059</v>
      </c>
      <c r="G343" s="392">
        <v>0</v>
      </c>
      <c r="H343" s="392">
        <v>0</v>
      </c>
      <c r="I343" s="392">
        <v>0</v>
      </c>
      <c r="J343" s="392">
        <v>0</v>
      </c>
      <c r="K343" s="392">
        <v>0</v>
      </c>
      <c r="L343" s="392">
        <v>0</v>
      </c>
      <c r="M343" s="392">
        <v>0</v>
      </c>
      <c r="N343" s="392">
        <v>0</v>
      </c>
      <c r="O343" s="392">
        <v>0</v>
      </c>
      <c r="P343" s="392">
        <v>0</v>
      </c>
      <c r="Q343" s="392">
        <v>0</v>
      </c>
      <c r="R343" s="392">
        <v>0</v>
      </c>
      <c r="S343" s="449">
        <v>0</v>
      </c>
      <c r="T343" s="392">
        <v>0</v>
      </c>
      <c r="U343" s="392">
        <v>0</v>
      </c>
      <c r="V343" s="392">
        <v>0</v>
      </c>
      <c r="W343" s="392">
        <v>0</v>
      </c>
      <c r="X343" s="392">
        <v>0</v>
      </c>
      <c r="Y343" s="392">
        <v>0</v>
      </c>
      <c r="Z343" s="392">
        <v>0</v>
      </c>
      <c r="AA343" s="392">
        <v>0</v>
      </c>
      <c r="AB343" s="392">
        <v>0</v>
      </c>
      <c r="AC343" s="392">
        <v>0</v>
      </c>
      <c r="AD343" s="450">
        <v>0</v>
      </c>
      <c r="AE343" s="449">
        <v>0</v>
      </c>
      <c r="AF343" s="392">
        <v>0</v>
      </c>
      <c r="AG343" s="392">
        <v>1</v>
      </c>
      <c r="AH343" s="392">
        <v>0</v>
      </c>
      <c r="AI343" s="392">
        <v>0</v>
      </c>
      <c r="AJ343" s="392">
        <v>1</v>
      </c>
      <c r="AK343" s="392">
        <v>0</v>
      </c>
      <c r="AL343" s="392">
        <v>0</v>
      </c>
      <c r="AM343" s="392">
        <v>0</v>
      </c>
      <c r="AN343" s="392">
        <v>0</v>
      </c>
      <c r="AO343" s="392">
        <v>1</v>
      </c>
      <c r="AP343" s="392">
        <v>1</v>
      </c>
      <c r="AQ343" s="429"/>
      <c r="AR343" s="221">
        <f t="shared" si="108"/>
        <v>0</v>
      </c>
      <c r="AS343" s="221">
        <f t="shared" si="109"/>
        <v>4</v>
      </c>
    </row>
    <row r="344" spans="1:45" ht="15.75" customHeight="1">
      <c r="A344" s="332"/>
      <c r="B344" s="448" t="s">
        <v>2352</v>
      </c>
      <c r="C344" s="332" t="s">
        <v>2092</v>
      </c>
      <c r="D344" s="399">
        <v>1</v>
      </c>
      <c r="E344" s="332" t="s">
        <v>2060</v>
      </c>
      <c r="F344" s="427" t="s">
        <v>2060</v>
      </c>
      <c r="G344" s="392">
        <v>4</v>
      </c>
      <c r="H344" s="392">
        <v>5</v>
      </c>
      <c r="I344" s="392">
        <v>5</v>
      </c>
      <c r="J344" s="392">
        <v>5</v>
      </c>
      <c r="K344" s="392">
        <v>5</v>
      </c>
      <c r="L344" s="392">
        <v>6</v>
      </c>
      <c r="M344" s="392">
        <v>8</v>
      </c>
      <c r="N344" s="392">
        <v>6</v>
      </c>
      <c r="O344" s="392">
        <v>8</v>
      </c>
      <c r="P344" s="392">
        <v>10</v>
      </c>
      <c r="Q344" s="392">
        <v>7</v>
      </c>
      <c r="R344" s="392">
        <v>4</v>
      </c>
      <c r="S344" s="449">
        <v>4</v>
      </c>
      <c r="T344" s="392">
        <v>4</v>
      </c>
      <c r="U344" s="392">
        <v>6</v>
      </c>
      <c r="V344" s="392">
        <v>5</v>
      </c>
      <c r="W344" s="392">
        <v>7</v>
      </c>
      <c r="X344" s="392">
        <v>6</v>
      </c>
      <c r="Y344" s="392">
        <v>5</v>
      </c>
      <c r="Z344" s="392">
        <v>4</v>
      </c>
      <c r="AA344" s="392">
        <v>7</v>
      </c>
      <c r="AB344" s="392">
        <v>8</v>
      </c>
      <c r="AC344" s="392">
        <v>6</v>
      </c>
      <c r="AD344" s="450">
        <v>6</v>
      </c>
      <c r="AE344" s="449">
        <v>2</v>
      </c>
      <c r="AF344" s="392">
        <v>4</v>
      </c>
      <c r="AG344" s="392">
        <v>5</v>
      </c>
      <c r="AH344" s="392">
        <v>6</v>
      </c>
      <c r="AI344" s="392">
        <v>6</v>
      </c>
      <c r="AJ344" s="392">
        <v>10</v>
      </c>
      <c r="AK344" s="392">
        <v>3</v>
      </c>
      <c r="AL344" s="392">
        <v>6</v>
      </c>
      <c r="AM344" s="392">
        <v>6</v>
      </c>
      <c r="AN344" s="392">
        <v>7</v>
      </c>
      <c r="AO344" s="392">
        <v>6</v>
      </c>
      <c r="AP344" s="392">
        <v>4</v>
      </c>
      <c r="AQ344" s="429"/>
      <c r="AR344" s="221">
        <f t="shared" si="108"/>
        <v>68</v>
      </c>
      <c r="AS344" s="221">
        <f t="shared" si="109"/>
        <v>65</v>
      </c>
    </row>
    <row r="345" spans="1:45" ht="15.75" customHeight="1">
      <c r="A345" s="332"/>
      <c r="B345" s="451" t="s">
        <v>2352</v>
      </c>
      <c r="C345" s="452" t="s">
        <v>2093</v>
      </c>
      <c r="D345" s="433">
        <v>1</v>
      </c>
      <c r="E345" s="434" t="s">
        <v>204</v>
      </c>
      <c r="F345" s="453" t="s">
        <v>2349</v>
      </c>
      <c r="G345" s="454">
        <v>0</v>
      </c>
      <c r="H345" s="454">
        <v>0</v>
      </c>
      <c r="I345" s="454">
        <v>0</v>
      </c>
      <c r="J345" s="454">
        <v>0</v>
      </c>
      <c r="K345" s="454">
        <v>0</v>
      </c>
      <c r="L345" s="454">
        <v>0</v>
      </c>
      <c r="M345" s="454">
        <v>0</v>
      </c>
      <c r="N345" s="454">
        <v>0</v>
      </c>
      <c r="O345" s="454">
        <v>0</v>
      </c>
      <c r="P345" s="454">
        <v>0</v>
      </c>
      <c r="Q345" s="454">
        <v>0</v>
      </c>
      <c r="R345" s="454">
        <v>0</v>
      </c>
      <c r="S345" s="455">
        <v>0</v>
      </c>
      <c r="T345" s="454">
        <v>0</v>
      </c>
      <c r="U345" s="454">
        <v>0</v>
      </c>
      <c r="V345" s="454">
        <v>0</v>
      </c>
      <c r="W345" s="454">
        <v>0</v>
      </c>
      <c r="X345" s="454">
        <v>0</v>
      </c>
      <c r="Y345" s="454">
        <v>0</v>
      </c>
      <c r="Z345" s="454">
        <v>0</v>
      </c>
      <c r="AA345" s="454">
        <v>0</v>
      </c>
      <c r="AB345" s="454">
        <v>0</v>
      </c>
      <c r="AC345" s="454">
        <v>0</v>
      </c>
      <c r="AD345" s="456">
        <v>0</v>
      </c>
      <c r="AE345" s="455">
        <v>0</v>
      </c>
      <c r="AF345" s="454">
        <v>0</v>
      </c>
      <c r="AG345" s="454">
        <v>0</v>
      </c>
      <c r="AH345" s="454">
        <v>0</v>
      </c>
      <c r="AI345" s="454">
        <v>3</v>
      </c>
      <c r="AJ345" s="454">
        <v>1</v>
      </c>
      <c r="AK345" s="454">
        <v>0</v>
      </c>
      <c r="AL345" s="454">
        <v>0</v>
      </c>
      <c r="AM345" s="454">
        <v>1</v>
      </c>
      <c r="AN345" s="454">
        <v>4</v>
      </c>
      <c r="AO345" s="454">
        <v>3</v>
      </c>
      <c r="AP345" s="454">
        <v>0</v>
      </c>
      <c r="AQ345" s="429"/>
      <c r="AR345" s="221">
        <f t="shared" si="108"/>
        <v>0</v>
      </c>
      <c r="AS345" s="221">
        <f t="shared" si="109"/>
        <v>12</v>
      </c>
    </row>
    <row r="346" spans="1:45" ht="15.75" customHeight="1">
      <c r="A346" s="332"/>
      <c r="B346" s="448" t="s">
        <v>2353</v>
      </c>
      <c r="C346" s="332" t="s">
        <v>2061</v>
      </c>
      <c r="D346" s="399">
        <v>1</v>
      </c>
      <c r="E346" s="332" t="s">
        <v>204</v>
      </c>
      <c r="F346" s="427" t="s">
        <v>2347</v>
      </c>
      <c r="G346" s="449">
        <v>0</v>
      </c>
      <c r="H346" s="392">
        <v>0</v>
      </c>
      <c r="I346" s="392">
        <v>1</v>
      </c>
      <c r="J346" s="392">
        <v>1</v>
      </c>
      <c r="K346" s="392">
        <v>0</v>
      </c>
      <c r="L346" s="392">
        <v>0</v>
      </c>
      <c r="M346" s="392">
        <v>0</v>
      </c>
      <c r="N346" s="392">
        <v>0</v>
      </c>
      <c r="O346" s="392">
        <v>2</v>
      </c>
      <c r="P346" s="392">
        <v>3</v>
      </c>
      <c r="Q346" s="392">
        <v>0</v>
      </c>
      <c r="R346" s="392">
        <v>0</v>
      </c>
      <c r="S346" s="449">
        <v>1</v>
      </c>
      <c r="T346" s="392">
        <v>1</v>
      </c>
      <c r="U346" s="392">
        <v>0</v>
      </c>
      <c r="V346" s="392">
        <v>1</v>
      </c>
      <c r="W346" s="392">
        <v>3</v>
      </c>
      <c r="X346" s="392">
        <v>0</v>
      </c>
      <c r="Y346" s="392">
        <v>1</v>
      </c>
      <c r="Z346" s="392">
        <v>0</v>
      </c>
      <c r="AA346" s="392">
        <v>0</v>
      </c>
      <c r="AB346" s="392">
        <v>0</v>
      </c>
      <c r="AC346" s="392">
        <v>4</v>
      </c>
      <c r="AD346" s="450">
        <v>0</v>
      </c>
      <c r="AE346" s="449">
        <v>1</v>
      </c>
      <c r="AF346" s="392">
        <v>0</v>
      </c>
      <c r="AG346" s="392">
        <v>1</v>
      </c>
      <c r="AH346" s="392">
        <v>1</v>
      </c>
      <c r="AI346" s="392">
        <v>2</v>
      </c>
      <c r="AJ346" s="392">
        <v>0</v>
      </c>
      <c r="AK346" s="392">
        <v>1</v>
      </c>
      <c r="AL346" s="392">
        <v>1</v>
      </c>
      <c r="AM346" s="392">
        <v>0</v>
      </c>
      <c r="AN346" s="392">
        <v>4</v>
      </c>
      <c r="AO346" s="392">
        <v>0</v>
      </c>
      <c r="AP346" s="392">
        <v>0</v>
      </c>
      <c r="AQ346" s="429"/>
      <c r="AR346" s="221">
        <f t="shared" si="108"/>
        <v>11</v>
      </c>
      <c r="AS346" s="221">
        <f t="shared" si="109"/>
        <v>11</v>
      </c>
    </row>
    <row r="347" spans="1:45" ht="15.75" customHeight="1">
      <c r="A347" s="332"/>
      <c r="B347" s="448" t="s">
        <v>2353</v>
      </c>
      <c r="C347" s="332" t="s">
        <v>2062</v>
      </c>
      <c r="D347" s="399">
        <v>2</v>
      </c>
      <c r="E347" s="332" t="s">
        <v>204</v>
      </c>
      <c r="F347" s="427" t="s">
        <v>2347</v>
      </c>
      <c r="G347" s="392">
        <v>0</v>
      </c>
      <c r="H347" s="392">
        <v>1</v>
      </c>
      <c r="I347" s="392">
        <v>5</v>
      </c>
      <c r="J347" s="392">
        <v>2</v>
      </c>
      <c r="K347" s="392">
        <v>4</v>
      </c>
      <c r="L347" s="392">
        <v>3</v>
      </c>
      <c r="M347" s="392">
        <v>0</v>
      </c>
      <c r="N347" s="392">
        <v>3</v>
      </c>
      <c r="O347" s="392">
        <v>2</v>
      </c>
      <c r="P347" s="392">
        <v>3</v>
      </c>
      <c r="Q347" s="392">
        <v>3</v>
      </c>
      <c r="R347" s="392">
        <v>2</v>
      </c>
      <c r="S347" s="449">
        <v>1</v>
      </c>
      <c r="T347" s="392">
        <v>1</v>
      </c>
      <c r="U347" s="392">
        <v>2</v>
      </c>
      <c r="V347" s="392">
        <v>1</v>
      </c>
      <c r="W347" s="392">
        <v>2</v>
      </c>
      <c r="X347" s="392">
        <v>0</v>
      </c>
      <c r="Y347" s="392">
        <v>1</v>
      </c>
      <c r="Z347" s="392">
        <v>2</v>
      </c>
      <c r="AA347" s="392">
        <v>0</v>
      </c>
      <c r="AB347" s="392">
        <v>1</v>
      </c>
      <c r="AC347" s="392">
        <v>2</v>
      </c>
      <c r="AD347" s="450">
        <v>2</v>
      </c>
      <c r="AE347" s="449">
        <v>1</v>
      </c>
      <c r="AF347" s="392">
        <v>0</v>
      </c>
      <c r="AG347" s="392">
        <v>2</v>
      </c>
      <c r="AH347" s="392">
        <v>2</v>
      </c>
      <c r="AI347" s="392">
        <v>1</v>
      </c>
      <c r="AJ347" s="392">
        <v>2</v>
      </c>
      <c r="AK347" s="392">
        <v>4</v>
      </c>
      <c r="AL347" s="392">
        <v>2</v>
      </c>
      <c r="AM347" s="392">
        <v>1</v>
      </c>
      <c r="AN347" s="392">
        <v>3</v>
      </c>
      <c r="AO347" s="392">
        <v>2</v>
      </c>
      <c r="AP347" s="392">
        <v>1</v>
      </c>
      <c r="AQ347" s="429"/>
      <c r="AR347" s="221">
        <f t="shared" si="108"/>
        <v>15</v>
      </c>
      <c r="AS347" s="221">
        <f t="shared" si="109"/>
        <v>21</v>
      </c>
    </row>
    <row r="348" spans="1:45" ht="15.75" customHeight="1">
      <c r="A348" s="332"/>
      <c r="B348" s="448" t="s">
        <v>2353</v>
      </c>
      <c r="C348" s="332" t="s">
        <v>2063</v>
      </c>
      <c r="D348" s="399">
        <v>2</v>
      </c>
      <c r="E348" s="332" t="s">
        <v>204</v>
      </c>
      <c r="F348" s="427" t="s">
        <v>2347</v>
      </c>
      <c r="G348" s="392">
        <v>2</v>
      </c>
      <c r="H348" s="392">
        <v>2</v>
      </c>
      <c r="I348" s="392">
        <v>6</v>
      </c>
      <c r="J348" s="392">
        <v>2</v>
      </c>
      <c r="K348" s="392">
        <v>1</v>
      </c>
      <c r="L348" s="392">
        <v>3</v>
      </c>
      <c r="M348" s="392">
        <v>3</v>
      </c>
      <c r="N348" s="392">
        <v>1</v>
      </c>
      <c r="O348" s="392">
        <v>4</v>
      </c>
      <c r="P348" s="392">
        <v>3</v>
      </c>
      <c r="Q348" s="392">
        <v>2</v>
      </c>
      <c r="R348" s="392">
        <v>2</v>
      </c>
      <c r="S348" s="449">
        <v>0</v>
      </c>
      <c r="T348" s="392">
        <v>0</v>
      </c>
      <c r="U348" s="392">
        <v>2</v>
      </c>
      <c r="V348" s="392">
        <v>2</v>
      </c>
      <c r="W348" s="392">
        <v>5</v>
      </c>
      <c r="X348" s="392">
        <v>4</v>
      </c>
      <c r="Y348" s="392">
        <v>4</v>
      </c>
      <c r="Z348" s="392">
        <v>1</v>
      </c>
      <c r="AA348" s="392">
        <v>2</v>
      </c>
      <c r="AB348" s="392">
        <v>4</v>
      </c>
      <c r="AC348" s="392">
        <v>3</v>
      </c>
      <c r="AD348" s="450">
        <v>3</v>
      </c>
      <c r="AE348" s="449">
        <v>0</v>
      </c>
      <c r="AF348" s="392">
        <v>0</v>
      </c>
      <c r="AG348" s="392">
        <v>0</v>
      </c>
      <c r="AH348" s="392">
        <v>1</v>
      </c>
      <c r="AI348" s="392">
        <v>4</v>
      </c>
      <c r="AJ348" s="392">
        <v>3</v>
      </c>
      <c r="AK348" s="392">
        <v>0</v>
      </c>
      <c r="AL348" s="392">
        <v>2</v>
      </c>
      <c r="AM348" s="392">
        <v>2</v>
      </c>
      <c r="AN348" s="392">
        <v>4</v>
      </c>
      <c r="AO348" s="392">
        <v>1</v>
      </c>
      <c r="AP348" s="392">
        <v>2</v>
      </c>
      <c r="AQ348" s="429"/>
      <c r="AR348" s="221">
        <f t="shared" si="108"/>
        <v>30</v>
      </c>
      <c r="AS348" s="221">
        <f t="shared" si="109"/>
        <v>19</v>
      </c>
    </row>
    <row r="349" spans="1:45" ht="15.75" customHeight="1">
      <c r="A349" s="332"/>
      <c r="B349" s="448" t="s">
        <v>2353</v>
      </c>
      <c r="C349" s="332" t="s">
        <v>2064</v>
      </c>
      <c r="D349" s="399">
        <v>1</v>
      </c>
      <c r="E349" s="332" t="s">
        <v>204</v>
      </c>
      <c r="F349" s="427" t="s">
        <v>2347</v>
      </c>
      <c r="G349" s="392">
        <v>0</v>
      </c>
      <c r="H349" s="392">
        <v>0</v>
      </c>
      <c r="I349" s="392">
        <v>1</v>
      </c>
      <c r="J349" s="392">
        <v>2</v>
      </c>
      <c r="K349" s="392">
        <v>1</v>
      </c>
      <c r="L349" s="392">
        <v>2</v>
      </c>
      <c r="M349" s="392">
        <v>1</v>
      </c>
      <c r="N349" s="392">
        <v>2</v>
      </c>
      <c r="O349" s="392">
        <v>4</v>
      </c>
      <c r="P349" s="392">
        <v>4</v>
      </c>
      <c r="Q349" s="392">
        <v>2</v>
      </c>
      <c r="R349" s="392">
        <v>2</v>
      </c>
      <c r="S349" s="449">
        <v>1</v>
      </c>
      <c r="T349" s="392">
        <v>2</v>
      </c>
      <c r="U349" s="392">
        <v>3</v>
      </c>
      <c r="V349" s="392">
        <v>1</v>
      </c>
      <c r="W349" s="392">
        <v>4</v>
      </c>
      <c r="X349" s="392">
        <v>3</v>
      </c>
      <c r="Y349" s="392">
        <v>1</v>
      </c>
      <c r="Z349" s="392">
        <v>1</v>
      </c>
      <c r="AA349" s="392">
        <v>2</v>
      </c>
      <c r="AB349" s="392">
        <v>4</v>
      </c>
      <c r="AC349" s="392">
        <v>2</v>
      </c>
      <c r="AD349" s="450">
        <v>2</v>
      </c>
      <c r="AE349" s="449">
        <v>1</v>
      </c>
      <c r="AF349" s="392">
        <v>0</v>
      </c>
      <c r="AG349" s="392">
        <v>4</v>
      </c>
      <c r="AH349" s="392">
        <v>3</v>
      </c>
      <c r="AI349" s="392">
        <v>3</v>
      </c>
      <c r="AJ349" s="392">
        <v>3</v>
      </c>
      <c r="AK349" s="392">
        <v>3</v>
      </c>
      <c r="AL349" s="392">
        <v>2</v>
      </c>
      <c r="AM349" s="392">
        <v>4</v>
      </c>
      <c r="AN349" s="392">
        <v>4</v>
      </c>
      <c r="AO349" s="392">
        <v>4</v>
      </c>
      <c r="AP349" s="392">
        <v>1</v>
      </c>
      <c r="AQ349" s="429"/>
      <c r="AR349" s="221">
        <f t="shared" si="108"/>
        <v>26</v>
      </c>
      <c r="AS349" s="221">
        <f t="shared" si="109"/>
        <v>32</v>
      </c>
    </row>
    <row r="350" spans="1:45" ht="15.75" customHeight="1">
      <c r="A350" s="332"/>
      <c r="B350" s="448" t="s">
        <v>2353</v>
      </c>
      <c r="C350" s="332" t="s">
        <v>2065</v>
      </c>
      <c r="D350" s="399">
        <v>1</v>
      </c>
      <c r="E350" s="332" t="s">
        <v>204</v>
      </c>
      <c r="F350" s="427" t="s">
        <v>2347</v>
      </c>
      <c r="G350" s="392">
        <v>0</v>
      </c>
      <c r="H350" s="392">
        <v>1</v>
      </c>
      <c r="I350" s="392">
        <v>1</v>
      </c>
      <c r="J350" s="392">
        <v>0</v>
      </c>
      <c r="K350" s="392">
        <v>0</v>
      </c>
      <c r="L350" s="392">
        <v>1</v>
      </c>
      <c r="M350" s="392">
        <v>1</v>
      </c>
      <c r="N350" s="392">
        <v>2</v>
      </c>
      <c r="O350" s="392">
        <v>2</v>
      </c>
      <c r="P350" s="392">
        <v>2</v>
      </c>
      <c r="Q350" s="392">
        <v>2</v>
      </c>
      <c r="R350" s="392">
        <v>4</v>
      </c>
      <c r="S350" s="449">
        <v>0</v>
      </c>
      <c r="T350" s="392">
        <v>1</v>
      </c>
      <c r="U350" s="392">
        <v>1</v>
      </c>
      <c r="V350" s="392">
        <v>2</v>
      </c>
      <c r="W350" s="392">
        <v>1</v>
      </c>
      <c r="X350" s="392">
        <v>1</v>
      </c>
      <c r="Y350" s="392">
        <v>2</v>
      </c>
      <c r="Z350" s="392">
        <v>0</v>
      </c>
      <c r="AA350" s="392">
        <v>0</v>
      </c>
      <c r="AB350" s="392">
        <v>3</v>
      </c>
      <c r="AC350" s="392">
        <v>2</v>
      </c>
      <c r="AD350" s="450">
        <v>2</v>
      </c>
      <c r="AE350" s="449">
        <v>1</v>
      </c>
      <c r="AF350" s="392">
        <v>1</v>
      </c>
      <c r="AG350" s="392">
        <v>1</v>
      </c>
      <c r="AH350" s="392">
        <v>0</v>
      </c>
      <c r="AI350" s="392">
        <v>0</v>
      </c>
      <c r="AJ350" s="392">
        <v>1</v>
      </c>
      <c r="AK350" s="392">
        <v>1</v>
      </c>
      <c r="AL350" s="392">
        <v>2</v>
      </c>
      <c r="AM350" s="392">
        <v>0</v>
      </c>
      <c r="AN350" s="392">
        <v>1</v>
      </c>
      <c r="AO350" s="392">
        <v>1</v>
      </c>
      <c r="AP350" s="392">
        <v>0</v>
      </c>
      <c r="AQ350" s="429"/>
      <c r="AR350" s="221">
        <f t="shared" si="108"/>
        <v>15</v>
      </c>
      <c r="AS350" s="221">
        <f t="shared" si="109"/>
        <v>9</v>
      </c>
    </row>
    <row r="351" spans="1:45" ht="15.75" customHeight="1">
      <c r="A351" s="332"/>
      <c r="B351" s="448" t="s">
        <v>2353</v>
      </c>
      <c r="C351" s="332" t="s">
        <v>2066</v>
      </c>
      <c r="D351" s="399">
        <v>1</v>
      </c>
      <c r="E351" s="332" t="s">
        <v>204</v>
      </c>
      <c r="F351" s="427" t="s">
        <v>2348</v>
      </c>
      <c r="G351" s="392">
        <v>0</v>
      </c>
      <c r="H351" s="392">
        <v>0</v>
      </c>
      <c r="I351" s="392">
        <v>4</v>
      </c>
      <c r="J351" s="392">
        <v>1</v>
      </c>
      <c r="K351" s="392">
        <v>3</v>
      </c>
      <c r="L351" s="392">
        <v>4</v>
      </c>
      <c r="M351" s="392">
        <v>2</v>
      </c>
      <c r="N351" s="392">
        <v>1</v>
      </c>
      <c r="O351" s="392">
        <v>3</v>
      </c>
      <c r="P351" s="392">
        <v>4</v>
      </c>
      <c r="Q351" s="392">
        <v>3</v>
      </c>
      <c r="R351" s="392">
        <v>3</v>
      </c>
      <c r="S351" s="449">
        <v>2</v>
      </c>
      <c r="T351" s="392">
        <v>2</v>
      </c>
      <c r="U351" s="392">
        <v>2</v>
      </c>
      <c r="V351" s="392">
        <v>2</v>
      </c>
      <c r="W351" s="392">
        <v>3</v>
      </c>
      <c r="X351" s="392">
        <v>4</v>
      </c>
      <c r="Y351" s="392">
        <v>4</v>
      </c>
      <c r="Z351" s="392">
        <v>3</v>
      </c>
      <c r="AA351" s="392">
        <v>3</v>
      </c>
      <c r="AB351" s="392">
        <v>3</v>
      </c>
      <c r="AC351" s="392">
        <v>4</v>
      </c>
      <c r="AD351" s="450">
        <v>0</v>
      </c>
      <c r="AE351" s="449">
        <v>1</v>
      </c>
      <c r="AF351" s="392">
        <v>4</v>
      </c>
      <c r="AG351" s="392">
        <v>2</v>
      </c>
      <c r="AH351" s="392">
        <v>2</v>
      </c>
      <c r="AI351" s="392">
        <v>3</v>
      </c>
      <c r="AJ351" s="392">
        <v>3</v>
      </c>
      <c r="AK351" s="392">
        <v>3</v>
      </c>
      <c r="AL351" s="392">
        <v>2</v>
      </c>
      <c r="AM351" s="392">
        <v>3</v>
      </c>
      <c r="AN351" s="392">
        <v>5</v>
      </c>
      <c r="AO351" s="392">
        <v>3</v>
      </c>
      <c r="AP351" s="392">
        <v>2</v>
      </c>
      <c r="AQ351" s="429"/>
      <c r="AR351" s="221">
        <f t="shared" si="108"/>
        <v>32</v>
      </c>
      <c r="AS351" s="221">
        <f t="shared" si="109"/>
        <v>33</v>
      </c>
    </row>
    <row r="352" spans="1:45" ht="15.75" customHeight="1">
      <c r="A352" s="332"/>
      <c r="B352" s="448" t="s">
        <v>2353</v>
      </c>
      <c r="C352" s="332" t="s">
        <v>2067</v>
      </c>
      <c r="D352" s="399">
        <v>1</v>
      </c>
      <c r="E352" s="332" t="s">
        <v>204</v>
      </c>
      <c r="F352" s="427" t="s">
        <v>2348</v>
      </c>
      <c r="G352" s="392">
        <v>0</v>
      </c>
      <c r="H352" s="392">
        <v>1</v>
      </c>
      <c r="I352" s="392">
        <v>0</v>
      </c>
      <c r="J352" s="392">
        <v>1</v>
      </c>
      <c r="K352" s="392">
        <v>0</v>
      </c>
      <c r="L352" s="392">
        <v>1</v>
      </c>
      <c r="M352" s="392">
        <v>1</v>
      </c>
      <c r="N352" s="392">
        <v>1</v>
      </c>
      <c r="O352" s="392">
        <v>0</v>
      </c>
      <c r="P352" s="392">
        <v>2</v>
      </c>
      <c r="Q352" s="392">
        <v>2</v>
      </c>
      <c r="R352" s="392">
        <v>1</v>
      </c>
      <c r="S352" s="449">
        <v>0</v>
      </c>
      <c r="T352" s="392">
        <v>0</v>
      </c>
      <c r="U352" s="392">
        <v>0</v>
      </c>
      <c r="V352" s="392">
        <v>1</v>
      </c>
      <c r="W352" s="392">
        <v>0</v>
      </c>
      <c r="X352" s="392">
        <v>1</v>
      </c>
      <c r="Y352" s="392">
        <v>0</v>
      </c>
      <c r="Z352" s="392">
        <v>1</v>
      </c>
      <c r="AA352" s="392">
        <v>1</v>
      </c>
      <c r="AB352" s="392">
        <v>3</v>
      </c>
      <c r="AC352" s="392">
        <v>2</v>
      </c>
      <c r="AD352" s="450">
        <v>2</v>
      </c>
      <c r="AE352" s="449">
        <v>0</v>
      </c>
      <c r="AF352" s="392">
        <v>1</v>
      </c>
      <c r="AG352" s="392">
        <v>3</v>
      </c>
      <c r="AH352" s="392">
        <v>1</v>
      </c>
      <c r="AI352" s="392">
        <v>1</v>
      </c>
      <c r="AJ352" s="392">
        <v>2</v>
      </c>
      <c r="AK352" s="392">
        <v>0</v>
      </c>
      <c r="AL352" s="392">
        <v>1</v>
      </c>
      <c r="AM352" s="392">
        <v>0</v>
      </c>
      <c r="AN352" s="392">
        <v>3</v>
      </c>
      <c r="AO352" s="392">
        <v>3</v>
      </c>
      <c r="AP352" s="392">
        <v>2</v>
      </c>
      <c r="AQ352" s="429"/>
      <c r="AR352" s="221">
        <f t="shared" si="108"/>
        <v>11</v>
      </c>
      <c r="AS352" s="221">
        <f t="shared" si="109"/>
        <v>17</v>
      </c>
    </row>
    <row r="353" spans="1:45" ht="15.75" customHeight="1">
      <c r="A353" s="332"/>
      <c r="B353" s="448" t="s">
        <v>2353</v>
      </c>
      <c r="C353" s="332" t="s">
        <v>2068</v>
      </c>
      <c r="D353" s="399">
        <v>2</v>
      </c>
      <c r="E353" s="332" t="s">
        <v>204</v>
      </c>
      <c r="F353" s="427" t="s">
        <v>2348</v>
      </c>
      <c r="G353" s="392">
        <v>0</v>
      </c>
      <c r="H353" s="392">
        <v>2</v>
      </c>
      <c r="I353" s="392">
        <v>1</v>
      </c>
      <c r="J353" s="392">
        <v>2</v>
      </c>
      <c r="K353" s="392">
        <v>1</v>
      </c>
      <c r="L353" s="392">
        <v>2</v>
      </c>
      <c r="M353" s="392">
        <v>2</v>
      </c>
      <c r="N353" s="392">
        <v>2</v>
      </c>
      <c r="O353" s="392">
        <v>1</v>
      </c>
      <c r="P353" s="392">
        <v>5</v>
      </c>
      <c r="Q353" s="392">
        <v>4</v>
      </c>
      <c r="R353" s="392">
        <v>3</v>
      </c>
      <c r="S353" s="449">
        <v>0</v>
      </c>
      <c r="T353" s="392">
        <v>0</v>
      </c>
      <c r="U353" s="392">
        <v>6</v>
      </c>
      <c r="V353" s="392">
        <v>2</v>
      </c>
      <c r="W353" s="392">
        <v>1</v>
      </c>
      <c r="X353" s="392">
        <v>2</v>
      </c>
      <c r="Y353" s="392">
        <v>1</v>
      </c>
      <c r="Z353" s="392">
        <v>2</v>
      </c>
      <c r="AA353" s="392">
        <v>0</v>
      </c>
      <c r="AB353" s="392">
        <v>6</v>
      </c>
      <c r="AC353" s="392">
        <v>8</v>
      </c>
      <c r="AD353" s="450">
        <v>3</v>
      </c>
      <c r="AE353" s="449">
        <v>0</v>
      </c>
      <c r="AF353" s="392">
        <v>2</v>
      </c>
      <c r="AG353" s="392">
        <v>0</v>
      </c>
      <c r="AH353" s="392">
        <v>1</v>
      </c>
      <c r="AI353" s="392">
        <v>1</v>
      </c>
      <c r="AJ353" s="392">
        <v>2</v>
      </c>
      <c r="AK353" s="392">
        <v>1</v>
      </c>
      <c r="AL353" s="392">
        <v>3</v>
      </c>
      <c r="AM353" s="392">
        <v>2</v>
      </c>
      <c r="AN353" s="392">
        <v>8</v>
      </c>
      <c r="AO353" s="392">
        <v>7</v>
      </c>
      <c r="AP353" s="392">
        <v>4</v>
      </c>
      <c r="AQ353" s="429"/>
      <c r="AR353" s="221">
        <f t="shared" si="108"/>
        <v>31</v>
      </c>
      <c r="AS353" s="221">
        <f t="shared" si="109"/>
        <v>31</v>
      </c>
    </row>
    <row r="354" spans="1:45" ht="15.75" customHeight="1">
      <c r="A354" s="332"/>
      <c r="B354" s="448" t="s">
        <v>2353</v>
      </c>
      <c r="C354" s="332" t="s">
        <v>2069</v>
      </c>
      <c r="D354" s="399">
        <v>1</v>
      </c>
      <c r="E354" s="332" t="s">
        <v>204</v>
      </c>
      <c r="F354" s="427" t="s">
        <v>2348</v>
      </c>
      <c r="G354" s="392">
        <v>0</v>
      </c>
      <c r="H354" s="392">
        <v>3</v>
      </c>
      <c r="I354" s="392">
        <v>2</v>
      </c>
      <c r="J354" s="392">
        <v>3</v>
      </c>
      <c r="K354" s="392">
        <v>2</v>
      </c>
      <c r="L354" s="392">
        <v>0</v>
      </c>
      <c r="M354" s="392">
        <v>1</v>
      </c>
      <c r="N354" s="392">
        <v>1</v>
      </c>
      <c r="O354" s="392">
        <v>2</v>
      </c>
      <c r="P354" s="392">
        <v>4</v>
      </c>
      <c r="Q354" s="392">
        <v>2</v>
      </c>
      <c r="R354" s="392">
        <v>1</v>
      </c>
      <c r="S354" s="449">
        <v>0</v>
      </c>
      <c r="T354" s="392">
        <v>0</v>
      </c>
      <c r="U354" s="392">
        <v>1</v>
      </c>
      <c r="V354" s="392">
        <v>3</v>
      </c>
      <c r="W354" s="392">
        <v>2</v>
      </c>
      <c r="X354" s="392">
        <v>3</v>
      </c>
      <c r="Y354" s="392">
        <v>0</v>
      </c>
      <c r="Z354" s="392">
        <v>2</v>
      </c>
      <c r="AA354" s="392">
        <v>3</v>
      </c>
      <c r="AB354" s="392">
        <v>2</v>
      </c>
      <c r="AC354" s="392">
        <v>3</v>
      </c>
      <c r="AD354" s="450">
        <v>2</v>
      </c>
      <c r="AE354" s="449">
        <v>1</v>
      </c>
      <c r="AF354" s="392">
        <v>2</v>
      </c>
      <c r="AG354" s="392">
        <v>1</v>
      </c>
      <c r="AH354" s="392">
        <v>4</v>
      </c>
      <c r="AI354" s="392">
        <v>2</v>
      </c>
      <c r="AJ354" s="392">
        <v>1</v>
      </c>
      <c r="AK354" s="392">
        <v>1</v>
      </c>
      <c r="AL354" s="392">
        <v>1</v>
      </c>
      <c r="AM354" s="392">
        <v>2</v>
      </c>
      <c r="AN354" s="392">
        <v>5</v>
      </c>
      <c r="AO354" s="392">
        <v>3</v>
      </c>
      <c r="AP354" s="392">
        <v>1</v>
      </c>
      <c r="AQ354" s="429"/>
      <c r="AR354" s="221">
        <f t="shared" si="108"/>
        <v>21</v>
      </c>
      <c r="AS354" s="221">
        <f t="shared" si="109"/>
        <v>24</v>
      </c>
    </row>
    <row r="355" spans="1:45" ht="15.75" customHeight="1">
      <c r="A355" s="332"/>
      <c r="B355" s="448" t="s">
        <v>2353</v>
      </c>
      <c r="C355" s="332" t="s">
        <v>2070</v>
      </c>
      <c r="D355" s="399">
        <v>1</v>
      </c>
      <c r="E355" s="332" t="s">
        <v>204</v>
      </c>
      <c r="F355" s="427" t="s">
        <v>2348</v>
      </c>
      <c r="G355" s="392">
        <v>2</v>
      </c>
      <c r="H355" s="392">
        <v>0</v>
      </c>
      <c r="I355" s="392">
        <v>5</v>
      </c>
      <c r="J355" s="392">
        <v>4</v>
      </c>
      <c r="K355" s="392">
        <v>3</v>
      </c>
      <c r="L355" s="392">
        <v>4</v>
      </c>
      <c r="M355" s="392">
        <v>1</v>
      </c>
      <c r="N355" s="392">
        <v>1</v>
      </c>
      <c r="O355" s="392">
        <v>5</v>
      </c>
      <c r="P355" s="392">
        <v>4</v>
      </c>
      <c r="Q355" s="392">
        <v>4</v>
      </c>
      <c r="R355" s="392">
        <v>5</v>
      </c>
      <c r="S355" s="449">
        <v>0</v>
      </c>
      <c r="T355" s="392">
        <v>2</v>
      </c>
      <c r="U355" s="392">
        <v>5</v>
      </c>
      <c r="V355" s="392">
        <v>4</v>
      </c>
      <c r="W355" s="392">
        <v>5</v>
      </c>
      <c r="X355" s="392">
        <v>4</v>
      </c>
      <c r="Y355" s="392">
        <v>3</v>
      </c>
      <c r="Z355" s="392">
        <v>3</v>
      </c>
      <c r="AA355" s="392">
        <v>4</v>
      </c>
      <c r="AB355" s="392">
        <v>4</v>
      </c>
      <c r="AC355" s="392">
        <v>5</v>
      </c>
      <c r="AD355" s="450">
        <v>4</v>
      </c>
      <c r="AE355" s="449">
        <v>1</v>
      </c>
      <c r="AF355" s="392">
        <v>3</v>
      </c>
      <c r="AG355" s="392">
        <v>4</v>
      </c>
      <c r="AH355" s="392">
        <v>4</v>
      </c>
      <c r="AI355" s="392">
        <v>5</v>
      </c>
      <c r="AJ355" s="392">
        <v>2</v>
      </c>
      <c r="AK355" s="392">
        <v>2</v>
      </c>
      <c r="AL355" s="392">
        <v>3</v>
      </c>
      <c r="AM355" s="392">
        <v>3</v>
      </c>
      <c r="AN355" s="392">
        <v>4</v>
      </c>
      <c r="AO355" s="392">
        <v>4</v>
      </c>
      <c r="AP355" s="392">
        <v>2</v>
      </c>
      <c r="AQ355" s="429"/>
      <c r="AR355" s="221">
        <f t="shared" si="108"/>
        <v>43</v>
      </c>
      <c r="AS355" s="221">
        <f t="shared" si="109"/>
        <v>37</v>
      </c>
    </row>
    <row r="356" spans="1:45" ht="15.75" customHeight="1">
      <c r="A356" s="332"/>
      <c r="B356" s="448" t="s">
        <v>2353</v>
      </c>
      <c r="C356" s="332" t="s">
        <v>2071</v>
      </c>
      <c r="D356" s="399">
        <v>2</v>
      </c>
      <c r="E356" s="332" t="s">
        <v>204</v>
      </c>
      <c r="F356" s="427" t="s">
        <v>2348</v>
      </c>
      <c r="G356" s="392">
        <v>0</v>
      </c>
      <c r="H356" s="392">
        <v>0</v>
      </c>
      <c r="I356" s="392">
        <v>0</v>
      </c>
      <c r="J356" s="392">
        <v>0</v>
      </c>
      <c r="K356" s="392">
        <v>0</v>
      </c>
      <c r="L356" s="392">
        <v>0</v>
      </c>
      <c r="M356" s="392">
        <v>0</v>
      </c>
      <c r="N356" s="392">
        <v>0</v>
      </c>
      <c r="O356" s="392">
        <v>0</v>
      </c>
      <c r="P356" s="392">
        <v>0</v>
      </c>
      <c r="Q356" s="392">
        <v>0</v>
      </c>
      <c r="R356" s="392">
        <v>0</v>
      </c>
      <c r="S356" s="449">
        <v>0</v>
      </c>
      <c r="T356" s="392">
        <v>0</v>
      </c>
      <c r="U356" s="392">
        <v>0</v>
      </c>
      <c r="V356" s="392">
        <v>0</v>
      </c>
      <c r="W356" s="392">
        <v>0</v>
      </c>
      <c r="X356" s="392">
        <v>0</v>
      </c>
      <c r="Y356" s="392">
        <v>0</v>
      </c>
      <c r="Z356" s="392">
        <v>0</v>
      </c>
      <c r="AA356" s="392">
        <v>0</v>
      </c>
      <c r="AB356" s="392">
        <v>0</v>
      </c>
      <c r="AC356" s="392">
        <v>0</v>
      </c>
      <c r="AD356" s="450">
        <v>0</v>
      </c>
      <c r="AE356" s="449">
        <v>0</v>
      </c>
      <c r="AF356" s="392">
        <v>0</v>
      </c>
      <c r="AG356" s="392">
        <v>1</v>
      </c>
      <c r="AH356" s="392">
        <v>2</v>
      </c>
      <c r="AI356" s="392">
        <v>2</v>
      </c>
      <c r="AJ356" s="392">
        <v>1</v>
      </c>
      <c r="AK356" s="392">
        <v>1</v>
      </c>
      <c r="AL356" s="392">
        <v>0</v>
      </c>
      <c r="AM356" s="392">
        <v>2</v>
      </c>
      <c r="AN356" s="392">
        <v>2</v>
      </c>
      <c r="AO356" s="392">
        <v>2</v>
      </c>
      <c r="AP356" s="392">
        <v>0</v>
      </c>
      <c r="AQ356" s="429"/>
      <c r="AR356" s="221">
        <f t="shared" si="108"/>
        <v>0</v>
      </c>
      <c r="AS356" s="221">
        <f t="shared" si="109"/>
        <v>13</v>
      </c>
    </row>
    <row r="357" spans="1:45" ht="15.75" customHeight="1">
      <c r="A357" s="332"/>
      <c r="B357" s="448" t="s">
        <v>2353</v>
      </c>
      <c r="C357" s="332" t="s">
        <v>2072</v>
      </c>
      <c r="D357" s="399">
        <v>1</v>
      </c>
      <c r="E357" s="332" t="s">
        <v>204</v>
      </c>
      <c r="F357" s="427" t="s">
        <v>2348</v>
      </c>
      <c r="G357" s="392">
        <v>1</v>
      </c>
      <c r="H357" s="392">
        <v>1</v>
      </c>
      <c r="I357" s="392">
        <v>0</v>
      </c>
      <c r="J357" s="392">
        <v>1</v>
      </c>
      <c r="K357" s="392">
        <v>3</v>
      </c>
      <c r="L357" s="392">
        <v>0</v>
      </c>
      <c r="M357" s="392">
        <v>0</v>
      </c>
      <c r="N357" s="392">
        <v>1</v>
      </c>
      <c r="O357" s="392">
        <v>2</v>
      </c>
      <c r="P357" s="392">
        <v>3</v>
      </c>
      <c r="Q357" s="392">
        <v>2</v>
      </c>
      <c r="R357" s="392">
        <v>1</v>
      </c>
      <c r="S357" s="449">
        <v>0</v>
      </c>
      <c r="T357" s="392">
        <v>1</v>
      </c>
      <c r="U357" s="392">
        <v>0</v>
      </c>
      <c r="V357" s="392">
        <v>1</v>
      </c>
      <c r="W357" s="392">
        <v>3</v>
      </c>
      <c r="X357" s="392">
        <v>2</v>
      </c>
      <c r="Y357" s="392">
        <v>0</v>
      </c>
      <c r="Z357" s="392">
        <v>0</v>
      </c>
      <c r="AA357" s="392">
        <v>0</v>
      </c>
      <c r="AB357" s="392">
        <v>1</v>
      </c>
      <c r="AC357" s="392">
        <v>1</v>
      </c>
      <c r="AD357" s="450">
        <v>2</v>
      </c>
      <c r="AE357" s="449">
        <v>0</v>
      </c>
      <c r="AF357" s="392">
        <v>0</v>
      </c>
      <c r="AG357" s="392">
        <v>0</v>
      </c>
      <c r="AH357" s="392">
        <v>1</v>
      </c>
      <c r="AI357" s="392">
        <v>4</v>
      </c>
      <c r="AJ357" s="392">
        <v>1</v>
      </c>
      <c r="AK357" s="392">
        <v>1</v>
      </c>
      <c r="AL357" s="392">
        <v>0</v>
      </c>
      <c r="AM357" s="392">
        <v>0</v>
      </c>
      <c r="AN357" s="392">
        <v>1</v>
      </c>
      <c r="AO357" s="392">
        <v>3</v>
      </c>
      <c r="AP357" s="392">
        <v>1</v>
      </c>
      <c r="AQ357" s="429"/>
      <c r="AR357" s="221">
        <f t="shared" si="108"/>
        <v>11</v>
      </c>
      <c r="AS357" s="221">
        <f t="shared" si="109"/>
        <v>12</v>
      </c>
    </row>
    <row r="358" spans="1:45" ht="15.75" customHeight="1">
      <c r="A358" s="332"/>
      <c r="B358" s="448" t="s">
        <v>2353</v>
      </c>
      <c r="C358" s="332" t="s">
        <v>2073</v>
      </c>
      <c r="D358" s="399">
        <v>1</v>
      </c>
      <c r="E358" s="332" t="s">
        <v>204</v>
      </c>
      <c r="F358" s="427" t="s">
        <v>2349</v>
      </c>
      <c r="G358" s="392">
        <v>1</v>
      </c>
      <c r="H358" s="392">
        <v>1</v>
      </c>
      <c r="I358" s="392">
        <v>3</v>
      </c>
      <c r="J358" s="392">
        <v>1</v>
      </c>
      <c r="K358" s="392">
        <v>1</v>
      </c>
      <c r="L358" s="392">
        <v>1</v>
      </c>
      <c r="M358" s="392">
        <v>1</v>
      </c>
      <c r="N358" s="392">
        <v>1</v>
      </c>
      <c r="O358" s="392">
        <v>1</v>
      </c>
      <c r="P358" s="392">
        <v>2</v>
      </c>
      <c r="Q358" s="392">
        <v>2</v>
      </c>
      <c r="R358" s="392">
        <v>3</v>
      </c>
      <c r="S358" s="449">
        <v>0</v>
      </c>
      <c r="T358" s="392">
        <v>1</v>
      </c>
      <c r="U358" s="392">
        <v>1</v>
      </c>
      <c r="V358" s="392">
        <v>2</v>
      </c>
      <c r="W358" s="392">
        <v>3</v>
      </c>
      <c r="X358" s="392">
        <v>0</v>
      </c>
      <c r="Y358" s="392">
        <v>1</v>
      </c>
      <c r="Z358" s="392">
        <v>1</v>
      </c>
      <c r="AA358" s="392">
        <v>0</v>
      </c>
      <c r="AB358" s="392">
        <v>2</v>
      </c>
      <c r="AC358" s="392">
        <v>2</v>
      </c>
      <c r="AD358" s="450">
        <v>1</v>
      </c>
      <c r="AE358" s="449">
        <v>1</v>
      </c>
      <c r="AF358" s="392">
        <v>1</v>
      </c>
      <c r="AG358" s="392">
        <v>0</v>
      </c>
      <c r="AH358" s="392">
        <v>0</v>
      </c>
      <c r="AI358" s="392">
        <v>3</v>
      </c>
      <c r="AJ358" s="392">
        <v>2</v>
      </c>
      <c r="AK358" s="392">
        <v>1</v>
      </c>
      <c r="AL358" s="392">
        <v>2</v>
      </c>
      <c r="AM358" s="392">
        <v>0</v>
      </c>
      <c r="AN358" s="392">
        <v>3</v>
      </c>
      <c r="AO358" s="392">
        <v>4</v>
      </c>
      <c r="AP358" s="392">
        <v>3</v>
      </c>
      <c r="AQ358" s="429"/>
      <c r="AR358" s="221">
        <f t="shared" si="108"/>
        <v>14</v>
      </c>
      <c r="AS358" s="221">
        <f t="shared" si="109"/>
        <v>20</v>
      </c>
    </row>
    <row r="359" spans="1:45" ht="15.75" customHeight="1">
      <c r="A359" s="332"/>
      <c r="B359" s="448" t="s">
        <v>2353</v>
      </c>
      <c r="C359" s="332" t="s">
        <v>2074</v>
      </c>
      <c r="D359" s="399">
        <v>1</v>
      </c>
      <c r="E359" s="332" t="s">
        <v>204</v>
      </c>
      <c r="F359" s="427" t="s">
        <v>2349</v>
      </c>
      <c r="G359" s="392">
        <v>0</v>
      </c>
      <c r="H359" s="392">
        <v>0</v>
      </c>
      <c r="I359" s="392">
        <v>5</v>
      </c>
      <c r="J359" s="392">
        <v>2</v>
      </c>
      <c r="K359" s="392">
        <v>3</v>
      </c>
      <c r="L359" s="392">
        <v>1</v>
      </c>
      <c r="M359" s="392">
        <v>0</v>
      </c>
      <c r="N359" s="392">
        <v>1</v>
      </c>
      <c r="O359" s="392">
        <v>2</v>
      </c>
      <c r="P359" s="392">
        <v>4</v>
      </c>
      <c r="Q359" s="392">
        <v>2</v>
      </c>
      <c r="R359" s="392">
        <v>1</v>
      </c>
      <c r="S359" s="449">
        <v>1</v>
      </c>
      <c r="T359" s="392">
        <v>2</v>
      </c>
      <c r="U359" s="392">
        <v>1</v>
      </c>
      <c r="V359" s="392">
        <v>1</v>
      </c>
      <c r="W359" s="392">
        <v>1</v>
      </c>
      <c r="X359" s="392">
        <v>1</v>
      </c>
      <c r="Y359" s="392">
        <v>3</v>
      </c>
      <c r="Z359" s="392">
        <v>1</v>
      </c>
      <c r="AA359" s="392">
        <v>1</v>
      </c>
      <c r="AB359" s="392">
        <v>1</v>
      </c>
      <c r="AC359" s="392">
        <v>2</v>
      </c>
      <c r="AD359" s="450">
        <v>0</v>
      </c>
      <c r="AE359" s="449">
        <v>0</v>
      </c>
      <c r="AF359" s="392">
        <v>1</v>
      </c>
      <c r="AG359" s="392">
        <v>1</v>
      </c>
      <c r="AH359" s="392">
        <v>2</v>
      </c>
      <c r="AI359" s="392">
        <v>2</v>
      </c>
      <c r="AJ359" s="392">
        <v>0</v>
      </c>
      <c r="AK359" s="392">
        <v>2</v>
      </c>
      <c r="AL359" s="392">
        <v>1</v>
      </c>
      <c r="AM359" s="392">
        <v>4</v>
      </c>
      <c r="AN359" s="392">
        <v>2</v>
      </c>
      <c r="AO359" s="392">
        <v>2</v>
      </c>
      <c r="AP359" s="392">
        <v>1</v>
      </c>
      <c r="AQ359" s="429"/>
      <c r="AR359" s="221">
        <f t="shared" si="108"/>
        <v>15</v>
      </c>
      <c r="AS359" s="221">
        <f t="shared" si="109"/>
        <v>18</v>
      </c>
    </row>
    <row r="360" spans="1:45" ht="15.75" customHeight="1">
      <c r="A360" s="332"/>
      <c r="B360" s="448" t="s">
        <v>2353</v>
      </c>
      <c r="C360" s="332" t="s">
        <v>2075</v>
      </c>
      <c r="D360" s="399">
        <v>1</v>
      </c>
      <c r="E360" s="332" t="s">
        <v>204</v>
      </c>
      <c r="F360" s="427" t="s">
        <v>2349</v>
      </c>
      <c r="G360" s="392">
        <v>0</v>
      </c>
      <c r="H360" s="392">
        <v>0</v>
      </c>
      <c r="I360" s="392">
        <v>0</v>
      </c>
      <c r="J360" s="392">
        <v>1</v>
      </c>
      <c r="K360" s="392">
        <v>1</v>
      </c>
      <c r="L360" s="392">
        <v>4</v>
      </c>
      <c r="M360" s="392">
        <v>2</v>
      </c>
      <c r="N360" s="392">
        <v>1</v>
      </c>
      <c r="O360" s="392">
        <v>4</v>
      </c>
      <c r="P360" s="392">
        <v>4</v>
      </c>
      <c r="Q360" s="392">
        <v>3</v>
      </c>
      <c r="R360" s="392">
        <v>4</v>
      </c>
      <c r="S360" s="449">
        <v>2</v>
      </c>
      <c r="T360" s="392">
        <v>1</v>
      </c>
      <c r="U360" s="392">
        <v>3</v>
      </c>
      <c r="V360" s="392">
        <v>3</v>
      </c>
      <c r="W360" s="392">
        <v>4</v>
      </c>
      <c r="X360" s="392">
        <v>4</v>
      </c>
      <c r="Y360" s="392">
        <v>3</v>
      </c>
      <c r="Z360" s="392">
        <v>5</v>
      </c>
      <c r="AA360" s="392">
        <v>4</v>
      </c>
      <c r="AB360" s="392">
        <v>4</v>
      </c>
      <c r="AC360" s="392">
        <v>4</v>
      </c>
      <c r="AD360" s="450">
        <v>2</v>
      </c>
      <c r="AE360" s="449">
        <v>1</v>
      </c>
      <c r="AF360" s="392">
        <v>3</v>
      </c>
      <c r="AG360" s="392">
        <v>4</v>
      </c>
      <c r="AH360" s="392">
        <v>3</v>
      </c>
      <c r="AI360" s="392">
        <v>4</v>
      </c>
      <c r="AJ360" s="392">
        <v>4</v>
      </c>
      <c r="AK360" s="392">
        <v>3</v>
      </c>
      <c r="AL360" s="392">
        <v>4</v>
      </c>
      <c r="AM360" s="392">
        <v>2</v>
      </c>
      <c r="AN360" s="392">
        <v>5</v>
      </c>
      <c r="AO360" s="392">
        <v>3</v>
      </c>
      <c r="AP360" s="392">
        <v>2</v>
      </c>
      <c r="AQ360" s="429"/>
      <c r="AR360" s="221">
        <f t="shared" si="108"/>
        <v>39</v>
      </c>
      <c r="AS360" s="221">
        <f t="shared" si="109"/>
        <v>38</v>
      </c>
    </row>
    <row r="361" spans="1:45" ht="15.75" customHeight="1">
      <c r="A361" s="332"/>
      <c r="B361" s="448" t="s">
        <v>2353</v>
      </c>
      <c r="C361" s="332" t="s">
        <v>2076</v>
      </c>
      <c r="D361" s="399">
        <v>1</v>
      </c>
      <c r="E361" s="332" t="s">
        <v>204</v>
      </c>
      <c r="F361" s="427" t="s">
        <v>2349</v>
      </c>
      <c r="G361" s="392">
        <v>0</v>
      </c>
      <c r="H361" s="392">
        <v>0</v>
      </c>
      <c r="I361" s="392">
        <v>0</v>
      </c>
      <c r="J361" s="392">
        <v>0</v>
      </c>
      <c r="K361" s="392">
        <v>0</v>
      </c>
      <c r="L361" s="392">
        <v>0</v>
      </c>
      <c r="M361" s="392">
        <v>0</v>
      </c>
      <c r="N361" s="392">
        <v>0</v>
      </c>
      <c r="O361" s="392">
        <v>0</v>
      </c>
      <c r="P361" s="392">
        <v>0</v>
      </c>
      <c r="Q361" s="392">
        <v>0</v>
      </c>
      <c r="R361" s="392">
        <v>1</v>
      </c>
      <c r="S361" s="449">
        <v>0</v>
      </c>
      <c r="T361" s="392">
        <v>1</v>
      </c>
      <c r="U361" s="392">
        <v>4</v>
      </c>
      <c r="V361" s="392">
        <v>0</v>
      </c>
      <c r="W361" s="392">
        <v>0</v>
      </c>
      <c r="X361" s="392">
        <v>1</v>
      </c>
      <c r="Y361" s="392">
        <v>1</v>
      </c>
      <c r="Z361" s="392">
        <v>1</v>
      </c>
      <c r="AA361" s="392">
        <v>1</v>
      </c>
      <c r="AB361" s="392">
        <v>3</v>
      </c>
      <c r="AC361" s="392">
        <v>4</v>
      </c>
      <c r="AD361" s="450">
        <v>0</v>
      </c>
      <c r="AE361" s="449">
        <v>0</v>
      </c>
      <c r="AF361" s="392">
        <v>2</v>
      </c>
      <c r="AG361" s="392">
        <v>1</v>
      </c>
      <c r="AH361" s="392">
        <v>3</v>
      </c>
      <c r="AI361" s="392">
        <v>1</v>
      </c>
      <c r="AJ361" s="392">
        <v>1</v>
      </c>
      <c r="AK361" s="392">
        <v>2</v>
      </c>
      <c r="AL361" s="392">
        <v>2</v>
      </c>
      <c r="AM361" s="392">
        <v>0</v>
      </c>
      <c r="AN361" s="392">
        <v>3</v>
      </c>
      <c r="AO361" s="392">
        <v>2</v>
      </c>
      <c r="AP361" s="392">
        <v>0</v>
      </c>
      <c r="AQ361" s="429"/>
      <c r="AR361" s="221">
        <f t="shared" si="108"/>
        <v>16</v>
      </c>
      <c r="AS361" s="221">
        <f t="shared" si="109"/>
        <v>17</v>
      </c>
    </row>
    <row r="362" spans="1:45" ht="15.75" customHeight="1">
      <c r="A362" s="332"/>
      <c r="B362" s="448" t="s">
        <v>2353</v>
      </c>
      <c r="C362" s="332" t="s">
        <v>2077</v>
      </c>
      <c r="D362" s="399">
        <v>1</v>
      </c>
      <c r="E362" s="332" t="s">
        <v>204</v>
      </c>
      <c r="F362" s="427" t="s">
        <v>2349</v>
      </c>
      <c r="G362" s="392">
        <v>0</v>
      </c>
      <c r="H362" s="392">
        <v>2</v>
      </c>
      <c r="I362" s="392">
        <v>2</v>
      </c>
      <c r="J362" s="392">
        <v>1</v>
      </c>
      <c r="K362" s="392">
        <v>1</v>
      </c>
      <c r="L362" s="392">
        <v>2</v>
      </c>
      <c r="M362" s="392">
        <v>1</v>
      </c>
      <c r="N362" s="392">
        <v>1</v>
      </c>
      <c r="O362" s="392">
        <v>2</v>
      </c>
      <c r="P362" s="392">
        <v>4</v>
      </c>
      <c r="Q362" s="392">
        <v>1</v>
      </c>
      <c r="R362" s="392">
        <v>0</v>
      </c>
      <c r="S362" s="449">
        <v>0</v>
      </c>
      <c r="T362" s="392">
        <v>1</v>
      </c>
      <c r="U362" s="392">
        <v>1</v>
      </c>
      <c r="V362" s="392">
        <v>1</v>
      </c>
      <c r="W362" s="392">
        <v>3</v>
      </c>
      <c r="X362" s="392">
        <v>2</v>
      </c>
      <c r="Y362" s="392">
        <v>1</v>
      </c>
      <c r="Z362" s="392">
        <v>2</v>
      </c>
      <c r="AA362" s="392">
        <v>1</v>
      </c>
      <c r="AB362" s="392">
        <v>3</v>
      </c>
      <c r="AC362" s="392">
        <v>2</v>
      </c>
      <c r="AD362" s="450">
        <v>2</v>
      </c>
      <c r="AE362" s="449">
        <v>2</v>
      </c>
      <c r="AF362" s="392">
        <v>2</v>
      </c>
      <c r="AG362" s="392">
        <v>4</v>
      </c>
      <c r="AH362" s="392">
        <v>2</v>
      </c>
      <c r="AI362" s="392">
        <v>4</v>
      </c>
      <c r="AJ362" s="392">
        <v>0</v>
      </c>
      <c r="AK362" s="392">
        <v>0</v>
      </c>
      <c r="AL362" s="392">
        <v>3</v>
      </c>
      <c r="AM362" s="392">
        <v>0</v>
      </c>
      <c r="AN362" s="392">
        <v>3</v>
      </c>
      <c r="AO362" s="392">
        <v>1</v>
      </c>
      <c r="AP362" s="392">
        <v>0</v>
      </c>
      <c r="AQ362" s="429"/>
      <c r="AR362" s="221">
        <f t="shared" si="108"/>
        <v>19</v>
      </c>
      <c r="AS362" s="221">
        <f t="shared" si="109"/>
        <v>21</v>
      </c>
    </row>
    <row r="363" spans="1:45" ht="15.75" customHeight="1">
      <c r="A363" s="332"/>
      <c r="B363" s="448" t="s">
        <v>2353</v>
      </c>
      <c r="C363" s="332" t="s">
        <v>2078</v>
      </c>
      <c r="D363" s="399">
        <v>2</v>
      </c>
      <c r="E363" s="332" t="s">
        <v>2058</v>
      </c>
      <c r="F363" s="427" t="s">
        <v>2058</v>
      </c>
      <c r="G363" s="392">
        <v>1</v>
      </c>
      <c r="H363" s="392">
        <v>3</v>
      </c>
      <c r="I363" s="392">
        <v>1</v>
      </c>
      <c r="J363" s="392">
        <v>2</v>
      </c>
      <c r="K363" s="392">
        <v>4</v>
      </c>
      <c r="L363" s="392">
        <v>5</v>
      </c>
      <c r="M363" s="392">
        <v>1</v>
      </c>
      <c r="N363" s="392">
        <v>0</v>
      </c>
      <c r="O363" s="392">
        <v>5</v>
      </c>
      <c r="P363" s="392">
        <v>8</v>
      </c>
      <c r="Q363" s="392">
        <v>6</v>
      </c>
      <c r="R363" s="392">
        <v>2</v>
      </c>
      <c r="S363" s="449">
        <v>1</v>
      </c>
      <c r="T363" s="392">
        <v>0</v>
      </c>
      <c r="U363" s="392">
        <v>6</v>
      </c>
      <c r="V363" s="392">
        <v>3</v>
      </c>
      <c r="W363" s="392">
        <v>4</v>
      </c>
      <c r="X363" s="392">
        <v>2</v>
      </c>
      <c r="Y363" s="392">
        <v>0</v>
      </c>
      <c r="Z363" s="392">
        <v>4</v>
      </c>
      <c r="AA363" s="392">
        <v>3</v>
      </c>
      <c r="AB363" s="392">
        <v>5</v>
      </c>
      <c r="AC363" s="392">
        <v>9</v>
      </c>
      <c r="AD363" s="450">
        <v>3</v>
      </c>
      <c r="AE363" s="449">
        <v>1</v>
      </c>
      <c r="AF363" s="392">
        <v>0</v>
      </c>
      <c r="AG363" s="392">
        <v>4</v>
      </c>
      <c r="AH363" s="392">
        <v>4</v>
      </c>
      <c r="AI363" s="392">
        <v>4</v>
      </c>
      <c r="AJ363" s="392">
        <v>2</v>
      </c>
      <c r="AK363" s="392">
        <v>2</v>
      </c>
      <c r="AL363" s="392">
        <v>1</v>
      </c>
      <c r="AM363" s="392">
        <v>4</v>
      </c>
      <c r="AN363" s="392">
        <v>6</v>
      </c>
      <c r="AO363" s="392">
        <v>6</v>
      </c>
      <c r="AP363" s="392">
        <v>2</v>
      </c>
      <c r="AQ363" s="429"/>
      <c r="AR363" s="221">
        <f t="shared" si="108"/>
        <v>40</v>
      </c>
      <c r="AS363" s="221">
        <f t="shared" si="109"/>
        <v>36</v>
      </c>
    </row>
    <row r="364" spans="1:45" ht="15.75" customHeight="1">
      <c r="A364" s="332"/>
      <c r="B364" s="448" t="s">
        <v>2353</v>
      </c>
      <c r="C364" s="332" t="s">
        <v>2169</v>
      </c>
      <c r="D364" s="399">
        <v>1</v>
      </c>
      <c r="E364" s="332" t="s">
        <v>2058</v>
      </c>
      <c r="F364" s="427" t="s">
        <v>2058</v>
      </c>
      <c r="G364" s="392">
        <v>1</v>
      </c>
      <c r="H364" s="392">
        <v>0</v>
      </c>
      <c r="I364" s="392">
        <v>5</v>
      </c>
      <c r="J364" s="392">
        <v>4</v>
      </c>
      <c r="K364" s="392">
        <v>1</v>
      </c>
      <c r="L364" s="392">
        <v>2</v>
      </c>
      <c r="M364" s="392">
        <v>2</v>
      </c>
      <c r="N364" s="392">
        <v>1</v>
      </c>
      <c r="O364" s="392">
        <v>3</v>
      </c>
      <c r="P364" s="392">
        <v>4</v>
      </c>
      <c r="Q364" s="392">
        <v>3</v>
      </c>
      <c r="R364" s="392">
        <v>2</v>
      </c>
      <c r="S364" s="449">
        <v>3</v>
      </c>
      <c r="T364" s="392">
        <v>0</v>
      </c>
      <c r="U364" s="392">
        <v>3</v>
      </c>
      <c r="V364" s="392">
        <v>4</v>
      </c>
      <c r="W364" s="392">
        <v>2</v>
      </c>
      <c r="X364" s="392">
        <v>1</v>
      </c>
      <c r="Y364" s="392">
        <v>3</v>
      </c>
      <c r="Z364" s="392">
        <v>2</v>
      </c>
      <c r="AA364" s="392">
        <v>4</v>
      </c>
      <c r="AB364" s="392">
        <v>4</v>
      </c>
      <c r="AC364" s="392">
        <v>4</v>
      </c>
      <c r="AD364" s="450">
        <v>4</v>
      </c>
      <c r="AE364" s="449">
        <v>2</v>
      </c>
      <c r="AF364" s="392">
        <v>2</v>
      </c>
      <c r="AG364" s="392">
        <v>3</v>
      </c>
      <c r="AH364" s="392">
        <v>4</v>
      </c>
      <c r="AI364" s="392">
        <v>4</v>
      </c>
      <c r="AJ364" s="392">
        <v>1</v>
      </c>
      <c r="AK364" s="392">
        <v>0</v>
      </c>
      <c r="AL364" s="392">
        <v>3</v>
      </c>
      <c r="AM364" s="392">
        <v>2</v>
      </c>
      <c r="AN364" s="392">
        <v>4</v>
      </c>
      <c r="AO364" s="392">
        <v>3</v>
      </c>
      <c r="AP364" s="392">
        <v>1</v>
      </c>
      <c r="AQ364" s="429"/>
      <c r="AR364" s="221">
        <f t="shared" si="108"/>
        <v>34</v>
      </c>
      <c r="AS364" s="221">
        <f t="shared" si="109"/>
        <v>29</v>
      </c>
    </row>
    <row r="365" spans="1:45" ht="15.75" customHeight="1">
      <c r="A365" s="332"/>
      <c r="B365" s="448" t="s">
        <v>2353</v>
      </c>
      <c r="C365" s="332" t="s">
        <v>2080</v>
      </c>
      <c r="D365" s="399">
        <v>2</v>
      </c>
      <c r="E365" s="332" t="s">
        <v>2058</v>
      </c>
      <c r="F365" s="427" t="s">
        <v>2058</v>
      </c>
      <c r="G365" s="392">
        <v>0</v>
      </c>
      <c r="H365" s="392">
        <v>0</v>
      </c>
      <c r="I365" s="392">
        <v>0</v>
      </c>
      <c r="J365" s="392">
        <v>0</v>
      </c>
      <c r="K365" s="392">
        <v>0</v>
      </c>
      <c r="L365" s="392">
        <v>0</v>
      </c>
      <c r="M365" s="392">
        <v>0</v>
      </c>
      <c r="N365" s="392">
        <v>0</v>
      </c>
      <c r="O365" s="392">
        <v>0</v>
      </c>
      <c r="P365" s="392">
        <v>0</v>
      </c>
      <c r="Q365" s="392">
        <v>0</v>
      </c>
      <c r="R365" s="392">
        <v>0</v>
      </c>
      <c r="S365" s="449">
        <v>0</v>
      </c>
      <c r="T365" s="392">
        <v>0</v>
      </c>
      <c r="U365" s="392">
        <v>0</v>
      </c>
      <c r="V365" s="392">
        <v>0</v>
      </c>
      <c r="W365" s="392">
        <v>0</v>
      </c>
      <c r="X365" s="392">
        <v>0</v>
      </c>
      <c r="Y365" s="392">
        <v>0</v>
      </c>
      <c r="Z365" s="392">
        <v>0</v>
      </c>
      <c r="AA365" s="392">
        <v>0</v>
      </c>
      <c r="AB365" s="392">
        <v>0</v>
      </c>
      <c r="AC365" s="392">
        <v>0</v>
      </c>
      <c r="AD365" s="450">
        <v>0</v>
      </c>
      <c r="AE365" s="449">
        <v>0</v>
      </c>
      <c r="AF365" s="392">
        <v>0</v>
      </c>
      <c r="AG365" s="392">
        <v>0</v>
      </c>
      <c r="AH365" s="392">
        <v>0</v>
      </c>
      <c r="AI365" s="392">
        <v>0</v>
      </c>
      <c r="AJ365" s="392">
        <v>0</v>
      </c>
      <c r="AK365" s="392">
        <v>0</v>
      </c>
      <c r="AL365" s="392">
        <v>0</v>
      </c>
      <c r="AM365" s="392">
        <v>0</v>
      </c>
      <c r="AN365" s="392">
        <v>0</v>
      </c>
      <c r="AO365" s="392">
        <v>0</v>
      </c>
      <c r="AP365" s="392">
        <v>0</v>
      </c>
      <c r="AQ365" s="429"/>
      <c r="AR365" s="221">
        <f t="shared" si="108"/>
        <v>0</v>
      </c>
      <c r="AS365" s="221">
        <f t="shared" si="109"/>
        <v>0</v>
      </c>
    </row>
    <row r="366" spans="1:45" ht="15.75" customHeight="1">
      <c r="A366" s="332"/>
      <c r="B366" s="448" t="s">
        <v>2353</v>
      </c>
      <c r="C366" s="332" t="s">
        <v>2081</v>
      </c>
      <c r="D366" s="399">
        <v>1</v>
      </c>
      <c r="E366" s="332" t="s">
        <v>2058</v>
      </c>
      <c r="F366" s="427" t="s">
        <v>2058</v>
      </c>
      <c r="G366" s="392">
        <v>0</v>
      </c>
      <c r="H366" s="392">
        <v>1</v>
      </c>
      <c r="I366" s="392">
        <v>1</v>
      </c>
      <c r="J366" s="392">
        <v>2</v>
      </c>
      <c r="K366" s="392">
        <v>1</v>
      </c>
      <c r="L366" s="392">
        <v>3</v>
      </c>
      <c r="M366" s="392">
        <v>0</v>
      </c>
      <c r="N366" s="392">
        <v>1</v>
      </c>
      <c r="O366" s="392">
        <v>1</v>
      </c>
      <c r="P366" s="392">
        <v>3</v>
      </c>
      <c r="Q366" s="392">
        <v>2</v>
      </c>
      <c r="R366" s="392">
        <v>2</v>
      </c>
      <c r="S366" s="449">
        <v>2</v>
      </c>
      <c r="T366" s="392">
        <v>1</v>
      </c>
      <c r="U366" s="392">
        <v>1</v>
      </c>
      <c r="V366" s="392">
        <v>2</v>
      </c>
      <c r="W366" s="392">
        <v>2</v>
      </c>
      <c r="X366" s="392">
        <v>0</v>
      </c>
      <c r="Y366" s="392">
        <v>0</v>
      </c>
      <c r="Z366" s="392">
        <v>0</v>
      </c>
      <c r="AA366" s="392">
        <v>0</v>
      </c>
      <c r="AB366" s="392">
        <v>3</v>
      </c>
      <c r="AC366" s="392">
        <v>5</v>
      </c>
      <c r="AD366" s="450">
        <v>1</v>
      </c>
      <c r="AE366" s="449">
        <v>0</v>
      </c>
      <c r="AF366" s="392">
        <v>2</v>
      </c>
      <c r="AG366" s="392">
        <v>2</v>
      </c>
      <c r="AH366" s="392">
        <v>1</v>
      </c>
      <c r="AI366" s="392">
        <v>2</v>
      </c>
      <c r="AJ366" s="392">
        <v>1</v>
      </c>
      <c r="AK366" s="392">
        <v>0</v>
      </c>
      <c r="AL366" s="392">
        <v>0</v>
      </c>
      <c r="AM366" s="392">
        <v>0</v>
      </c>
      <c r="AN366" s="392">
        <v>3</v>
      </c>
      <c r="AO366" s="392">
        <v>1</v>
      </c>
      <c r="AP366" s="392">
        <v>0</v>
      </c>
      <c r="AQ366" s="429"/>
      <c r="AR366" s="221">
        <f t="shared" si="108"/>
        <v>17</v>
      </c>
      <c r="AS366" s="221">
        <f t="shared" si="109"/>
        <v>12</v>
      </c>
    </row>
    <row r="367" spans="1:45" ht="15.75" customHeight="1">
      <c r="A367" s="332"/>
      <c r="B367" s="448" t="s">
        <v>2353</v>
      </c>
      <c r="C367" s="332" t="s">
        <v>2082</v>
      </c>
      <c r="D367" s="399">
        <v>1</v>
      </c>
      <c r="E367" s="332" t="s">
        <v>2058</v>
      </c>
      <c r="F367" s="427" t="s">
        <v>2058</v>
      </c>
      <c r="G367" s="392">
        <v>2</v>
      </c>
      <c r="H367" s="392">
        <v>1</v>
      </c>
      <c r="I367" s="392">
        <v>4</v>
      </c>
      <c r="J367" s="392">
        <v>2</v>
      </c>
      <c r="K367" s="392">
        <v>3</v>
      </c>
      <c r="L367" s="392">
        <v>3</v>
      </c>
      <c r="M367" s="392">
        <v>3</v>
      </c>
      <c r="N367" s="392">
        <v>3</v>
      </c>
      <c r="O367" s="392">
        <v>4</v>
      </c>
      <c r="P367" s="392">
        <v>4</v>
      </c>
      <c r="Q367" s="392">
        <v>3</v>
      </c>
      <c r="R367" s="392">
        <v>5</v>
      </c>
      <c r="S367" s="449">
        <v>0</v>
      </c>
      <c r="T367" s="392">
        <v>0</v>
      </c>
      <c r="U367" s="392">
        <v>2</v>
      </c>
      <c r="V367" s="392">
        <v>4</v>
      </c>
      <c r="W367" s="392">
        <v>5</v>
      </c>
      <c r="X367" s="392">
        <v>4</v>
      </c>
      <c r="Y367" s="392">
        <v>1</v>
      </c>
      <c r="Z367" s="392">
        <v>1</v>
      </c>
      <c r="AA367" s="392">
        <v>4</v>
      </c>
      <c r="AB367" s="392">
        <v>4</v>
      </c>
      <c r="AC367" s="392">
        <v>4</v>
      </c>
      <c r="AD367" s="450">
        <v>3</v>
      </c>
      <c r="AE367" s="449">
        <v>1</v>
      </c>
      <c r="AF367" s="392">
        <v>2</v>
      </c>
      <c r="AG367" s="392">
        <v>4</v>
      </c>
      <c r="AH367" s="392">
        <v>3</v>
      </c>
      <c r="AI367" s="392">
        <v>4</v>
      </c>
      <c r="AJ367" s="392">
        <v>1</v>
      </c>
      <c r="AK367" s="392">
        <v>1</v>
      </c>
      <c r="AL367" s="392">
        <v>0</v>
      </c>
      <c r="AM367" s="392">
        <v>2</v>
      </c>
      <c r="AN367" s="392">
        <v>5</v>
      </c>
      <c r="AO367" s="392">
        <v>4</v>
      </c>
      <c r="AP367" s="392">
        <v>2</v>
      </c>
      <c r="AQ367" s="429"/>
      <c r="AR367" s="221">
        <f t="shared" si="108"/>
        <v>32</v>
      </c>
      <c r="AS367" s="221">
        <f t="shared" si="109"/>
        <v>29</v>
      </c>
    </row>
    <row r="368" spans="1:45" ht="15.75" customHeight="1">
      <c r="A368" s="332"/>
      <c r="B368" s="448" t="s">
        <v>2353</v>
      </c>
      <c r="C368" s="332" t="s">
        <v>2083</v>
      </c>
      <c r="D368" s="399">
        <v>2</v>
      </c>
      <c r="E368" s="332" t="s">
        <v>2058</v>
      </c>
      <c r="F368" s="427" t="s">
        <v>2058</v>
      </c>
      <c r="G368" s="392">
        <v>1</v>
      </c>
      <c r="H368" s="392">
        <v>1</v>
      </c>
      <c r="I368" s="392">
        <v>3</v>
      </c>
      <c r="J368" s="392">
        <v>1</v>
      </c>
      <c r="K368" s="392">
        <v>0</v>
      </c>
      <c r="L368" s="392">
        <v>2</v>
      </c>
      <c r="M368" s="392">
        <v>0</v>
      </c>
      <c r="N368" s="392">
        <v>4</v>
      </c>
      <c r="O368" s="392">
        <v>1</v>
      </c>
      <c r="P368" s="392">
        <v>8</v>
      </c>
      <c r="Q368" s="392">
        <v>6</v>
      </c>
      <c r="R368" s="392">
        <v>2</v>
      </c>
      <c r="S368" s="449">
        <v>1</v>
      </c>
      <c r="T368" s="392">
        <v>2</v>
      </c>
      <c r="U368" s="392">
        <v>5</v>
      </c>
      <c r="V368" s="392">
        <v>2</v>
      </c>
      <c r="W368" s="392">
        <v>0</v>
      </c>
      <c r="X368" s="392">
        <v>0</v>
      </c>
      <c r="Y368" s="392">
        <v>2</v>
      </c>
      <c r="Z368" s="392">
        <v>2</v>
      </c>
      <c r="AA368" s="392">
        <v>2</v>
      </c>
      <c r="AB368" s="392">
        <v>2</v>
      </c>
      <c r="AC368" s="392">
        <v>7</v>
      </c>
      <c r="AD368" s="450">
        <v>2</v>
      </c>
      <c r="AE368" s="449">
        <v>0</v>
      </c>
      <c r="AF368" s="392">
        <v>1</v>
      </c>
      <c r="AG368" s="392">
        <v>2</v>
      </c>
      <c r="AH368" s="392">
        <v>2</v>
      </c>
      <c r="AI368" s="392">
        <v>0</v>
      </c>
      <c r="AJ368" s="392">
        <v>2</v>
      </c>
      <c r="AK368" s="392">
        <v>0</v>
      </c>
      <c r="AL368" s="392">
        <v>2</v>
      </c>
      <c r="AM368" s="392">
        <v>0</v>
      </c>
      <c r="AN368" s="392">
        <v>5</v>
      </c>
      <c r="AO368" s="392">
        <v>2</v>
      </c>
      <c r="AP368" s="392">
        <v>3</v>
      </c>
      <c r="AQ368" s="429"/>
      <c r="AR368" s="221">
        <f t="shared" si="108"/>
        <v>27</v>
      </c>
      <c r="AS368" s="221">
        <f t="shared" si="109"/>
        <v>19</v>
      </c>
    </row>
    <row r="369" spans="1:45" ht="15.75" customHeight="1">
      <c r="A369" s="332"/>
      <c r="B369" s="448" t="s">
        <v>2353</v>
      </c>
      <c r="C369" s="332" t="s">
        <v>2084</v>
      </c>
      <c r="D369" s="399">
        <v>1</v>
      </c>
      <c r="E369" s="332" t="s">
        <v>2058</v>
      </c>
      <c r="F369" s="427" t="s">
        <v>2058</v>
      </c>
      <c r="G369" s="392">
        <v>0</v>
      </c>
      <c r="H369" s="392">
        <v>0</v>
      </c>
      <c r="I369" s="392">
        <v>0</v>
      </c>
      <c r="J369" s="392">
        <v>0</v>
      </c>
      <c r="K369" s="392">
        <v>0</v>
      </c>
      <c r="L369" s="392">
        <v>0</v>
      </c>
      <c r="M369" s="392">
        <v>0</v>
      </c>
      <c r="N369" s="392">
        <v>0</v>
      </c>
      <c r="O369" s="392">
        <v>0</v>
      </c>
      <c r="P369" s="392">
        <v>0</v>
      </c>
      <c r="Q369" s="392">
        <v>0</v>
      </c>
      <c r="R369" s="392">
        <v>0</v>
      </c>
      <c r="S369" s="449">
        <v>0</v>
      </c>
      <c r="T369" s="392">
        <v>0</v>
      </c>
      <c r="U369" s="392">
        <v>0</v>
      </c>
      <c r="V369" s="392">
        <v>2</v>
      </c>
      <c r="W369" s="392">
        <v>0</v>
      </c>
      <c r="X369" s="392">
        <v>0</v>
      </c>
      <c r="Y369" s="392">
        <v>0</v>
      </c>
      <c r="Z369" s="392">
        <v>0</v>
      </c>
      <c r="AA369" s="392">
        <v>1</v>
      </c>
      <c r="AB369" s="392">
        <v>0</v>
      </c>
      <c r="AC369" s="392">
        <v>1</v>
      </c>
      <c r="AD369" s="450">
        <v>0</v>
      </c>
      <c r="AE369" s="449">
        <v>2</v>
      </c>
      <c r="AF369" s="392">
        <v>1</v>
      </c>
      <c r="AG369" s="392">
        <v>2</v>
      </c>
      <c r="AH369" s="392">
        <v>1</v>
      </c>
      <c r="AI369" s="392">
        <v>1</v>
      </c>
      <c r="AJ369" s="392">
        <v>0</v>
      </c>
      <c r="AK369" s="392">
        <v>0</v>
      </c>
      <c r="AL369" s="392">
        <v>0</v>
      </c>
      <c r="AM369" s="392">
        <v>1</v>
      </c>
      <c r="AN369" s="392">
        <v>1</v>
      </c>
      <c r="AO369" s="392">
        <v>0</v>
      </c>
      <c r="AP369" s="392">
        <v>0</v>
      </c>
      <c r="AQ369" s="429"/>
      <c r="AR369" s="221">
        <f t="shared" si="108"/>
        <v>4</v>
      </c>
      <c r="AS369" s="221">
        <f t="shared" si="109"/>
        <v>9</v>
      </c>
    </row>
    <row r="370" spans="1:45" ht="15.75" customHeight="1">
      <c r="A370" s="332"/>
      <c r="B370" s="448" t="s">
        <v>2353</v>
      </c>
      <c r="C370" s="332" t="s">
        <v>2085</v>
      </c>
      <c r="D370" s="399">
        <v>1</v>
      </c>
      <c r="E370" s="332" t="s">
        <v>2059</v>
      </c>
      <c r="F370" s="427" t="s">
        <v>2059</v>
      </c>
      <c r="G370" s="392">
        <v>2</v>
      </c>
      <c r="H370" s="392">
        <v>1</v>
      </c>
      <c r="I370" s="392">
        <v>1</v>
      </c>
      <c r="J370" s="392">
        <v>3</v>
      </c>
      <c r="K370" s="392">
        <v>0</v>
      </c>
      <c r="L370" s="392">
        <v>2</v>
      </c>
      <c r="M370" s="392">
        <v>1</v>
      </c>
      <c r="N370" s="392">
        <v>3</v>
      </c>
      <c r="O370" s="392">
        <v>3</v>
      </c>
      <c r="P370" s="392">
        <v>1</v>
      </c>
      <c r="Q370" s="392">
        <v>3</v>
      </c>
      <c r="R370" s="392">
        <v>2</v>
      </c>
      <c r="S370" s="449">
        <v>2</v>
      </c>
      <c r="T370" s="392">
        <v>3</v>
      </c>
      <c r="U370" s="392">
        <v>3</v>
      </c>
      <c r="V370" s="392">
        <v>2</v>
      </c>
      <c r="W370" s="392">
        <v>0</v>
      </c>
      <c r="X370" s="392">
        <v>1</v>
      </c>
      <c r="Y370" s="392">
        <v>3</v>
      </c>
      <c r="Z370" s="392">
        <v>1</v>
      </c>
      <c r="AA370" s="392">
        <v>1</v>
      </c>
      <c r="AB370" s="392">
        <v>3</v>
      </c>
      <c r="AC370" s="392">
        <v>2</v>
      </c>
      <c r="AD370" s="450">
        <v>1</v>
      </c>
      <c r="AE370" s="449">
        <v>3</v>
      </c>
      <c r="AF370" s="392">
        <v>1</v>
      </c>
      <c r="AG370" s="392">
        <v>2</v>
      </c>
      <c r="AH370" s="392">
        <v>3</v>
      </c>
      <c r="AI370" s="392">
        <v>4</v>
      </c>
      <c r="AJ370" s="392">
        <v>0</v>
      </c>
      <c r="AK370" s="392">
        <v>1</v>
      </c>
      <c r="AL370" s="392">
        <v>4</v>
      </c>
      <c r="AM370" s="392">
        <v>3</v>
      </c>
      <c r="AN370" s="392">
        <v>1</v>
      </c>
      <c r="AO370" s="392">
        <v>3</v>
      </c>
      <c r="AP370" s="392">
        <v>3</v>
      </c>
      <c r="AQ370" s="429"/>
      <c r="AR370" s="221">
        <f t="shared" si="108"/>
        <v>22</v>
      </c>
      <c r="AS370" s="221">
        <f t="shared" si="109"/>
        <v>28</v>
      </c>
    </row>
    <row r="371" spans="1:45" ht="15.75" customHeight="1">
      <c r="A371" s="332"/>
      <c r="B371" s="448" t="s">
        <v>2353</v>
      </c>
      <c r="C371" s="332" t="s">
        <v>2086</v>
      </c>
      <c r="D371" s="399">
        <v>1</v>
      </c>
      <c r="E371" s="332" t="s">
        <v>2059</v>
      </c>
      <c r="F371" s="427" t="s">
        <v>2059</v>
      </c>
      <c r="G371" s="392">
        <v>1</v>
      </c>
      <c r="H371" s="392">
        <v>3</v>
      </c>
      <c r="I371" s="392">
        <v>1</v>
      </c>
      <c r="J371" s="392">
        <v>2</v>
      </c>
      <c r="K371" s="392">
        <v>1</v>
      </c>
      <c r="L371" s="392">
        <v>2</v>
      </c>
      <c r="M371" s="392">
        <v>2</v>
      </c>
      <c r="N371" s="392">
        <v>0</v>
      </c>
      <c r="O371" s="392">
        <v>0</v>
      </c>
      <c r="P371" s="392">
        <v>1</v>
      </c>
      <c r="Q371" s="392">
        <v>3</v>
      </c>
      <c r="R371" s="392">
        <v>2</v>
      </c>
      <c r="S371" s="449">
        <v>1</v>
      </c>
      <c r="T371" s="392">
        <v>4</v>
      </c>
      <c r="U371" s="392">
        <v>2</v>
      </c>
      <c r="V371" s="392">
        <v>2</v>
      </c>
      <c r="W371" s="392">
        <v>3</v>
      </c>
      <c r="X371" s="392">
        <v>2</v>
      </c>
      <c r="Y371" s="392">
        <v>1</v>
      </c>
      <c r="Z371" s="392">
        <v>2</v>
      </c>
      <c r="AA371" s="392">
        <v>0</v>
      </c>
      <c r="AB371" s="392">
        <v>2</v>
      </c>
      <c r="AC371" s="392">
        <v>1</v>
      </c>
      <c r="AD371" s="450">
        <v>2</v>
      </c>
      <c r="AE371" s="449">
        <v>0</v>
      </c>
      <c r="AF371" s="392">
        <v>3</v>
      </c>
      <c r="AG371" s="392">
        <v>1</v>
      </c>
      <c r="AH371" s="392">
        <v>1</v>
      </c>
      <c r="AI371" s="392">
        <v>3</v>
      </c>
      <c r="AJ371" s="392">
        <v>3</v>
      </c>
      <c r="AK371" s="392">
        <v>1</v>
      </c>
      <c r="AL371" s="392">
        <v>4</v>
      </c>
      <c r="AM371" s="392">
        <v>3</v>
      </c>
      <c r="AN371" s="392">
        <v>1</v>
      </c>
      <c r="AO371" s="392">
        <v>3</v>
      </c>
      <c r="AP371" s="392">
        <v>1</v>
      </c>
      <c r="AQ371" s="429"/>
      <c r="AR371" s="221">
        <f t="shared" si="108"/>
        <v>22</v>
      </c>
      <c r="AS371" s="221">
        <f t="shared" si="109"/>
        <v>24</v>
      </c>
    </row>
    <row r="372" spans="1:45" ht="15.75" customHeight="1">
      <c r="A372" s="332"/>
      <c r="B372" s="448" t="s">
        <v>2353</v>
      </c>
      <c r="C372" s="332" t="s">
        <v>2170</v>
      </c>
      <c r="D372" s="399">
        <v>1</v>
      </c>
      <c r="E372" s="332" t="s">
        <v>2059</v>
      </c>
      <c r="F372" s="427" t="s">
        <v>2059</v>
      </c>
      <c r="G372" s="392">
        <v>0</v>
      </c>
      <c r="H372" s="392">
        <v>0</v>
      </c>
      <c r="I372" s="392">
        <v>0</v>
      </c>
      <c r="J372" s="392">
        <v>0</v>
      </c>
      <c r="K372" s="392">
        <v>0</v>
      </c>
      <c r="L372" s="392">
        <v>0</v>
      </c>
      <c r="M372" s="392">
        <v>0</v>
      </c>
      <c r="N372" s="392">
        <v>0</v>
      </c>
      <c r="O372" s="392">
        <v>0</v>
      </c>
      <c r="P372" s="392">
        <v>0</v>
      </c>
      <c r="Q372" s="392">
        <v>0</v>
      </c>
      <c r="R372" s="392">
        <v>0</v>
      </c>
      <c r="S372" s="449">
        <v>0</v>
      </c>
      <c r="T372" s="392">
        <v>0</v>
      </c>
      <c r="U372" s="392">
        <v>0</v>
      </c>
      <c r="V372" s="392">
        <v>0</v>
      </c>
      <c r="W372" s="392">
        <v>0</v>
      </c>
      <c r="X372" s="392">
        <v>0</v>
      </c>
      <c r="Y372" s="392">
        <v>0</v>
      </c>
      <c r="Z372" s="392">
        <v>0</v>
      </c>
      <c r="AA372" s="392">
        <v>0</v>
      </c>
      <c r="AB372" s="392">
        <v>0</v>
      </c>
      <c r="AC372" s="392">
        <v>0</v>
      </c>
      <c r="AD372" s="450">
        <v>0</v>
      </c>
      <c r="AE372" s="449">
        <v>0</v>
      </c>
      <c r="AF372" s="392">
        <v>0</v>
      </c>
      <c r="AG372" s="392">
        <v>0</v>
      </c>
      <c r="AH372" s="392">
        <v>0</v>
      </c>
      <c r="AI372" s="392">
        <v>0</v>
      </c>
      <c r="AJ372" s="392">
        <v>0</v>
      </c>
      <c r="AK372" s="392">
        <v>0</v>
      </c>
      <c r="AL372" s="392">
        <v>0</v>
      </c>
      <c r="AM372" s="392">
        <v>1</v>
      </c>
      <c r="AN372" s="392">
        <v>3</v>
      </c>
      <c r="AO372" s="392">
        <v>3</v>
      </c>
      <c r="AP372" s="392">
        <v>1</v>
      </c>
      <c r="AQ372" s="429"/>
      <c r="AR372" s="221">
        <f t="shared" si="108"/>
        <v>0</v>
      </c>
      <c r="AS372" s="221">
        <f t="shared" si="109"/>
        <v>8</v>
      </c>
    </row>
    <row r="373" spans="1:45" ht="15.75" customHeight="1">
      <c r="A373" s="332"/>
      <c r="B373" s="448" t="s">
        <v>2353</v>
      </c>
      <c r="C373" s="332" t="s">
        <v>2087</v>
      </c>
      <c r="D373" s="399">
        <v>1</v>
      </c>
      <c r="E373" s="332" t="s">
        <v>2059</v>
      </c>
      <c r="F373" s="427" t="s">
        <v>2059</v>
      </c>
      <c r="G373" s="392">
        <v>1</v>
      </c>
      <c r="H373" s="392">
        <v>0</v>
      </c>
      <c r="I373" s="392">
        <v>3</v>
      </c>
      <c r="J373" s="392">
        <v>2</v>
      </c>
      <c r="K373" s="392">
        <v>0</v>
      </c>
      <c r="L373" s="392">
        <v>2</v>
      </c>
      <c r="M373" s="392">
        <v>1</v>
      </c>
      <c r="N373" s="392">
        <v>1</v>
      </c>
      <c r="O373" s="392">
        <v>2</v>
      </c>
      <c r="P373" s="392">
        <v>3</v>
      </c>
      <c r="Q373" s="392">
        <v>3</v>
      </c>
      <c r="R373" s="392">
        <v>2</v>
      </c>
      <c r="S373" s="449">
        <v>1</v>
      </c>
      <c r="T373" s="392">
        <v>2</v>
      </c>
      <c r="U373" s="392">
        <v>3</v>
      </c>
      <c r="V373" s="392">
        <v>4</v>
      </c>
      <c r="W373" s="392">
        <v>3</v>
      </c>
      <c r="X373" s="392">
        <v>1</v>
      </c>
      <c r="Y373" s="392">
        <v>1</v>
      </c>
      <c r="Z373" s="392">
        <v>2</v>
      </c>
      <c r="AA373" s="392">
        <v>0</v>
      </c>
      <c r="AB373" s="392">
        <v>1</v>
      </c>
      <c r="AC373" s="392">
        <v>3</v>
      </c>
      <c r="AD373" s="450">
        <v>1</v>
      </c>
      <c r="AE373" s="449">
        <v>3</v>
      </c>
      <c r="AF373" s="392">
        <v>2</v>
      </c>
      <c r="AG373" s="392">
        <v>0</v>
      </c>
      <c r="AH373" s="392">
        <v>1</v>
      </c>
      <c r="AI373" s="392">
        <v>3</v>
      </c>
      <c r="AJ373" s="392">
        <v>1</v>
      </c>
      <c r="AK373" s="392">
        <v>2</v>
      </c>
      <c r="AL373" s="392">
        <v>2</v>
      </c>
      <c r="AM373" s="392">
        <v>2</v>
      </c>
      <c r="AN373" s="392">
        <v>3</v>
      </c>
      <c r="AO373" s="392">
        <v>1</v>
      </c>
      <c r="AP373" s="392">
        <v>2</v>
      </c>
      <c r="AQ373" s="429"/>
      <c r="AR373" s="221">
        <f t="shared" si="108"/>
        <v>22</v>
      </c>
      <c r="AS373" s="221">
        <f t="shared" si="109"/>
        <v>22</v>
      </c>
    </row>
    <row r="374" spans="1:45" ht="15.75" customHeight="1">
      <c r="A374" s="332"/>
      <c r="B374" s="448" t="s">
        <v>2353</v>
      </c>
      <c r="C374" s="332" t="s">
        <v>2088</v>
      </c>
      <c r="D374" s="399">
        <v>1</v>
      </c>
      <c r="E374" s="332" t="s">
        <v>2059</v>
      </c>
      <c r="F374" s="427" t="s">
        <v>2059</v>
      </c>
      <c r="G374" s="392">
        <v>3</v>
      </c>
      <c r="H374" s="392">
        <v>2</v>
      </c>
      <c r="I374" s="392">
        <v>3</v>
      </c>
      <c r="J374" s="392">
        <v>4</v>
      </c>
      <c r="K374" s="392">
        <v>2</v>
      </c>
      <c r="L374" s="392">
        <v>4</v>
      </c>
      <c r="M374" s="392">
        <v>2</v>
      </c>
      <c r="N374" s="392">
        <v>0</v>
      </c>
      <c r="O374" s="392">
        <v>2</v>
      </c>
      <c r="P374" s="392">
        <v>3</v>
      </c>
      <c r="Q374" s="392">
        <v>2</v>
      </c>
      <c r="R374" s="392">
        <v>3</v>
      </c>
      <c r="S374" s="449">
        <v>0</v>
      </c>
      <c r="T374" s="392">
        <v>2</v>
      </c>
      <c r="U374" s="392">
        <v>3</v>
      </c>
      <c r="V374" s="392">
        <v>3</v>
      </c>
      <c r="W374" s="392">
        <v>2</v>
      </c>
      <c r="X374" s="392">
        <v>1</v>
      </c>
      <c r="Y374" s="392">
        <v>1</v>
      </c>
      <c r="Z374" s="392">
        <v>2</v>
      </c>
      <c r="AA374" s="392">
        <v>0</v>
      </c>
      <c r="AB374" s="392">
        <v>4</v>
      </c>
      <c r="AC374" s="392">
        <v>1</v>
      </c>
      <c r="AD374" s="450">
        <v>2</v>
      </c>
      <c r="AE374" s="449">
        <v>1</v>
      </c>
      <c r="AF374" s="392">
        <v>1</v>
      </c>
      <c r="AG374" s="392">
        <v>2</v>
      </c>
      <c r="AH374" s="392">
        <v>2</v>
      </c>
      <c r="AI374" s="392">
        <v>3</v>
      </c>
      <c r="AJ374" s="392">
        <v>2</v>
      </c>
      <c r="AK374" s="392">
        <v>1</v>
      </c>
      <c r="AL374" s="392">
        <v>2</v>
      </c>
      <c r="AM374" s="392">
        <v>0</v>
      </c>
      <c r="AN374" s="392">
        <v>3</v>
      </c>
      <c r="AO374" s="392">
        <v>3</v>
      </c>
      <c r="AP374" s="392">
        <v>3</v>
      </c>
      <c r="AQ374" s="429"/>
      <c r="AR374" s="221">
        <f t="shared" si="108"/>
        <v>21</v>
      </c>
      <c r="AS374" s="221">
        <f t="shared" si="109"/>
        <v>23</v>
      </c>
    </row>
    <row r="375" spans="1:45" ht="15.75" customHeight="1">
      <c r="A375" s="332"/>
      <c r="B375" s="448" t="s">
        <v>2353</v>
      </c>
      <c r="C375" s="332" t="s">
        <v>2089</v>
      </c>
      <c r="D375" s="399">
        <v>2</v>
      </c>
      <c r="E375" s="332" t="s">
        <v>2059</v>
      </c>
      <c r="F375" s="427" t="s">
        <v>2059</v>
      </c>
      <c r="G375" s="392">
        <v>0</v>
      </c>
      <c r="H375" s="392">
        <v>0</v>
      </c>
      <c r="I375" s="392">
        <v>0</v>
      </c>
      <c r="J375" s="392">
        <v>0</v>
      </c>
      <c r="K375" s="392">
        <v>0</v>
      </c>
      <c r="L375" s="392">
        <v>0</v>
      </c>
      <c r="M375" s="392">
        <v>0</v>
      </c>
      <c r="N375" s="392">
        <v>0</v>
      </c>
      <c r="O375" s="392">
        <v>1</v>
      </c>
      <c r="P375" s="392">
        <v>0</v>
      </c>
      <c r="Q375" s="392">
        <v>3</v>
      </c>
      <c r="R375" s="392">
        <v>2</v>
      </c>
      <c r="S375" s="449">
        <v>1</v>
      </c>
      <c r="T375" s="392">
        <v>1</v>
      </c>
      <c r="U375" s="392">
        <v>1</v>
      </c>
      <c r="V375" s="392">
        <v>1</v>
      </c>
      <c r="W375" s="392">
        <v>0</v>
      </c>
      <c r="X375" s="392">
        <v>1</v>
      </c>
      <c r="Y375" s="392">
        <v>0</v>
      </c>
      <c r="Z375" s="392">
        <v>0</v>
      </c>
      <c r="AA375" s="392">
        <v>0</v>
      </c>
      <c r="AB375" s="392">
        <v>4</v>
      </c>
      <c r="AC375" s="392">
        <v>0</v>
      </c>
      <c r="AD375" s="450">
        <v>1</v>
      </c>
      <c r="AE375" s="449">
        <v>1</v>
      </c>
      <c r="AF375" s="392">
        <v>0</v>
      </c>
      <c r="AG375" s="392">
        <v>1</v>
      </c>
      <c r="AH375" s="392">
        <v>3</v>
      </c>
      <c r="AI375" s="392">
        <v>1</v>
      </c>
      <c r="AJ375" s="392">
        <v>0</v>
      </c>
      <c r="AK375" s="392">
        <v>1</v>
      </c>
      <c r="AL375" s="392">
        <v>3</v>
      </c>
      <c r="AM375" s="392">
        <v>3</v>
      </c>
      <c r="AN375" s="392">
        <v>4</v>
      </c>
      <c r="AO375" s="392">
        <v>4</v>
      </c>
      <c r="AP375" s="392">
        <v>0</v>
      </c>
      <c r="AQ375" s="429"/>
      <c r="AR375" s="221">
        <f t="shared" si="108"/>
        <v>10</v>
      </c>
      <c r="AS375" s="221">
        <f t="shared" si="109"/>
        <v>21</v>
      </c>
    </row>
    <row r="376" spans="1:45" ht="15.75" customHeight="1">
      <c r="A376" s="332"/>
      <c r="B376" s="448" t="s">
        <v>2353</v>
      </c>
      <c r="C376" s="332" t="s">
        <v>2090</v>
      </c>
      <c r="D376" s="399">
        <v>2</v>
      </c>
      <c r="E376" s="332" t="s">
        <v>2059</v>
      </c>
      <c r="F376" s="427" t="s">
        <v>2059</v>
      </c>
      <c r="G376" s="392">
        <v>5</v>
      </c>
      <c r="H376" s="392">
        <v>3</v>
      </c>
      <c r="I376" s="392">
        <v>7</v>
      </c>
      <c r="J376" s="392">
        <v>5</v>
      </c>
      <c r="K376" s="392">
        <v>4</v>
      </c>
      <c r="L376" s="392">
        <v>0</v>
      </c>
      <c r="M376" s="392">
        <v>6</v>
      </c>
      <c r="N376" s="392">
        <v>3</v>
      </c>
      <c r="O376" s="392">
        <v>3</v>
      </c>
      <c r="P376" s="392">
        <v>7</v>
      </c>
      <c r="Q376" s="392">
        <v>6</v>
      </c>
      <c r="R376" s="392">
        <v>7</v>
      </c>
      <c r="S376" s="449">
        <v>5</v>
      </c>
      <c r="T376" s="392">
        <v>3</v>
      </c>
      <c r="U376" s="392">
        <v>7</v>
      </c>
      <c r="V376" s="392">
        <v>7</v>
      </c>
      <c r="W376" s="392">
        <v>5</v>
      </c>
      <c r="X376" s="392">
        <v>1</v>
      </c>
      <c r="Y376" s="392">
        <v>4</v>
      </c>
      <c r="Z376" s="392">
        <v>2</v>
      </c>
      <c r="AA376" s="392">
        <v>4</v>
      </c>
      <c r="AB376" s="392">
        <v>8</v>
      </c>
      <c r="AC376" s="392">
        <v>9</v>
      </c>
      <c r="AD376" s="450">
        <v>2</v>
      </c>
      <c r="AE376" s="449">
        <v>2</v>
      </c>
      <c r="AF376" s="392">
        <v>4</v>
      </c>
      <c r="AG376" s="392">
        <v>5</v>
      </c>
      <c r="AH376" s="392">
        <v>5</v>
      </c>
      <c r="AI376" s="392">
        <v>6</v>
      </c>
      <c r="AJ376" s="392">
        <v>4</v>
      </c>
      <c r="AK376" s="392">
        <v>3</v>
      </c>
      <c r="AL376" s="392">
        <v>5</v>
      </c>
      <c r="AM376" s="392">
        <v>6</v>
      </c>
      <c r="AN376" s="392">
        <v>5</v>
      </c>
      <c r="AO376" s="392">
        <v>5</v>
      </c>
      <c r="AP376" s="392">
        <v>5</v>
      </c>
      <c r="AQ376" s="429"/>
      <c r="AR376" s="221">
        <f t="shared" si="108"/>
        <v>57</v>
      </c>
      <c r="AS376" s="221">
        <f t="shared" si="109"/>
        <v>55</v>
      </c>
    </row>
    <row r="377" spans="1:45" ht="15.75" customHeight="1">
      <c r="A377" s="332"/>
      <c r="B377" s="448" t="s">
        <v>2353</v>
      </c>
      <c r="C377" s="332" t="s">
        <v>2091</v>
      </c>
      <c r="D377" s="399">
        <v>1</v>
      </c>
      <c r="E377" s="332" t="s">
        <v>2059</v>
      </c>
      <c r="F377" s="427" t="s">
        <v>2059</v>
      </c>
      <c r="G377" s="392">
        <v>0</v>
      </c>
      <c r="H377" s="392">
        <v>0</v>
      </c>
      <c r="I377" s="392">
        <v>0</v>
      </c>
      <c r="J377" s="392">
        <v>0</v>
      </c>
      <c r="K377" s="392">
        <v>0</v>
      </c>
      <c r="L377" s="392">
        <v>0</v>
      </c>
      <c r="M377" s="392">
        <v>0</v>
      </c>
      <c r="N377" s="392">
        <v>0</v>
      </c>
      <c r="O377" s="392">
        <v>0</v>
      </c>
      <c r="P377" s="392">
        <v>0</v>
      </c>
      <c r="Q377" s="392">
        <v>0</v>
      </c>
      <c r="R377" s="392">
        <v>0</v>
      </c>
      <c r="S377" s="449">
        <v>0</v>
      </c>
      <c r="T377" s="392">
        <v>0</v>
      </c>
      <c r="U377" s="392">
        <v>0</v>
      </c>
      <c r="V377" s="392">
        <v>0</v>
      </c>
      <c r="W377" s="392">
        <v>0</v>
      </c>
      <c r="X377" s="392">
        <v>0</v>
      </c>
      <c r="Y377" s="392">
        <v>0</v>
      </c>
      <c r="Z377" s="392">
        <v>0</v>
      </c>
      <c r="AA377" s="392">
        <v>0</v>
      </c>
      <c r="AB377" s="392">
        <v>0</v>
      </c>
      <c r="AC377" s="392">
        <v>0</v>
      </c>
      <c r="AD377" s="450">
        <v>0</v>
      </c>
      <c r="AE377" s="449">
        <v>0</v>
      </c>
      <c r="AF377" s="392">
        <v>0</v>
      </c>
      <c r="AG377" s="392">
        <v>0</v>
      </c>
      <c r="AH377" s="392">
        <v>2</v>
      </c>
      <c r="AI377" s="392">
        <v>1</v>
      </c>
      <c r="AJ377" s="392">
        <v>0</v>
      </c>
      <c r="AK377" s="392">
        <v>0</v>
      </c>
      <c r="AL377" s="392">
        <v>0</v>
      </c>
      <c r="AM377" s="392">
        <v>2</v>
      </c>
      <c r="AN377" s="392">
        <v>1</v>
      </c>
      <c r="AO377" s="392">
        <v>1</v>
      </c>
      <c r="AP377" s="392">
        <v>0</v>
      </c>
      <c r="AQ377" s="429"/>
      <c r="AR377" s="221">
        <f t="shared" si="108"/>
        <v>0</v>
      </c>
      <c r="AS377" s="221">
        <f t="shared" si="109"/>
        <v>7</v>
      </c>
    </row>
    <row r="378" spans="1:45" ht="15.75" customHeight="1">
      <c r="A378" s="332"/>
      <c r="B378" s="448" t="s">
        <v>2353</v>
      </c>
      <c r="C378" s="332" t="s">
        <v>2092</v>
      </c>
      <c r="D378" s="399">
        <v>1</v>
      </c>
      <c r="E378" s="332" t="s">
        <v>2060</v>
      </c>
      <c r="F378" s="427" t="s">
        <v>2060</v>
      </c>
      <c r="G378" s="392">
        <v>2</v>
      </c>
      <c r="H378" s="392">
        <v>4</v>
      </c>
      <c r="I378" s="392">
        <v>5</v>
      </c>
      <c r="J378" s="392">
        <v>3</v>
      </c>
      <c r="K378" s="392">
        <v>4</v>
      </c>
      <c r="L378" s="392">
        <v>5</v>
      </c>
      <c r="M378" s="392">
        <v>4</v>
      </c>
      <c r="N378" s="392">
        <v>4</v>
      </c>
      <c r="O378" s="392">
        <v>5</v>
      </c>
      <c r="P378" s="392">
        <v>4</v>
      </c>
      <c r="Q378" s="392">
        <v>4</v>
      </c>
      <c r="R378" s="392">
        <v>5</v>
      </c>
      <c r="S378" s="449">
        <v>2</v>
      </c>
      <c r="T378" s="392">
        <v>3</v>
      </c>
      <c r="U378" s="392">
        <v>2</v>
      </c>
      <c r="V378" s="392">
        <v>4</v>
      </c>
      <c r="W378" s="392">
        <v>5</v>
      </c>
      <c r="X378" s="392">
        <v>3</v>
      </c>
      <c r="Y378" s="392">
        <v>4</v>
      </c>
      <c r="Z378" s="392">
        <v>5</v>
      </c>
      <c r="AA378" s="392">
        <v>4</v>
      </c>
      <c r="AB378" s="392">
        <v>4</v>
      </c>
      <c r="AC378" s="392">
        <v>5</v>
      </c>
      <c r="AD378" s="450">
        <v>4</v>
      </c>
      <c r="AE378" s="449">
        <v>2</v>
      </c>
      <c r="AF378" s="392">
        <v>3</v>
      </c>
      <c r="AG378" s="392">
        <v>4</v>
      </c>
      <c r="AH378" s="392">
        <v>4</v>
      </c>
      <c r="AI378" s="392">
        <v>5</v>
      </c>
      <c r="AJ378" s="392">
        <v>4</v>
      </c>
      <c r="AK378" s="392">
        <v>4</v>
      </c>
      <c r="AL378" s="392">
        <v>4</v>
      </c>
      <c r="AM378" s="392">
        <v>4</v>
      </c>
      <c r="AN378" s="392">
        <v>5</v>
      </c>
      <c r="AO378" s="392">
        <v>4</v>
      </c>
      <c r="AP378" s="392">
        <v>3</v>
      </c>
      <c r="AQ378" s="429"/>
      <c r="AR378" s="221">
        <f t="shared" si="108"/>
        <v>45</v>
      </c>
      <c r="AS378" s="221">
        <f t="shared" si="109"/>
        <v>46</v>
      </c>
    </row>
    <row r="379" spans="1:45" ht="15.75" customHeight="1">
      <c r="A379" s="332"/>
      <c r="B379" s="451" t="s">
        <v>2353</v>
      </c>
      <c r="C379" s="452" t="s">
        <v>2093</v>
      </c>
      <c r="D379" s="433">
        <v>1</v>
      </c>
      <c r="E379" s="434" t="s">
        <v>204</v>
      </c>
      <c r="F379" s="453" t="s">
        <v>2349</v>
      </c>
      <c r="G379" s="454">
        <v>0</v>
      </c>
      <c r="H379" s="454">
        <v>0</v>
      </c>
      <c r="I379" s="454">
        <v>0</v>
      </c>
      <c r="J379" s="454">
        <v>0</v>
      </c>
      <c r="K379" s="454">
        <v>0</v>
      </c>
      <c r="L379" s="454">
        <v>0</v>
      </c>
      <c r="M379" s="454">
        <v>0</v>
      </c>
      <c r="N379" s="454">
        <v>0</v>
      </c>
      <c r="O379" s="454">
        <v>0</v>
      </c>
      <c r="P379" s="454">
        <v>0</v>
      </c>
      <c r="Q379" s="454">
        <v>0</v>
      </c>
      <c r="R379" s="454">
        <v>0</v>
      </c>
      <c r="S379" s="455">
        <v>0</v>
      </c>
      <c r="T379" s="454">
        <v>0</v>
      </c>
      <c r="U379" s="454">
        <v>0</v>
      </c>
      <c r="V379" s="454">
        <v>0</v>
      </c>
      <c r="W379" s="454">
        <v>0</v>
      </c>
      <c r="X379" s="454">
        <v>0</v>
      </c>
      <c r="Y379" s="454">
        <v>0</v>
      </c>
      <c r="Z379" s="454">
        <v>0</v>
      </c>
      <c r="AA379" s="454">
        <v>0</v>
      </c>
      <c r="AB379" s="454">
        <v>0</v>
      </c>
      <c r="AC379" s="454">
        <v>0</v>
      </c>
      <c r="AD379" s="456">
        <v>0</v>
      </c>
      <c r="AE379" s="455">
        <v>0</v>
      </c>
      <c r="AF379" s="454">
        <v>0</v>
      </c>
      <c r="AG379" s="454">
        <v>0</v>
      </c>
      <c r="AH379" s="454">
        <v>3</v>
      </c>
      <c r="AI379" s="454">
        <v>3</v>
      </c>
      <c r="AJ379" s="454">
        <v>1</v>
      </c>
      <c r="AK379" s="454">
        <v>1</v>
      </c>
      <c r="AL379" s="454">
        <v>0</v>
      </c>
      <c r="AM379" s="454">
        <v>1</v>
      </c>
      <c r="AN379" s="454">
        <v>5</v>
      </c>
      <c r="AO379" s="454">
        <v>3</v>
      </c>
      <c r="AP379" s="454">
        <v>2</v>
      </c>
      <c r="AQ379" s="429"/>
      <c r="AR379" s="221">
        <f t="shared" si="108"/>
        <v>0</v>
      </c>
      <c r="AS379" s="221">
        <f t="shared" si="109"/>
        <v>19</v>
      </c>
    </row>
    <row r="380" spans="1:45" ht="15.75" customHeight="1">
      <c r="A380" s="332"/>
      <c r="B380" s="448" t="s">
        <v>2354</v>
      </c>
      <c r="C380" s="332" t="s">
        <v>2061</v>
      </c>
      <c r="D380" s="399">
        <v>1</v>
      </c>
      <c r="E380" s="332" t="s">
        <v>204</v>
      </c>
      <c r="F380" s="427" t="s">
        <v>2347</v>
      </c>
      <c r="G380" s="449">
        <f t="shared" ref="G380:AP380" si="110">G40-G278-G312-G346</f>
        <v>0</v>
      </c>
      <c r="H380" s="392">
        <f t="shared" si="110"/>
        <v>2</v>
      </c>
      <c r="I380" s="392">
        <f t="shared" si="110"/>
        <v>2</v>
      </c>
      <c r="J380" s="392">
        <f t="shared" si="110"/>
        <v>1</v>
      </c>
      <c r="K380" s="392">
        <f t="shared" si="110"/>
        <v>0</v>
      </c>
      <c r="L380" s="392">
        <f t="shared" si="110"/>
        <v>2</v>
      </c>
      <c r="M380" s="392">
        <f t="shared" si="110"/>
        <v>1</v>
      </c>
      <c r="N380" s="392">
        <f t="shared" si="110"/>
        <v>2</v>
      </c>
      <c r="O380" s="392">
        <f t="shared" si="110"/>
        <v>0</v>
      </c>
      <c r="P380" s="392">
        <f t="shared" si="110"/>
        <v>2</v>
      </c>
      <c r="Q380" s="392">
        <f t="shared" si="110"/>
        <v>0</v>
      </c>
      <c r="R380" s="392">
        <f t="shared" si="110"/>
        <v>2</v>
      </c>
      <c r="S380" s="449">
        <f t="shared" si="110"/>
        <v>1</v>
      </c>
      <c r="T380" s="392">
        <f t="shared" si="110"/>
        <v>0</v>
      </c>
      <c r="U380" s="392">
        <f t="shared" si="110"/>
        <v>0</v>
      </c>
      <c r="V380" s="392">
        <f t="shared" si="110"/>
        <v>1</v>
      </c>
      <c r="W380" s="392">
        <f t="shared" si="110"/>
        <v>0</v>
      </c>
      <c r="X380" s="392">
        <f t="shared" si="110"/>
        <v>1</v>
      </c>
      <c r="Y380" s="392">
        <f t="shared" si="110"/>
        <v>1</v>
      </c>
      <c r="Z380" s="392">
        <f t="shared" si="110"/>
        <v>1</v>
      </c>
      <c r="AA380" s="392">
        <f t="shared" si="110"/>
        <v>2</v>
      </c>
      <c r="AB380" s="392">
        <f t="shared" si="110"/>
        <v>1</v>
      </c>
      <c r="AC380" s="392">
        <f t="shared" si="110"/>
        <v>0</v>
      </c>
      <c r="AD380" s="450">
        <f t="shared" si="110"/>
        <v>2</v>
      </c>
      <c r="AE380" s="449">
        <f t="shared" si="110"/>
        <v>0</v>
      </c>
      <c r="AF380" s="392">
        <f t="shared" si="110"/>
        <v>0</v>
      </c>
      <c r="AG380" s="392">
        <f t="shared" si="110"/>
        <v>2</v>
      </c>
      <c r="AH380" s="392">
        <f t="shared" si="110"/>
        <v>1</v>
      </c>
      <c r="AI380" s="392">
        <f t="shared" si="110"/>
        <v>2</v>
      </c>
      <c r="AJ380" s="392">
        <f t="shared" si="110"/>
        <v>0</v>
      </c>
      <c r="AK380" s="392">
        <f t="shared" si="110"/>
        <v>0</v>
      </c>
      <c r="AL380" s="392">
        <f t="shared" si="110"/>
        <v>0</v>
      </c>
      <c r="AM380" s="392">
        <f t="shared" si="110"/>
        <v>0</v>
      </c>
      <c r="AN380" s="392">
        <f t="shared" si="110"/>
        <v>4</v>
      </c>
      <c r="AO380" s="392">
        <f t="shared" si="110"/>
        <v>3</v>
      </c>
      <c r="AP380" s="392">
        <f t="shared" si="110"/>
        <v>2</v>
      </c>
      <c r="AQ380" s="429"/>
      <c r="AR380" s="221">
        <f t="shared" si="108"/>
        <v>10</v>
      </c>
      <c r="AS380" s="221">
        <f t="shared" si="109"/>
        <v>14</v>
      </c>
    </row>
    <row r="381" spans="1:45" ht="15.75" customHeight="1">
      <c r="A381" s="332"/>
      <c r="B381" s="448" t="s">
        <v>2354</v>
      </c>
      <c r="C381" s="332" t="s">
        <v>2062</v>
      </c>
      <c r="D381" s="399">
        <v>2</v>
      </c>
      <c r="E381" s="332" t="s">
        <v>204</v>
      </c>
      <c r="F381" s="427" t="s">
        <v>2347</v>
      </c>
      <c r="G381" s="392">
        <f t="shared" ref="G381:AP381" si="111">G41-G279-G313-G347</f>
        <v>0</v>
      </c>
      <c r="H381" s="392">
        <f t="shared" si="111"/>
        <v>1</v>
      </c>
      <c r="I381" s="392">
        <f t="shared" si="111"/>
        <v>1</v>
      </c>
      <c r="J381" s="392">
        <f t="shared" si="111"/>
        <v>0</v>
      </c>
      <c r="K381" s="392">
        <f t="shared" si="111"/>
        <v>3</v>
      </c>
      <c r="L381" s="392">
        <f t="shared" si="111"/>
        <v>1</v>
      </c>
      <c r="M381" s="392">
        <f t="shared" si="111"/>
        <v>1</v>
      </c>
      <c r="N381" s="392">
        <f t="shared" si="111"/>
        <v>2</v>
      </c>
      <c r="O381" s="392">
        <f t="shared" si="111"/>
        <v>0</v>
      </c>
      <c r="P381" s="392">
        <f t="shared" si="111"/>
        <v>1</v>
      </c>
      <c r="Q381" s="392">
        <f t="shared" si="111"/>
        <v>1</v>
      </c>
      <c r="R381" s="392">
        <f t="shared" si="111"/>
        <v>4</v>
      </c>
      <c r="S381" s="449">
        <f t="shared" si="111"/>
        <v>0</v>
      </c>
      <c r="T381" s="392">
        <f t="shared" si="111"/>
        <v>1</v>
      </c>
      <c r="U381" s="392">
        <f t="shared" si="111"/>
        <v>1</v>
      </c>
      <c r="V381" s="392">
        <f t="shared" si="111"/>
        <v>2</v>
      </c>
      <c r="W381" s="392">
        <f t="shared" si="111"/>
        <v>3</v>
      </c>
      <c r="X381" s="392">
        <f t="shared" si="111"/>
        <v>0</v>
      </c>
      <c r="Y381" s="392">
        <f t="shared" si="111"/>
        <v>2</v>
      </c>
      <c r="Z381" s="392">
        <f t="shared" si="111"/>
        <v>1</v>
      </c>
      <c r="AA381" s="392">
        <f t="shared" si="111"/>
        <v>4</v>
      </c>
      <c r="AB381" s="392">
        <f t="shared" si="111"/>
        <v>1</v>
      </c>
      <c r="AC381" s="392">
        <f t="shared" si="111"/>
        <v>0</v>
      </c>
      <c r="AD381" s="450">
        <f t="shared" si="111"/>
        <v>0</v>
      </c>
      <c r="AE381" s="449">
        <f t="shared" si="111"/>
        <v>2</v>
      </c>
      <c r="AF381" s="392">
        <f t="shared" si="111"/>
        <v>0</v>
      </c>
      <c r="AG381" s="392">
        <f t="shared" si="111"/>
        <v>0</v>
      </c>
      <c r="AH381" s="392">
        <f t="shared" si="111"/>
        <v>0</v>
      </c>
      <c r="AI381" s="392">
        <f t="shared" si="111"/>
        <v>2</v>
      </c>
      <c r="AJ381" s="392">
        <f t="shared" si="111"/>
        <v>1</v>
      </c>
      <c r="AK381" s="392">
        <f t="shared" si="111"/>
        <v>1</v>
      </c>
      <c r="AL381" s="392">
        <f t="shared" si="111"/>
        <v>4</v>
      </c>
      <c r="AM381" s="392">
        <f t="shared" si="111"/>
        <v>1</v>
      </c>
      <c r="AN381" s="392">
        <f t="shared" si="111"/>
        <v>4</v>
      </c>
      <c r="AO381" s="392">
        <f t="shared" si="111"/>
        <v>1</v>
      </c>
      <c r="AP381" s="392">
        <f t="shared" si="111"/>
        <v>1</v>
      </c>
      <c r="AQ381" s="429"/>
      <c r="AR381" s="221">
        <f t="shared" si="108"/>
        <v>15</v>
      </c>
      <c r="AS381" s="221">
        <f t="shared" si="109"/>
        <v>17</v>
      </c>
    </row>
    <row r="382" spans="1:45" ht="15.75" customHeight="1">
      <c r="A382" s="332"/>
      <c r="B382" s="448" t="s">
        <v>2354</v>
      </c>
      <c r="C382" s="332" t="s">
        <v>2063</v>
      </c>
      <c r="D382" s="399">
        <v>2</v>
      </c>
      <c r="E382" s="332" t="s">
        <v>204</v>
      </c>
      <c r="F382" s="427" t="s">
        <v>2347</v>
      </c>
      <c r="G382" s="392">
        <f t="shared" ref="G382:AP382" si="112">G42-G280-G314-G348</f>
        <v>2</v>
      </c>
      <c r="H382" s="392">
        <f t="shared" si="112"/>
        <v>0</v>
      </c>
      <c r="I382" s="392">
        <f t="shared" si="112"/>
        <v>3</v>
      </c>
      <c r="J382" s="392">
        <f t="shared" si="112"/>
        <v>2</v>
      </c>
      <c r="K382" s="392">
        <f t="shared" si="112"/>
        <v>3</v>
      </c>
      <c r="L382" s="392">
        <f t="shared" si="112"/>
        <v>3</v>
      </c>
      <c r="M382" s="392">
        <f t="shared" si="112"/>
        <v>1</v>
      </c>
      <c r="N382" s="392">
        <f t="shared" si="112"/>
        <v>3</v>
      </c>
      <c r="O382" s="392">
        <f t="shared" si="112"/>
        <v>1</v>
      </c>
      <c r="P382" s="392">
        <f t="shared" si="112"/>
        <v>0</v>
      </c>
      <c r="Q382" s="392">
        <f t="shared" si="112"/>
        <v>2</v>
      </c>
      <c r="R382" s="392">
        <f t="shared" si="112"/>
        <v>4</v>
      </c>
      <c r="S382" s="449">
        <f t="shared" si="112"/>
        <v>1</v>
      </c>
      <c r="T382" s="392">
        <f t="shared" si="112"/>
        <v>3</v>
      </c>
      <c r="U382" s="392">
        <f t="shared" si="112"/>
        <v>1</v>
      </c>
      <c r="V382" s="392">
        <f t="shared" si="112"/>
        <v>2</v>
      </c>
      <c r="W382" s="392">
        <f t="shared" si="112"/>
        <v>1</v>
      </c>
      <c r="X382" s="392">
        <f t="shared" si="112"/>
        <v>3</v>
      </c>
      <c r="Y382" s="392">
        <f t="shared" si="112"/>
        <v>1</v>
      </c>
      <c r="Z382" s="392">
        <f t="shared" si="112"/>
        <v>0</v>
      </c>
      <c r="AA382" s="392">
        <f t="shared" si="112"/>
        <v>1</v>
      </c>
      <c r="AB382" s="392">
        <f t="shared" si="112"/>
        <v>3</v>
      </c>
      <c r="AC382" s="392">
        <f t="shared" si="112"/>
        <v>2</v>
      </c>
      <c r="AD382" s="450">
        <f t="shared" si="112"/>
        <v>3</v>
      </c>
      <c r="AE382" s="449">
        <f t="shared" si="112"/>
        <v>1</v>
      </c>
      <c r="AF382" s="392">
        <f t="shared" si="112"/>
        <v>0</v>
      </c>
      <c r="AG382" s="392">
        <f t="shared" si="112"/>
        <v>0</v>
      </c>
      <c r="AH382" s="392">
        <f t="shared" si="112"/>
        <v>0</v>
      </c>
      <c r="AI382" s="392">
        <f t="shared" si="112"/>
        <v>3</v>
      </c>
      <c r="AJ382" s="392">
        <f t="shared" si="112"/>
        <v>3</v>
      </c>
      <c r="AK382" s="392">
        <f t="shared" si="112"/>
        <v>0</v>
      </c>
      <c r="AL382" s="392">
        <f t="shared" si="112"/>
        <v>0</v>
      </c>
      <c r="AM382" s="392">
        <f t="shared" si="112"/>
        <v>0</v>
      </c>
      <c r="AN382" s="392">
        <f t="shared" si="112"/>
        <v>1</v>
      </c>
      <c r="AO382" s="392">
        <f t="shared" si="112"/>
        <v>1</v>
      </c>
      <c r="AP382" s="392">
        <f t="shared" si="112"/>
        <v>3</v>
      </c>
      <c r="AQ382" s="429"/>
      <c r="AR382" s="221">
        <f t="shared" si="108"/>
        <v>21</v>
      </c>
      <c r="AS382" s="221">
        <f t="shared" si="109"/>
        <v>12</v>
      </c>
    </row>
    <row r="383" spans="1:45" ht="15.75" customHeight="1">
      <c r="A383" s="332"/>
      <c r="B383" s="448" t="s">
        <v>2354</v>
      </c>
      <c r="C383" s="332" t="s">
        <v>2064</v>
      </c>
      <c r="D383" s="399">
        <v>1</v>
      </c>
      <c r="E383" s="332" t="s">
        <v>204</v>
      </c>
      <c r="F383" s="427" t="s">
        <v>2347</v>
      </c>
      <c r="G383" s="392">
        <f t="shared" ref="G383:AP383" si="113">G43-G281-G315-G349</f>
        <v>0</v>
      </c>
      <c r="H383" s="392">
        <f t="shared" si="113"/>
        <v>0</v>
      </c>
      <c r="I383" s="392">
        <f t="shared" si="113"/>
        <v>1</v>
      </c>
      <c r="J383" s="392">
        <f t="shared" si="113"/>
        <v>2</v>
      </c>
      <c r="K383" s="392">
        <f t="shared" si="113"/>
        <v>1</v>
      </c>
      <c r="L383" s="392">
        <f t="shared" si="113"/>
        <v>1</v>
      </c>
      <c r="M383" s="392">
        <f t="shared" si="113"/>
        <v>3</v>
      </c>
      <c r="N383" s="392">
        <f t="shared" si="113"/>
        <v>1</v>
      </c>
      <c r="O383" s="392">
        <f t="shared" si="113"/>
        <v>0</v>
      </c>
      <c r="P383" s="392">
        <f t="shared" si="113"/>
        <v>2</v>
      </c>
      <c r="Q383" s="392">
        <f t="shared" si="113"/>
        <v>3</v>
      </c>
      <c r="R383" s="392">
        <f t="shared" si="113"/>
        <v>4</v>
      </c>
      <c r="S383" s="449">
        <f t="shared" si="113"/>
        <v>1</v>
      </c>
      <c r="T383" s="392">
        <f t="shared" si="113"/>
        <v>1</v>
      </c>
      <c r="U383" s="392">
        <f t="shared" si="113"/>
        <v>4</v>
      </c>
      <c r="V383" s="392">
        <f t="shared" si="113"/>
        <v>0</v>
      </c>
      <c r="W383" s="392">
        <f t="shared" si="113"/>
        <v>3</v>
      </c>
      <c r="X383" s="392">
        <f t="shared" si="113"/>
        <v>5</v>
      </c>
      <c r="Y383" s="392">
        <f t="shared" si="113"/>
        <v>3</v>
      </c>
      <c r="Z383" s="392">
        <f t="shared" si="113"/>
        <v>2</v>
      </c>
      <c r="AA383" s="392">
        <f t="shared" si="113"/>
        <v>1</v>
      </c>
      <c r="AB383" s="392">
        <f t="shared" si="113"/>
        <v>1</v>
      </c>
      <c r="AC383" s="392">
        <f t="shared" si="113"/>
        <v>4</v>
      </c>
      <c r="AD383" s="450">
        <f t="shared" si="113"/>
        <v>2</v>
      </c>
      <c r="AE383" s="449">
        <f t="shared" si="113"/>
        <v>2</v>
      </c>
      <c r="AF383" s="392">
        <f t="shared" si="113"/>
        <v>4</v>
      </c>
      <c r="AG383" s="392">
        <f t="shared" si="113"/>
        <v>3</v>
      </c>
      <c r="AH383" s="392">
        <f t="shared" si="113"/>
        <v>2</v>
      </c>
      <c r="AI383" s="392">
        <f t="shared" si="113"/>
        <v>5</v>
      </c>
      <c r="AJ383" s="392">
        <f t="shared" si="113"/>
        <v>6</v>
      </c>
      <c r="AK383" s="392">
        <f t="shared" si="113"/>
        <v>3</v>
      </c>
      <c r="AL383" s="392">
        <f t="shared" si="113"/>
        <v>2</v>
      </c>
      <c r="AM383" s="392">
        <f t="shared" si="113"/>
        <v>2</v>
      </c>
      <c r="AN383" s="392">
        <f t="shared" si="113"/>
        <v>7</v>
      </c>
      <c r="AO383" s="392">
        <f t="shared" si="113"/>
        <v>6</v>
      </c>
      <c r="AP383" s="392">
        <f t="shared" si="113"/>
        <v>5</v>
      </c>
      <c r="AQ383" s="429"/>
      <c r="AR383" s="221">
        <f t="shared" si="108"/>
        <v>27</v>
      </c>
      <c r="AS383" s="221">
        <f t="shared" si="109"/>
        <v>47</v>
      </c>
    </row>
    <row r="384" spans="1:45" ht="15.75" customHeight="1">
      <c r="A384" s="332"/>
      <c r="B384" s="448" t="s">
        <v>2354</v>
      </c>
      <c r="C384" s="332" t="s">
        <v>2065</v>
      </c>
      <c r="D384" s="399">
        <v>1</v>
      </c>
      <c r="E384" s="332" t="s">
        <v>204</v>
      </c>
      <c r="F384" s="427" t="s">
        <v>2347</v>
      </c>
      <c r="G384" s="392">
        <f t="shared" ref="G384:AP384" si="114">G44-G282-G316-G350</f>
        <v>1</v>
      </c>
      <c r="H384" s="392">
        <f t="shared" si="114"/>
        <v>0</v>
      </c>
      <c r="I384" s="392">
        <f t="shared" si="114"/>
        <v>1</v>
      </c>
      <c r="J384" s="392">
        <f t="shared" si="114"/>
        <v>2</v>
      </c>
      <c r="K384" s="392">
        <f t="shared" si="114"/>
        <v>0</v>
      </c>
      <c r="L384" s="392">
        <f t="shared" si="114"/>
        <v>0</v>
      </c>
      <c r="M384" s="392">
        <f t="shared" si="114"/>
        <v>0</v>
      </c>
      <c r="N384" s="392">
        <f t="shared" si="114"/>
        <v>1</v>
      </c>
      <c r="O384" s="392">
        <f t="shared" si="114"/>
        <v>0</v>
      </c>
      <c r="P384" s="392">
        <f t="shared" si="114"/>
        <v>1</v>
      </c>
      <c r="Q384" s="392">
        <f t="shared" si="114"/>
        <v>0</v>
      </c>
      <c r="R384" s="392">
        <f t="shared" si="114"/>
        <v>1</v>
      </c>
      <c r="S384" s="449">
        <f t="shared" si="114"/>
        <v>1</v>
      </c>
      <c r="T384" s="392">
        <f t="shared" si="114"/>
        <v>1</v>
      </c>
      <c r="U384" s="392">
        <f t="shared" si="114"/>
        <v>0</v>
      </c>
      <c r="V384" s="392">
        <f t="shared" si="114"/>
        <v>1</v>
      </c>
      <c r="W384" s="392">
        <f t="shared" si="114"/>
        <v>1</v>
      </c>
      <c r="X384" s="392">
        <f t="shared" si="114"/>
        <v>0</v>
      </c>
      <c r="Y384" s="392">
        <f t="shared" si="114"/>
        <v>0</v>
      </c>
      <c r="Z384" s="392">
        <f t="shared" si="114"/>
        <v>1</v>
      </c>
      <c r="AA384" s="392">
        <f t="shared" si="114"/>
        <v>1</v>
      </c>
      <c r="AB384" s="392">
        <f t="shared" si="114"/>
        <v>0</v>
      </c>
      <c r="AC384" s="392">
        <f t="shared" si="114"/>
        <v>1</v>
      </c>
      <c r="AD384" s="450">
        <f t="shared" si="114"/>
        <v>1</v>
      </c>
      <c r="AE384" s="449">
        <f t="shared" si="114"/>
        <v>0</v>
      </c>
      <c r="AF384" s="392">
        <f t="shared" si="114"/>
        <v>0</v>
      </c>
      <c r="AG384" s="392">
        <f t="shared" si="114"/>
        <v>0</v>
      </c>
      <c r="AH384" s="392">
        <f t="shared" si="114"/>
        <v>5</v>
      </c>
      <c r="AI384" s="392">
        <f t="shared" si="114"/>
        <v>0</v>
      </c>
      <c r="AJ384" s="392">
        <f t="shared" si="114"/>
        <v>1</v>
      </c>
      <c r="AK384" s="392">
        <f t="shared" si="114"/>
        <v>0</v>
      </c>
      <c r="AL384" s="392">
        <f t="shared" si="114"/>
        <v>1</v>
      </c>
      <c r="AM384" s="392">
        <f t="shared" si="114"/>
        <v>0</v>
      </c>
      <c r="AN384" s="392">
        <f t="shared" si="114"/>
        <v>1</v>
      </c>
      <c r="AO384" s="392">
        <f t="shared" si="114"/>
        <v>0</v>
      </c>
      <c r="AP384" s="392">
        <f t="shared" si="114"/>
        <v>0</v>
      </c>
      <c r="AQ384" s="429"/>
      <c r="AR384" s="221">
        <f t="shared" si="108"/>
        <v>8</v>
      </c>
      <c r="AS384" s="221">
        <f t="shared" si="109"/>
        <v>8</v>
      </c>
    </row>
    <row r="385" spans="1:45" ht="15.75" customHeight="1">
      <c r="A385" s="332"/>
      <c r="B385" s="448" t="s">
        <v>2354</v>
      </c>
      <c r="C385" s="332" t="s">
        <v>2066</v>
      </c>
      <c r="D385" s="399">
        <v>1</v>
      </c>
      <c r="E385" s="332" t="s">
        <v>204</v>
      </c>
      <c r="F385" s="427" t="s">
        <v>2348</v>
      </c>
      <c r="G385" s="392">
        <f t="shared" ref="G385:AP385" si="115">G45-G283-G317-G351</f>
        <v>0</v>
      </c>
      <c r="H385" s="392">
        <f t="shared" si="115"/>
        <v>2</v>
      </c>
      <c r="I385" s="392">
        <f t="shared" si="115"/>
        <v>2</v>
      </c>
      <c r="J385" s="392">
        <f t="shared" si="115"/>
        <v>2</v>
      </c>
      <c r="K385" s="392">
        <f t="shared" si="115"/>
        <v>4</v>
      </c>
      <c r="L385" s="392">
        <f t="shared" si="115"/>
        <v>3</v>
      </c>
      <c r="M385" s="392">
        <f t="shared" si="115"/>
        <v>1</v>
      </c>
      <c r="N385" s="392">
        <f t="shared" si="115"/>
        <v>1</v>
      </c>
      <c r="O385" s="392">
        <f t="shared" si="115"/>
        <v>1</v>
      </c>
      <c r="P385" s="392">
        <f t="shared" si="115"/>
        <v>4</v>
      </c>
      <c r="Q385" s="392">
        <f t="shared" si="115"/>
        <v>2</v>
      </c>
      <c r="R385" s="392">
        <f t="shared" si="115"/>
        <v>3</v>
      </c>
      <c r="S385" s="449">
        <f t="shared" si="115"/>
        <v>2</v>
      </c>
      <c r="T385" s="392">
        <f t="shared" si="115"/>
        <v>2</v>
      </c>
      <c r="U385" s="392">
        <f t="shared" si="115"/>
        <v>2</v>
      </c>
      <c r="V385" s="392">
        <f t="shared" si="115"/>
        <v>4</v>
      </c>
      <c r="W385" s="392">
        <f t="shared" si="115"/>
        <v>1</v>
      </c>
      <c r="X385" s="392">
        <f t="shared" si="115"/>
        <v>5</v>
      </c>
      <c r="Y385" s="392">
        <f t="shared" si="115"/>
        <v>4</v>
      </c>
      <c r="Z385" s="392">
        <f t="shared" si="115"/>
        <v>3</v>
      </c>
      <c r="AA385" s="392">
        <f t="shared" si="115"/>
        <v>4</v>
      </c>
      <c r="AB385" s="392">
        <f t="shared" si="115"/>
        <v>3</v>
      </c>
      <c r="AC385" s="392">
        <f t="shared" si="115"/>
        <v>3</v>
      </c>
      <c r="AD385" s="450">
        <f t="shared" si="115"/>
        <v>3</v>
      </c>
      <c r="AE385" s="449">
        <f t="shared" si="115"/>
        <v>1</v>
      </c>
      <c r="AF385" s="392">
        <f t="shared" si="115"/>
        <v>2</v>
      </c>
      <c r="AG385" s="392">
        <f t="shared" si="115"/>
        <v>1</v>
      </c>
      <c r="AH385" s="392">
        <f t="shared" si="115"/>
        <v>2</v>
      </c>
      <c r="AI385" s="392">
        <f t="shared" si="115"/>
        <v>5</v>
      </c>
      <c r="AJ385" s="392">
        <f t="shared" si="115"/>
        <v>4</v>
      </c>
      <c r="AK385" s="392">
        <f t="shared" si="115"/>
        <v>3</v>
      </c>
      <c r="AL385" s="392">
        <f t="shared" si="115"/>
        <v>6</v>
      </c>
      <c r="AM385" s="392">
        <f t="shared" si="115"/>
        <v>5</v>
      </c>
      <c r="AN385" s="392">
        <f t="shared" si="115"/>
        <v>3</v>
      </c>
      <c r="AO385" s="392">
        <f t="shared" si="115"/>
        <v>2</v>
      </c>
      <c r="AP385" s="392">
        <f t="shared" si="115"/>
        <v>4</v>
      </c>
      <c r="AQ385" s="429"/>
      <c r="AR385" s="221">
        <f t="shared" si="108"/>
        <v>36</v>
      </c>
      <c r="AS385" s="221">
        <f t="shared" si="109"/>
        <v>38</v>
      </c>
    </row>
    <row r="386" spans="1:45" ht="15.75" customHeight="1">
      <c r="A386" s="332"/>
      <c r="B386" s="448" t="s">
        <v>2354</v>
      </c>
      <c r="C386" s="332" t="s">
        <v>2067</v>
      </c>
      <c r="D386" s="399">
        <v>1</v>
      </c>
      <c r="E386" s="332" t="s">
        <v>204</v>
      </c>
      <c r="F386" s="427" t="s">
        <v>2348</v>
      </c>
      <c r="G386" s="392">
        <f t="shared" ref="G386:AP386" si="116">G46-G284-G318-G352</f>
        <v>0</v>
      </c>
      <c r="H386" s="392">
        <f t="shared" si="116"/>
        <v>2</v>
      </c>
      <c r="I386" s="392">
        <f t="shared" si="116"/>
        <v>0</v>
      </c>
      <c r="J386" s="392">
        <f t="shared" si="116"/>
        <v>2</v>
      </c>
      <c r="K386" s="392">
        <f t="shared" si="116"/>
        <v>1</v>
      </c>
      <c r="L386" s="392">
        <f t="shared" si="116"/>
        <v>1</v>
      </c>
      <c r="M386" s="392">
        <f t="shared" si="116"/>
        <v>0</v>
      </c>
      <c r="N386" s="392">
        <f t="shared" si="116"/>
        <v>0</v>
      </c>
      <c r="O386" s="392">
        <f t="shared" si="116"/>
        <v>0</v>
      </c>
      <c r="P386" s="392">
        <f t="shared" si="116"/>
        <v>2</v>
      </c>
      <c r="Q386" s="392">
        <f t="shared" si="116"/>
        <v>2</v>
      </c>
      <c r="R386" s="392">
        <f t="shared" si="116"/>
        <v>0</v>
      </c>
      <c r="S386" s="449">
        <f t="shared" si="116"/>
        <v>0</v>
      </c>
      <c r="T386" s="392">
        <f t="shared" si="116"/>
        <v>1</v>
      </c>
      <c r="U386" s="392">
        <f t="shared" si="116"/>
        <v>0</v>
      </c>
      <c r="V386" s="392">
        <f t="shared" si="116"/>
        <v>2</v>
      </c>
      <c r="W386" s="392">
        <f t="shared" si="116"/>
        <v>1</v>
      </c>
      <c r="X386" s="392">
        <f t="shared" si="116"/>
        <v>0</v>
      </c>
      <c r="Y386" s="392">
        <f t="shared" si="116"/>
        <v>0</v>
      </c>
      <c r="Z386" s="392">
        <f t="shared" si="116"/>
        <v>4</v>
      </c>
      <c r="AA386" s="392">
        <f t="shared" si="116"/>
        <v>0</v>
      </c>
      <c r="AB386" s="392">
        <f t="shared" si="116"/>
        <v>4</v>
      </c>
      <c r="AC386" s="392">
        <f t="shared" si="116"/>
        <v>2</v>
      </c>
      <c r="AD386" s="450">
        <f t="shared" si="116"/>
        <v>1</v>
      </c>
      <c r="AE386" s="449">
        <f t="shared" si="116"/>
        <v>1</v>
      </c>
      <c r="AF386" s="392">
        <f t="shared" si="116"/>
        <v>1</v>
      </c>
      <c r="AG386" s="392">
        <f t="shared" si="116"/>
        <v>0</v>
      </c>
      <c r="AH386" s="392">
        <f t="shared" si="116"/>
        <v>1</v>
      </c>
      <c r="AI386" s="392">
        <f t="shared" si="116"/>
        <v>0</v>
      </c>
      <c r="AJ386" s="392">
        <f t="shared" si="116"/>
        <v>0</v>
      </c>
      <c r="AK386" s="392">
        <f t="shared" si="116"/>
        <v>2</v>
      </c>
      <c r="AL386" s="392">
        <f t="shared" si="116"/>
        <v>0</v>
      </c>
      <c r="AM386" s="392">
        <f t="shared" si="116"/>
        <v>0</v>
      </c>
      <c r="AN386" s="392">
        <f t="shared" si="116"/>
        <v>3</v>
      </c>
      <c r="AO386" s="392">
        <f t="shared" si="116"/>
        <v>1</v>
      </c>
      <c r="AP386" s="392">
        <f t="shared" si="116"/>
        <v>0</v>
      </c>
      <c r="AQ386" s="429"/>
      <c r="AR386" s="221">
        <f t="shared" si="108"/>
        <v>15</v>
      </c>
      <c r="AS386" s="221">
        <f t="shared" si="109"/>
        <v>9</v>
      </c>
    </row>
    <row r="387" spans="1:45" ht="15.75" customHeight="1">
      <c r="A387" s="332"/>
      <c r="B387" s="448" t="s">
        <v>2354</v>
      </c>
      <c r="C387" s="332" t="s">
        <v>2068</v>
      </c>
      <c r="D387" s="399">
        <v>2</v>
      </c>
      <c r="E387" s="332" t="s">
        <v>204</v>
      </c>
      <c r="F387" s="427" t="s">
        <v>2348</v>
      </c>
      <c r="G387" s="392">
        <f t="shared" ref="G387:AP387" si="117">G47-G285-G319-G353</f>
        <v>1</v>
      </c>
      <c r="H387" s="392">
        <f t="shared" si="117"/>
        <v>0</v>
      </c>
      <c r="I387" s="392">
        <f t="shared" si="117"/>
        <v>4</v>
      </c>
      <c r="J387" s="392">
        <f t="shared" si="117"/>
        <v>1</v>
      </c>
      <c r="K387" s="392">
        <f t="shared" si="117"/>
        <v>3</v>
      </c>
      <c r="L387" s="392">
        <f t="shared" si="117"/>
        <v>1</v>
      </c>
      <c r="M387" s="392">
        <f t="shared" si="117"/>
        <v>2</v>
      </c>
      <c r="N387" s="392">
        <f t="shared" si="117"/>
        <v>0</v>
      </c>
      <c r="O387" s="392">
        <f t="shared" si="117"/>
        <v>0</v>
      </c>
      <c r="P387" s="392">
        <f t="shared" si="117"/>
        <v>0</v>
      </c>
      <c r="Q387" s="392">
        <f t="shared" si="117"/>
        <v>1</v>
      </c>
      <c r="R387" s="392">
        <f t="shared" si="117"/>
        <v>1</v>
      </c>
      <c r="S387" s="449">
        <f t="shared" si="117"/>
        <v>0</v>
      </c>
      <c r="T387" s="392">
        <f t="shared" si="117"/>
        <v>0</v>
      </c>
      <c r="U387" s="392">
        <f t="shared" si="117"/>
        <v>2</v>
      </c>
      <c r="V387" s="392">
        <f t="shared" si="117"/>
        <v>1</v>
      </c>
      <c r="W387" s="392">
        <f t="shared" si="117"/>
        <v>0</v>
      </c>
      <c r="X387" s="392">
        <f t="shared" si="117"/>
        <v>2</v>
      </c>
      <c r="Y387" s="392">
        <f t="shared" si="117"/>
        <v>1</v>
      </c>
      <c r="Z387" s="392">
        <f t="shared" si="117"/>
        <v>1</v>
      </c>
      <c r="AA387" s="392">
        <f t="shared" si="117"/>
        <v>0</v>
      </c>
      <c r="AB387" s="392">
        <f t="shared" si="117"/>
        <v>1</v>
      </c>
      <c r="AC387" s="392">
        <f t="shared" si="117"/>
        <v>0</v>
      </c>
      <c r="AD387" s="450">
        <f t="shared" si="117"/>
        <v>1</v>
      </c>
      <c r="AE387" s="449">
        <f t="shared" si="117"/>
        <v>2</v>
      </c>
      <c r="AF387" s="392">
        <f t="shared" si="117"/>
        <v>0</v>
      </c>
      <c r="AG387" s="392">
        <f t="shared" si="117"/>
        <v>0</v>
      </c>
      <c r="AH387" s="392">
        <f t="shared" si="117"/>
        <v>1</v>
      </c>
      <c r="AI387" s="392">
        <f t="shared" si="117"/>
        <v>1</v>
      </c>
      <c r="AJ387" s="392">
        <f t="shared" si="117"/>
        <v>1</v>
      </c>
      <c r="AK387" s="392">
        <f t="shared" si="117"/>
        <v>1</v>
      </c>
      <c r="AL387" s="392">
        <f t="shared" si="117"/>
        <v>1</v>
      </c>
      <c r="AM387" s="392">
        <f t="shared" si="117"/>
        <v>3</v>
      </c>
      <c r="AN387" s="392">
        <f t="shared" si="117"/>
        <v>3</v>
      </c>
      <c r="AO387" s="392">
        <f t="shared" si="117"/>
        <v>2</v>
      </c>
      <c r="AP387" s="392">
        <f t="shared" si="117"/>
        <v>2</v>
      </c>
      <c r="AQ387" s="429"/>
      <c r="AR387" s="221">
        <f t="shared" si="108"/>
        <v>9</v>
      </c>
      <c r="AS387" s="221">
        <f t="shared" si="109"/>
        <v>17</v>
      </c>
    </row>
    <row r="388" spans="1:45" ht="15.75" customHeight="1">
      <c r="A388" s="332"/>
      <c r="B388" s="448" t="s">
        <v>2354</v>
      </c>
      <c r="C388" s="332" t="s">
        <v>2069</v>
      </c>
      <c r="D388" s="399">
        <v>1</v>
      </c>
      <c r="E388" s="332" t="s">
        <v>204</v>
      </c>
      <c r="F388" s="427" t="s">
        <v>2348</v>
      </c>
      <c r="G388" s="392">
        <f t="shared" ref="G388:AP388" si="118">G48-G286-G320-G354</f>
        <v>0</v>
      </c>
      <c r="H388" s="392">
        <f t="shared" si="118"/>
        <v>0</v>
      </c>
      <c r="I388" s="392">
        <f t="shared" si="118"/>
        <v>3</v>
      </c>
      <c r="J388" s="392">
        <f t="shared" si="118"/>
        <v>0</v>
      </c>
      <c r="K388" s="392">
        <f t="shared" si="118"/>
        <v>0</v>
      </c>
      <c r="L388" s="392">
        <f t="shared" si="118"/>
        <v>2</v>
      </c>
      <c r="M388" s="392">
        <f t="shared" si="118"/>
        <v>1</v>
      </c>
      <c r="N388" s="392">
        <f t="shared" si="118"/>
        <v>2</v>
      </c>
      <c r="O388" s="392">
        <f t="shared" si="118"/>
        <v>1</v>
      </c>
      <c r="P388" s="392">
        <f t="shared" si="118"/>
        <v>4</v>
      </c>
      <c r="Q388" s="392">
        <f t="shared" si="118"/>
        <v>1</v>
      </c>
      <c r="R388" s="392">
        <f t="shared" si="118"/>
        <v>2</v>
      </c>
      <c r="S388" s="449">
        <f t="shared" si="118"/>
        <v>0</v>
      </c>
      <c r="T388" s="392">
        <f t="shared" si="118"/>
        <v>1</v>
      </c>
      <c r="U388" s="392">
        <f t="shared" si="118"/>
        <v>1</v>
      </c>
      <c r="V388" s="392">
        <f t="shared" si="118"/>
        <v>3</v>
      </c>
      <c r="W388" s="392">
        <f t="shared" si="118"/>
        <v>0</v>
      </c>
      <c r="X388" s="392">
        <f t="shared" si="118"/>
        <v>0</v>
      </c>
      <c r="Y388" s="392">
        <f t="shared" si="118"/>
        <v>2</v>
      </c>
      <c r="Z388" s="392">
        <f t="shared" si="118"/>
        <v>4</v>
      </c>
      <c r="AA388" s="392">
        <f t="shared" si="118"/>
        <v>2</v>
      </c>
      <c r="AB388" s="392">
        <f t="shared" si="118"/>
        <v>3</v>
      </c>
      <c r="AC388" s="392">
        <f t="shared" si="118"/>
        <v>4</v>
      </c>
      <c r="AD388" s="450">
        <f t="shared" si="118"/>
        <v>4</v>
      </c>
      <c r="AE388" s="449">
        <f t="shared" si="118"/>
        <v>1</v>
      </c>
      <c r="AF388" s="392">
        <f t="shared" si="118"/>
        <v>2</v>
      </c>
      <c r="AG388" s="392">
        <f t="shared" si="118"/>
        <v>0</v>
      </c>
      <c r="AH388" s="392">
        <f t="shared" si="118"/>
        <v>2</v>
      </c>
      <c r="AI388" s="392">
        <f t="shared" si="118"/>
        <v>2</v>
      </c>
      <c r="AJ388" s="392">
        <f t="shared" si="118"/>
        <v>1</v>
      </c>
      <c r="AK388" s="392">
        <f t="shared" si="118"/>
        <v>2</v>
      </c>
      <c r="AL388" s="392">
        <f t="shared" si="118"/>
        <v>1</v>
      </c>
      <c r="AM388" s="392">
        <f t="shared" si="118"/>
        <v>0</v>
      </c>
      <c r="AN388" s="392">
        <f t="shared" si="118"/>
        <v>1</v>
      </c>
      <c r="AO388" s="392">
        <f t="shared" si="118"/>
        <v>3</v>
      </c>
      <c r="AP388" s="392">
        <f t="shared" si="118"/>
        <v>1</v>
      </c>
      <c r="AQ388" s="429"/>
      <c r="AR388" s="221">
        <f t="shared" si="108"/>
        <v>24</v>
      </c>
      <c r="AS388" s="221">
        <f t="shared" si="109"/>
        <v>16</v>
      </c>
    </row>
    <row r="389" spans="1:45" ht="15.75" customHeight="1">
      <c r="A389" s="332"/>
      <c r="B389" s="448" t="s">
        <v>2354</v>
      </c>
      <c r="C389" s="332" t="s">
        <v>2070</v>
      </c>
      <c r="D389" s="399">
        <v>1</v>
      </c>
      <c r="E389" s="332" t="s">
        <v>204</v>
      </c>
      <c r="F389" s="427" t="s">
        <v>2348</v>
      </c>
      <c r="G389" s="392">
        <f t="shared" ref="G389:AP389" si="119">G49-G287-G321-G355</f>
        <v>0</v>
      </c>
      <c r="H389" s="392">
        <f t="shared" si="119"/>
        <v>1</v>
      </c>
      <c r="I389" s="392">
        <f t="shared" si="119"/>
        <v>2</v>
      </c>
      <c r="J389" s="392">
        <f t="shared" si="119"/>
        <v>4</v>
      </c>
      <c r="K389" s="392">
        <f t="shared" si="119"/>
        <v>2</v>
      </c>
      <c r="L389" s="392">
        <f t="shared" si="119"/>
        <v>1</v>
      </c>
      <c r="M389" s="392">
        <f t="shared" si="119"/>
        <v>3</v>
      </c>
      <c r="N389" s="392">
        <f t="shared" si="119"/>
        <v>1</v>
      </c>
      <c r="O389" s="392">
        <f t="shared" si="119"/>
        <v>4</v>
      </c>
      <c r="P389" s="392">
        <f t="shared" si="119"/>
        <v>4</v>
      </c>
      <c r="Q389" s="392">
        <f t="shared" si="119"/>
        <v>2</v>
      </c>
      <c r="R389" s="392">
        <f t="shared" si="119"/>
        <v>2</v>
      </c>
      <c r="S389" s="449">
        <f t="shared" si="119"/>
        <v>2</v>
      </c>
      <c r="T389" s="392">
        <f t="shared" si="119"/>
        <v>1</v>
      </c>
      <c r="U389" s="392">
        <f t="shared" si="119"/>
        <v>2</v>
      </c>
      <c r="V389" s="392">
        <f t="shared" si="119"/>
        <v>6</v>
      </c>
      <c r="W389" s="392">
        <f t="shared" si="119"/>
        <v>5</v>
      </c>
      <c r="X389" s="392">
        <f t="shared" si="119"/>
        <v>3</v>
      </c>
      <c r="Y389" s="392">
        <f t="shared" si="119"/>
        <v>1</v>
      </c>
      <c r="Z389" s="392">
        <f t="shared" si="119"/>
        <v>1</v>
      </c>
      <c r="AA389" s="392">
        <f t="shared" si="119"/>
        <v>1</v>
      </c>
      <c r="AB389" s="392">
        <f t="shared" si="119"/>
        <v>4</v>
      </c>
      <c r="AC389" s="392">
        <f t="shared" si="119"/>
        <v>5</v>
      </c>
      <c r="AD389" s="450">
        <f t="shared" si="119"/>
        <v>2</v>
      </c>
      <c r="AE389" s="449">
        <f t="shared" si="119"/>
        <v>1</v>
      </c>
      <c r="AF389" s="392">
        <f t="shared" si="119"/>
        <v>1</v>
      </c>
      <c r="AG389" s="392">
        <f t="shared" si="119"/>
        <v>2</v>
      </c>
      <c r="AH389" s="392">
        <f t="shared" si="119"/>
        <v>4</v>
      </c>
      <c r="AI389" s="392">
        <f t="shared" si="119"/>
        <v>1</v>
      </c>
      <c r="AJ389" s="392">
        <f t="shared" si="119"/>
        <v>0</v>
      </c>
      <c r="AK389" s="392">
        <f t="shared" si="119"/>
        <v>1</v>
      </c>
      <c r="AL389" s="392">
        <f t="shared" si="119"/>
        <v>3</v>
      </c>
      <c r="AM389" s="392">
        <f t="shared" si="119"/>
        <v>2</v>
      </c>
      <c r="AN389" s="392">
        <f t="shared" si="119"/>
        <v>5</v>
      </c>
      <c r="AO389" s="392">
        <f t="shared" si="119"/>
        <v>5</v>
      </c>
      <c r="AP389" s="392">
        <f t="shared" si="119"/>
        <v>2</v>
      </c>
      <c r="AQ389" s="429"/>
      <c r="AR389" s="221">
        <f t="shared" si="108"/>
        <v>33</v>
      </c>
      <c r="AS389" s="221">
        <f t="shared" si="109"/>
        <v>27</v>
      </c>
    </row>
    <row r="390" spans="1:45" ht="15.75" customHeight="1">
      <c r="A390" s="332"/>
      <c r="B390" s="448" t="s">
        <v>2354</v>
      </c>
      <c r="C390" s="332" t="s">
        <v>2071</v>
      </c>
      <c r="D390" s="399">
        <v>2</v>
      </c>
      <c r="E390" s="332" t="s">
        <v>204</v>
      </c>
      <c r="F390" s="427" t="s">
        <v>2348</v>
      </c>
      <c r="G390" s="392">
        <f t="shared" ref="G390:AP390" si="120">G50-G288-G322-G356</f>
        <v>0</v>
      </c>
      <c r="H390" s="392">
        <f t="shared" si="120"/>
        <v>0</v>
      </c>
      <c r="I390" s="392">
        <f t="shared" si="120"/>
        <v>0</v>
      </c>
      <c r="J390" s="392">
        <f t="shared" si="120"/>
        <v>0</v>
      </c>
      <c r="K390" s="392">
        <f t="shared" si="120"/>
        <v>0</v>
      </c>
      <c r="L390" s="392">
        <f t="shared" si="120"/>
        <v>0</v>
      </c>
      <c r="M390" s="392">
        <f t="shared" si="120"/>
        <v>0</v>
      </c>
      <c r="N390" s="392">
        <f t="shared" si="120"/>
        <v>0</v>
      </c>
      <c r="O390" s="392">
        <f t="shared" si="120"/>
        <v>0</v>
      </c>
      <c r="P390" s="392">
        <f t="shared" si="120"/>
        <v>0</v>
      </c>
      <c r="Q390" s="392">
        <f t="shared" si="120"/>
        <v>0</v>
      </c>
      <c r="R390" s="392">
        <f t="shared" si="120"/>
        <v>0</v>
      </c>
      <c r="S390" s="449">
        <f t="shared" si="120"/>
        <v>0</v>
      </c>
      <c r="T390" s="392">
        <f t="shared" si="120"/>
        <v>0</v>
      </c>
      <c r="U390" s="392">
        <f t="shared" si="120"/>
        <v>0</v>
      </c>
      <c r="V390" s="392">
        <f t="shared" si="120"/>
        <v>0</v>
      </c>
      <c r="W390" s="392">
        <f t="shared" si="120"/>
        <v>0</v>
      </c>
      <c r="X390" s="392">
        <f t="shared" si="120"/>
        <v>0</v>
      </c>
      <c r="Y390" s="392">
        <f t="shared" si="120"/>
        <v>0</v>
      </c>
      <c r="Z390" s="392">
        <f t="shared" si="120"/>
        <v>0</v>
      </c>
      <c r="AA390" s="392">
        <f t="shared" si="120"/>
        <v>0</v>
      </c>
      <c r="AB390" s="392">
        <f t="shared" si="120"/>
        <v>0</v>
      </c>
      <c r="AC390" s="392">
        <f t="shared" si="120"/>
        <v>0</v>
      </c>
      <c r="AD390" s="450">
        <f t="shared" si="120"/>
        <v>0</v>
      </c>
      <c r="AE390" s="449">
        <f t="shared" si="120"/>
        <v>0</v>
      </c>
      <c r="AF390" s="392">
        <f t="shared" si="120"/>
        <v>0</v>
      </c>
      <c r="AG390" s="392">
        <f t="shared" si="120"/>
        <v>0</v>
      </c>
      <c r="AH390" s="392">
        <f t="shared" si="120"/>
        <v>1</v>
      </c>
      <c r="AI390" s="392">
        <f t="shared" si="120"/>
        <v>0</v>
      </c>
      <c r="AJ390" s="392">
        <f t="shared" si="120"/>
        <v>0</v>
      </c>
      <c r="AK390" s="392">
        <f t="shared" si="120"/>
        <v>0</v>
      </c>
      <c r="AL390" s="392">
        <f t="shared" si="120"/>
        <v>0</v>
      </c>
      <c r="AM390" s="392">
        <f t="shared" si="120"/>
        <v>0</v>
      </c>
      <c r="AN390" s="392">
        <f t="shared" si="120"/>
        <v>1</v>
      </c>
      <c r="AO390" s="392">
        <f t="shared" si="120"/>
        <v>0</v>
      </c>
      <c r="AP390" s="392">
        <f t="shared" si="120"/>
        <v>0</v>
      </c>
      <c r="AQ390" s="429"/>
      <c r="AR390" s="221">
        <f t="shared" si="108"/>
        <v>0</v>
      </c>
      <c r="AS390" s="221">
        <f t="shared" si="109"/>
        <v>2</v>
      </c>
    </row>
    <row r="391" spans="1:45" ht="15.75" customHeight="1">
      <c r="A391" s="332"/>
      <c r="B391" s="448" t="s">
        <v>2354</v>
      </c>
      <c r="C391" s="332" t="s">
        <v>2072</v>
      </c>
      <c r="D391" s="399">
        <v>1</v>
      </c>
      <c r="E391" s="332" t="s">
        <v>204</v>
      </c>
      <c r="F391" s="427" t="s">
        <v>2348</v>
      </c>
      <c r="G391" s="392">
        <f t="shared" ref="G391:AP391" si="121">G51-G289-G323-G357</f>
        <v>1</v>
      </c>
      <c r="H391" s="392">
        <f t="shared" si="121"/>
        <v>1</v>
      </c>
      <c r="I391" s="392">
        <f t="shared" si="121"/>
        <v>0</v>
      </c>
      <c r="J391" s="392">
        <f t="shared" si="121"/>
        <v>1</v>
      </c>
      <c r="K391" s="392">
        <f t="shared" si="121"/>
        <v>4</v>
      </c>
      <c r="L391" s="392">
        <f t="shared" si="121"/>
        <v>4</v>
      </c>
      <c r="M391" s="392">
        <f t="shared" si="121"/>
        <v>4</v>
      </c>
      <c r="N391" s="392">
        <f t="shared" si="121"/>
        <v>0</v>
      </c>
      <c r="O391" s="392">
        <f t="shared" si="121"/>
        <v>1</v>
      </c>
      <c r="P391" s="392">
        <f t="shared" si="121"/>
        <v>0</v>
      </c>
      <c r="Q391" s="392">
        <f t="shared" si="121"/>
        <v>0</v>
      </c>
      <c r="R391" s="392">
        <f t="shared" si="121"/>
        <v>1</v>
      </c>
      <c r="S391" s="449">
        <f t="shared" si="121"/>
        <v>0</v>
      </c>
      <c r="T391" s="392">
        <f t="shared" si="121"/>
        <v>0</v>
      </c>
      <c r="U391" s="392">
        <f t="shared" si="121"/>
        <v>1</v>
      </c>
      <c r="V391" s="392">
        <f t="shared" si="121"/>
        <v>3</v>
      </c>
      <c r="W391" s="392">
        <f t="shared" si="121"/>
        <v>2</v>
      </c>
      <c r="X391" s="392">
        <f t="shared" si="121"/>
        <v>4</v>
      </c>
      <c r="Y391" s="392">
        <f t="shared" si="121"/>
        <v>1</v>
      </c>
      <c r="Z391" s="392">
        <f t="shared" si="121"/>
        <v>0</v>
      </c>
      <c r="AA391" s="392">
        <f t="shared" si="121"/>
        <v>2</v>
      </c>
      <c r="AB391" s="392">
        <f t="shared" si="121"/>
        <v>7</v>
      </c>
      <c r="AC391" s="392">
        <f t="shared" si="121"/>
        <v>3</v>
      </c>
      <c r="AD391" s="450">
        <f t="shared" si="121"/>
        <v>3</v>
      </c>
      <c r="AE391" s="449">
        <f t="shared" si="121"/>
        <v>0</v>
      </c>
      <c r="AF391" s="392">
        <f t="shared" si="121"/>
        <v>4</v>
      </c>
      <c r="AG391" s="392">
        <f t="shared" si="121"/>
        <v>1</v>
      </c>
      <c r="AH391" s="392">
        <f t="shared" si="121"/>
        <v>3</v>
      </c>
      <c r="AI391" s="392">
        <f t="shared" si="121"/>
        <v>3</v>
      </c>
      <c r="AJ391" s="392">
        <f t="shared" si="121"/>
        <v>1</v>
      </c>
      <c r="AK391" s="392">
        <f t="shared" si="121"/>
        <v>3</v>
      </c>
      <c r="AL391" s="392">
        <f t="shared" si="121"/>
        <v>1</v>
      </c>
      <c r="AM391" s="392">
        <f t="shared" si="121"/>
        <v>2</v>
      </c>
      <c r="AN391" s="392">
        <f t="shared" si="121"/>
        <v>6</v>
      </c>
      <c r="AO391" s="392">
        <f t="shared" si="121"/>
        <v>3</v>
      </c>
      <c r="AP391" s="392">
        <f t="shared" si="121"/>
        <v>0</v>
      </c>
      <c r="AQ391" s="429"/>
      <c r="AR391" s="221">
        <f t="shared" si="108"/>
        <v>26</v>
      </c>
      <c r="AS391" s="221">
        <f t="shared" si="109"/>
        <v>27</v>
      </c>
    </row>
    <row r="392" spans="1:45" ht="15.75" customHeight="1">
      <c r="A392" s="332"/>
      <c r="B392" s="448" t="s">
        <v>2354</v>
      </c>
      <c r="C392" s="332" t="s">
        <v>2073</v>
      </c>
      <c r="D392" s="399">
        <v>1</v>
      </c>
      <c r="E392" s="332" t="s">
        <v>204</v>
      </c>
      <c r="F392" s="427" t="s">
        <v>2349</v>
      </c>
      <c r="G392" s="392">
        <f t="shared" ref="G392:AP392" si="122">G52-G290-G324-G358</f>
        <v>1</v>
      </c>
      <c r="H392" s="392">
        <f t="shared" si="122"/>
        <v>2</v>
      </c>
      <c r="I392" s="392">
        <f t="shared" si="122"/>
        <v>4</v>
      </c>
      <c r="J392" s="392">
        <f t="shared" si="122"/>
        <v>4</v>
      </c>
      <c r="K392" s="392">
        <f t="shared" si="122"/>
        <v>4</v>
      </c>
      <c r="L392" s="392">
        <f t="shared" si="122"/>
        <v>4</v>
      </c>
      <c r="M392" s="392">
        <f t="shared" si="122"/>
        <v>1</v>
      </c>
      <c r="N392" s="392">
        <f t="shared" si="122"/>
        <v>1</v>
      </c>
      <c r="O392" s="392">
        <f t="shared" si="122"/>
        <v>1</v>
      </c>
      <c r="P392" s="392">
        <f t="shared" si="122"/>
        <v>2</v>
      </c>
      <c r="Q392" s="392">
        <f t="shared" si="122"/>
        <v>2</v>
      </c>
      <c r="R392" s="392">
        <f t="shared" si="122"/>
        <v>1</v>
      </c>
      <c r="S392" s="449">
        <f t="shared" si="122"/>
        <v>1</v>
      </c>
      <c r="T392" s="392">
        <f t="shared" si="122"/>
        <v>1</v>
      </c>
      <c r="U392" s="392">
        <f t="shared" si="122"/>
        <v>1</v>
      </c>
      <c r="V392" s="392">
        <f t="shared" si="122"/>
        <v>2</v>
      </c>
      <c r="W392" s="392">
        <f t="shared" si="122"/>
        <v>3</v>
      </c>
      <c r="X392" s="392">
        <f t="shared" si="122"/>
        <v>1</v>
      </c>
      <c r="Y392" s="392">
        <f t="shared" si="122"/>
        <v>0</v>
      </c>
      <c r="Z392" s="392">
        <f t="shared" si="122"/>
        <v>2</v>
      </c>
      <c r="AA392" s="392">
        <f t="shared" si="122"/>
        <v>1</v>
      </c>
      <c r="AB392" s="392">
        <f t="shared" si="122"/>
        <v>1</v>
      </c>
      <c r="AC392" s="392">
        <f t="shared" si="122"/>
        <v>3</v>
      </c>
      <c r="AD392" s="450">
        <f t="shared" si="122"/>
        <v>2</v>
      </c>
      <c r="AE392" s="449">
        <f t="shared" si="122"/>
        <v>2</v>
      </c>
      <c r="AF392" s="392">
        <f t="shared" si="122"/>
        <v>1</v>
      </c>
      <c r="AG392" s="392">
        <f t="shared" si="122"/>
        <v>2</v>
      </c>
      <c r="AH392" s="392">
        <f t="shared" si="122"/>
        <v>3</v>
      </c>
      <c r="AI392" s="392">
        <f t="shared" si="122"/>
        <v>3</v>
      </c>
      <c r="AJ392" s="392">
        <f t="shared" si="122"/>
        <v>1</v>
      </c>
      <c r="AK392" s="392">
        <f t="shared" si="122"/>
        <v>1</v>
      </c>
      <c r="AL392" s="392">
        <f t="shared" si="122"/>
        <v>1</v>
      </c>
      <c r="AM392" s="392">
        <f t="shared" si="122"/>
        <v>1</v>
      </c>
      <c r="AN392" s="392">
        <f t="shared" si="122"/>
        <v>2</v>
      </c>
      <c r="AO392" s="392">
        <f t="shared" si="122"/>
        <v>3</v>
      </c>
      <c r="AP392" s="392">
        <f t="shared" si="122"/>
        <v>1</v>
      </c>
      <c r="AQ392" s="429"/>
      <c r="AR392" s="221">
        <f t="shared" si="108"/>
        <v>18</v>
      </c>
      <c r="AS392" s="221">
        <f t="shared" si="109"/>
        <v>21</v>
      </c>
    </row>
    <row r="393" spans="1:45" ht="15.75" customHeight="1">
      <c r="A393" s="332"/>
      <c r="B393" s="448" t="s">
        <v>2354</v>
      </c>
      <c r="C393" s="332" t="s">
        <v>2074</v>
      </c>
      <c r="D393" s="399">
        <v>1</v>
      </c>
      <c r="E393" s="332" t="s">
        <v>204</v>
      </c>
      <c r="F393" s="427" t="s">
        <v>2349</v>
      </c>
      <c r="G393" s="392">
        <f t="shared" ref="G393:AP393" si="123">G53-G291-G325-G359</f>
        <v>0</v>
      </c>
      <c r="H393" s="392">
        <f t="shared" si="123"/>
        <v>3</v>
      </c>
      <c r="I393" s="392">
        <f t="shared" si="123"/>
        <v>1</v>
      </c>
      <c r="J393" s="392">
        <f t="shared" si="123"/>
        <v>1</v>
      </c>
      <c r="K393" s="392">
        <f t="shared" si="123"/>
        <v>3</v>
      </c>
      <c r="L393" s="392">
        <f t="shared" si="123"/>
        <v>3</v>
      </c>
      <c r="M393" s="392">
        <f t="shared" si="123"/>
        <v>4</v>
      </c>
      <c r="N393" s="392">
        <f t="shared" si="123"/>
        <v>2</v>
      </c>
      <c r="O393" s="392">
        <f t="shared" si="123"/>
        <v>2</v>
      </c>
      <c r="P393" s="392">
        <f t="shared" si="123"/>
        <v>3</v>
      </c>
      <c r="Q393" s="392">
        <f t="shared" si="123"/>
        <v>3</v>
      </c>
      <c r="R393" s="392">
        <f t="shared" si="123"/>
        <v>1</v>
      </c>
      <c r="S393" s="449">
        <f t="shared" si="123"/>
        <v>0</v>
      </c>
      <c r="T393" s="392">
        <f t="shared" si="123"/>
        <v>1</v>
      </c>
      <c r="U393" s="392">
        <f t="shared" si="123"/>
        <v>1</v>
      </c>
      <c r="V393" s="392">
        <f t="shared" si="123"/>
        <v>0</v>
      </c>
      <c r="W393" s="392">
        <f t="shared" si="123"/>
        <v>2</v>
      </c>
      <c r="X393" s="392">
        <f t="shared" si="123"/>
        <v>0</v>
      </c>
      <c r="Y393" s="392">
        <f t="shared" si="123"/>
        <v>2</v>
      </c>
      <c r="Z393" s="392">
        <f t="shared" si="123"/>
        <v>0</v>
      </c>
      <c r="AA393" s="392">
        <f t="shared" si="123"/>
        <v>3</v>
      </c>
      <c r="AB393" s="392">
        <f t="shared" si="123"/>
        <v>1</v>
      </c>
      <c r="AC393" s="392">
        <f t="shared" si="123"/>
        <v>2</v>
      </c>
      <c r="AD393" s="450">
        <f t="shared" si="123"/>
        <v>2</v>
      </c>
      <c r="AE393" s="449">
        <f t="shared" si="123"/>
        <v>2</v>
      </c>
      <c r="AF393" s="392">
        <f t="shared" si="123"/>
        <v>1</v>
      </c>
      <c r="AG393" s="392">
        <f t="shared" si="123"/>
        <v>2</v>
      </c>
      <c r="AH393" s="392">
        <f t="shared" si="123"/>
        <v>1</v>
      </c>
      <c r="AI393" s="392">
        <f t="shared" si="123"/>
        <v>0</v>
      </c>
      <c r="AJ393" s="392">
        <f t="shared" si="123"/>
        <v>2</v>
      </c>
      <c r="AK393" s="392">
        <f t="shared" si="123"/>
        <v>1</v>
      </c>
      <c r="AL393" s="392">
        <f t="shared" si="123"/>
        <v>4</v>
      </c>
      <c r="AM393" s="392">
        <f t="shared" si="123"/>
        <v>1</v>
      </c>
      <c r="AN393" s="392">
        <f t="shared" si="123"/>
        <v>3</v>
      </c>
      <c r="AO393" s="392">
        <f t="shared" si="123"/>
        <v>1</v>
      </c>
      <c r="AP393" s="392">
        <f t="shared" si="123"/>
        <v>0</v>
      </c>
      <c r="AQ393" s="429"/>
      <c r="AR393" s="221">
        <f t="shared" si="108"/>
        <v>14</v>
      </c>
      <c r="AS393" s="221">
        <f t="shared" si="109"/>
        <v>18</v>
      </c>
    </row>
    <row r="394" spans="1:45" ht="15.75" customHeight="1">
      <c r="A394" s="332"/>
      <c r="B394" s="448" t="s">
        <v>2354</v>
      </c>
      <c r="C394" s="332" t="s">
        <v>2075</v>
      </c>
      <c r="D394" s="399">
        <v>1</v>
      </c>
      <c r="E394" s="332" t="s">
        <v>204</v>
      </c>
      <c r="F394" s="427" t="s">
        <v>2349</v>
      </c>
      <c r="G394" s="392">
        <f t="shared" ref="G394:AP394" si="124">G54-G292-G326-G360</f>
        <v>0</v>
      </c>
      <c r="H394" s="392">
        <f t="shared" si="124"/>
        <v>0</v>
      </c>
      <c r="I394" s="392">
        <f t="shared" si="124"/>
        <v>2</v>
      </c>
      <c r="J394" s="392">
        <f t="shared" si="124"/>
        <v>2</v>
      </c>
      <c r="K394" s="392">
        <f t="shared" si="124"/>
        <v>0</v>
      </c>
      <c r="L394" s="392">
        <f t="shared" si="124"/>
        <v>2</v>
      </c>
      <c r="M394" s="392">
        <f t="shared" si="124"/>
        <v>1</v>
      </c>
      <c r="N394" s="392">
        <f t="shared" si="124"/>
        <v>2</v>
      </c>
      <c r="O394" s="392">
        <f t="shared" si="124"/>
        <v>2</v>
      </c>
      <c r="P394" s="392">
        <f t="shared" si="124"/>
        <v>1</v>
      </c>
      <c r="Q394" s="392">
        <f t="shared" si="124"/>
        <v>0</v>
      </c>
      <c r="R394" s="392">
        <f t="shared" si="124"/>
        <v>0</v>
      </c>
      <c r="S394" s="449">
        <f t="shared" si="124"/>
        <v>3</v>
      </c>
      <c r="T394" s="392">
        <f t="shared" si="124"/>
        <v>2</v>
      </c>
      <c r="U394" s="392">
        <f t="shared" si="124"/>
        <v>1</v>
      </c>
      <c r="V394" s="392">
        <f t="shared" si="124"/>
        <v>3</v>
      </c>
      <c r="W394" s="392">
        <f t="shared" si="124"/>
        <v>4</v>
      </c>
      <c r="X394" s="392">
        <f t="shared" si="124"/>
        <v>2</v>
      </c>
      <c r="Y394" s="392">
        <f t="shared" si="124"/>
        <v>0</v>
      </c>
      <c r="Z394" s="392">
        <f t="shared" si="124"/>
        <v>1</v>
      </c>
      <c r="AA394" s="392">
        <f t="shared" si="124"/>
        <v>0</v>
      </c>
      <c r="AB394" s="392">
        <f t="shared" si="124"/>
        <v>3</v>
      </c>
      <c r="AC394" s="392">
        <f t="shared" si="124"/>
        <v>5</v>
      </c>
      <c r="AD394" s="450">
        <f t="shared" si="124"/>
        <v>5</v>
      </c>
      <c r="AE394" s="449">
        <f t="shared" si="124"/>
        <v>0</v>
      </c>
      <c r="AF394" s="392">
        <f t="shared" si="124"/>
        <v>4</v>
      </c>
      <c r="AG394" s="392">
        <f t="shared" si="124"/>
        <v>1</v>
      </c>
      <c r="AH394" s="392">
        <f t="shared" si="124"/>
        <v>2</v>
      </c>
      <c r="AI394" s="392">
        <f t="shared" si="124"/>
        <v>3</v>
      </c>
      <c r="AJ394" s="392">
        <f t="shared" si="124"/>
        <v>2</v>
      </c>
      <c r="AK394" s="392">
        <f t="shared" si="124"/>
        <v>4</v>
      </c>
      <c r="AL394" s="392">
        <f t="shared" si="124"/>
        <v>3</v>
      </c>
      <c r="AM394" s="392">
        <f t="shared" si="124"/>
        <v>2</v>
      </c>
      <c r="AN394" s="392">
        <f t="shared" si="124"/>
        <v>6</v>
      </c>
      <c r="AO394" s="392">
        <f t="shared" si="124"/>
        <v>0</v>
      </c>
      <c r="AP394" s="392">
        <f t="shared" si="124"/>
        <v>2</v>
      </c>
      <c r="AQ394" s="429"/>
      <c r="AR394" s="221">
        <f t="shared" si="108"/>
        <v>29</v>
      </c>
      <c r="AS394" s="221">
        <f t="shared" si="109"/>
        <v>29</v>
      </c>
    </row>
    <row r="395" spans="1:45" ht="15.75" customHeight="1">
      <c r="A395" s="332"/>
      <c r="B395" s="448" t="s">
        <v>2354</v>
      </c>
      <c r="C395" s="332" t="s">
        <v>2076</v>
      </c>
      <c r="D395" s="399">
        <v>1</v>
      </c>
      <c r="E395" s="332" t="s">
        <v>204</v>
      </c>
      <c r="F395" s="427" t="s">
        <v>2349</v>
      </c>
      <c r="G395" s="392">
        <f t="shared" ref="G395:AP395" si="125">G55-G293-G327-G361</f>
        <v>0</v>
      </c>
      <c r="H395" s="392">
        <f t="shared" si="125"/>
        <v>0</v>
      </c>
      <c r="I395" s="392">
        <f t="shared" si="125"/>
        <v>0</v>
      </c>
      <c r="J395" s="392">
        <f t="shared" si="125"/>
        <v>0</v>
      </c>
      <c r="K395" s="392">
        <f t="shared" si="125"/>
        <v>0</v>
      </c>
      <c r="L395" s="392">
        <f t="shared" si="125"/>
        <v>0</v>
      </c>
      <c r="M395" s="392">
        <f t="shared" si="125"/>
        <v>0</v>
      </c>
      <c r="N395" s="392">
        <f t="shared" si="125"/>
        <v>0</v>
      </c>
      <c r="O395" s="392">
        <f t="shared" si="125"/>
        <v>0</v>
      </c>
      <c r="P395" s="392">
        <f t="shared" si="125"/>
        <v>0</v>
      </c>
      <c r="Q395" s="392">
        <f t="shared" si="125"/>
        <v>0</v>
      </c>
      <c r="R395" s="392">
        <f t="shared" si="125"/>
        <v>2</v>
      </c>
      <c r="S395" s="449">
        <f t="shared" si="125"/>
        <v>0</v>
      </c>
      <c r="T395" s="392">
        <f t="shared" si="125"/>
        <v>1</v>
      </c>
      <c r="U395" s="392">
        <f t="shared" si="125"/>
        <v>0</v>
      </c>
      <c r="V395" s="392">
        <f t="shared" si="125"/>
        <v>0</v>
      </c>
      <c r="W395" s="392">
        <f t="shared" si="125"/>
        <v>0</v>
      </c>
      <c r="X395" s="392">
        <f t="shared" si="125"/>
        <v>3</v>
      </c>
      <c r="Y395" s="392">
        <f t="shared" si="125"/>
        <v>2</v>
      </c>
      <c r="Z395" s="392">
        <f t="shared" si="125"/>
        <v>1</v>
      </c>
      <c r="AA395" s="392">
        <f t="shared" si="125"/>
        <v>1</v>
      </c>
      <c r="AB395" s="392">
        <f t="shared" si="125"/>
        <v>1</v>
      </c>
      <c r="AC395" s="392">
        <f t="shared" si="125"/>
        <v>1</v>
      </c>
      <c r="AD395" s="450">
        <f t="shared" si="125"/>
        <v>1</v>
      </c>
      <c r="AE395" s="449">
        <f t="shared" si="125"/>
        <v>1</v>
      </c>
      <c r="AF395" s="392">
        <f t="shared" si="125"/>
        <v>2</v>
      </c>
      <c r="AG395" s="392">
        <f t="shared" si="125"/>
        <v>0</v>
      </c>
      <c r="AH395" s="392">
        <f t="shared" si="125"/>
        <v>1</v>
      </c>
      <c r="AI395" s="392">
        <f t="shared" si="125"/>
        <v>1</v>
      </c>
      <c r="AJ395" s="392">
        <f t="shared" si="125"/>
        <v>0</v>
      </c>
      <c r="AK395" s="392">
        <f t="shared" si="125"/>
        <v>1</v>
      </c>
      <c r="AL395" s="392">
        <f t="shared" si="125"/>
        <v>1</v>
      </c>
      <c r="AM395" s="392">
        <f t="shared" si="125"/>
        <v>1</v>
      </c>
      <c r="AN395" s="392">
        <f t="shared" si="125"/>
        <v>1</v>
      </c>
      <c r="AO395" s="392">
        <f t="shared" si="125"/>
        <v>2</v>
      </c>
      <c r="AP395" s="392">
        <f t="shared" si="125"/>
        <v>3</v>
      </c>
      <c r="AQ395" s="429"/>
      <c r="AR395" s="221">
        <f t="shared" si="108"/>
        <v>11</v>
      </c>
      <c r="AS395" s="221">
        <f t="shared" si="109"/>
        <v>14</v>
      </c>
    </row>
    <row r="396" spans="1:45" ht="15.75" customHeight="1">
      <c r="A396" s="332"/>
      <c r="B396" s="448" t="s">
        <v>2354</v>
      </c>
      <c r="C396" s="332" t="s">
        <v>2077</v>
      </c>
      <c r="D396" s="399">
        <v>1</v>
      </c>
      <c r="E396" s="332" t="s">
        <v>204</v>
      </c>
      <c r="F396" s="427" t="s">
        <v>2349</v>
      </c>
      <c r="G396" s="392">
        <f t="shared" ref="G396:AP396" si="126">G56-G294-G328-G362</f>
        <v>1</v>
      </c>
      <c r="H396" s="392">
        <f t="shared" si="126"/>
        <v>1</v>
      </c>
      <c r="I396" s="392">
        <f t="shared" si="126"/>
        <v>2</v>
      </c>
      <c r="J396" s="392">
        <f t="shared" si="126"/>
        <v>2</v>
      </c>
      <c r="K396" s="392">
        <f t="shared" si="126"/>
        <v>0</v>
      </c>
      <c r="L396" s="392">
        <f t="shared" si="126"/>
        <v>2</v>
      </c>
      <c r="M396" s="392">
        <f t="shared" si="126"/>
        <v>1</v>
      </c>
      <c r="N396" s="392">
        <f t="shared" si="126"/>
        <v>1</v>
      </c>
      <c r="O396" s="392">
        <f t="shared" si="126"/>
        <v>1</v>
      </c>
      <c r="P396" s="392">
        <f t="shared" si="126"/>
        <v>4</v>
      </c>
      <c r="Q396" s="392">
        <f t="shared" si="126"/>
        <v>0</v>
      </c>
      <c r="R396" s="392">
        <f t="shared" si="126"/>
        <v>0</v>
      </c>
      <c r="S396" s="449">
        <f t="shared" si="126"/>
        <v>5</v>
      </c>
      <c r="T396" s="392">
        <f t="shared" si="126"/>
        <v>2</v>
      </c>
      <c r="U396" s="392">
        <f t="shared" si="126"/>
        <v>0</v>
      </c>
      <c r="V396" s="392">
        <f t="shared" si="126"/>
        <v>3</v>
      </c>
      <c r="W396" s="392">
        <f t="shared" si="126"/>
        <v>0</v>
      </c>
      <c r="X396" s="392">
        <f t="shared" si="126"/>
        <v>0</v>
      </c>
      <c r="Y396" s="392">
        <f t="shared" si="126"/>
        <v>2</v>
      </c>
      <c r="Z396" s="392">
        <f t="shared" si="126"/>
        <v>1</v>
      </c>
      <c r="AA396" s="392">
        <f t="shared" si="126"/>
        <v>1</v>
      </c>
      <c r="AB396" s="392">
        <f t="shared" si="126"/>
        <v>1</v>
      </c>
      <c r="AC396" s="392">
        <f t="shared" si="126"/>
        <v>0</v>
      </c>
      <c r="AD396" s="450">
        <f t="shared" si="126"/>
        <v>2</v>
      </c>
      <c r="AE396" s="449">
        <f t="shared" si="126"/>
        <v>1</v>
      </c>
      <c r="AF396" s="392">
        <f t="shared" si="126"/>
        <v>0</v>
      </c>
      <c r="AG396" s="392">
        <f t="shared" si="126"/>
        <v>2</v>
      </c>
      <c r="AH396" s="392">
        <f t="shared" si="126"/>
        <v>1</v>
      </c>
      <c r="AI396" s="392">
        <f t="shared" si="126"/>
        <v>1</v>
      </c>
      <c r="AJ396" s="392">
        <f t="shared" si="126"/>
        <v>1</v>
      </c>
      <c r="AK396" s="392">
        <f t="shared" si="126"/>
        <v>0</v>
      </c>
      <c r="AL396" s="392">
        <f t="shared" si="126"/>
        <v>0</v>
      </c>
      <c r="AM396" s="392">
        <f t="shared" si="126"/>
        <v>0</v>
      </c>
      <c r="AN396" s="392">
        <f t="shared" si="126"/>
        <v>1</v>
      </c>
      <c r="AO396" s="392">
        <f t="shared" si="126"/>
        <v>1</v>
      </c>
      <c r="AP396" s="392">
        <f t="shared" si="126"/>
        <v>2</v>
      </c>
      <c r="AQ396" s="429"/>
      <c r="AR396" s="221">
        <f t="shared" si="108"/>
        <v>17</v>
      </c>
      <c r="AS396" s="221">
        <f t="shared" si="109"/>
        <v>10</v>
      </c>
    </row>
    <row r="397" spans="1:45" ht="15.75" customHeight="1">
      <c r="A397" s="332"/>
      <c r="B397" s="448" t="s">
        <v>2354</v>
      </c>
      <c r="C397" s="332" t="s">
        <v>2078</v>
      </c>
      <c r="D397" s="399">
        <v>2</v>
      </c>
      <c r="E397" s="332" t="s">
        <v>2058</v>
      </c>
      <c r="F397" s="427" t="s">
        <v>2058</v>
      </c>
      <c r="G397" s="392">
        <f t="shared" ref="G397:AP397" si="127">G57-G295-G329-G363</f>
        <v>0</v>
      </c>
      <c r="H397" s="392">
        <f t="shared" si="127"/>
        <v>1</v>
      </c>
      <c r="I397" s="392">
        <f t="shared" si="127"/>
        <v>6</v>
      </c>
      <c r="J397" s="392">
        <f t="shared" si="127"/>
        <v>4</v>
      </c>
      <c r="K397" s="392">
        <f t="shared" si="127"/>
        <v>3</v>
      </c>
      <c r="L397" s="392">
        <f t="shared" si="127"/>
        <v>3</v>
      </c>
      <c r="M397" s="392">
        <f t="shared" si="127"/>
        <v>1</v>
      </c>
      <c r="N397" s="392">
        <f t="shared" si="127"/>
        <v>0</v>
      </c>
      <c r="O397" s="392">
        <f t="shared" si="127"/>
        <v>5</v>
      </c>
      <c r="P397" s="392">
        <f t="shared" si="127"/>
        <v>11</v>
      </c>
      <c r="Q397" s="392">
        <f t="shared" si="127"/>
        <v>7</v>
      </c>
      <c r="R397" s="392">
        <f t="shared" si="127"/>
        <v>4</v>
      </c>
      <c r="S397" s="449">
        <f t="shared" si="127"/>
        <v>1</v>
      </c>
      <c r="T397" s="392">
        <f t="shared" si="127"/>
        <v>5</v>
      </c>
      <c r="U397" s="392">
        <f t="shared" si="127"/>
        <v>7</v>
      </c>
      <c r="V397" s="392">
        <f t="shared" si="127"/>
        <v>9</v>
      </c>
      <c r="W397" s="392">
        <f t="shared" si="127"/>
        <v>2</v>
      </c>
      <c r="X397" s="392">
        <f t="shared" si="127"/>
        <v>4</v>
      </c>
      <c r="Y397" s="392">
        <f t="shared" si="127"/>
        <v>4</v>
      </c>
      <c r="Z397" s="392">
        <f t="shared" si="127"/>
        <v>2</v>
      </c>
      <c r="AA397" s="392">
        <f t="shared" si="127"/>
        <v>0</v>
      </c>
      <c r="AB397" s="392">
        <f t="shared" si="127"/>
        <v>12</v>
      </c>
      <c r="AC397" s="392">
        <f t="shared" si="127"/>
        <v>7</v>
      </c>
      <c r="AD397" s="450">
        <f t="shared" si="127"/>
        <v>6</v>
      </c>
      <c r="AE397" s="449">
        <f t="shared" si="127"/>
        <v>3</v>
      </c>
      <c r="AF397" s="392">
        <f t="shared" si="127"/>
        <v>1</v>
      </c>
      <c r="AG397" s="392">
        <f t="shared" si="127"/>
        <v>1</v>
      </c>
      <c r="AH397" s="392">
        <f t="shared" si="127"/>
        <v>4</v>
      </c>
      <c r="AI397" s="392">
        <f t="shared" si="127"/>
        <v>3</v>
      </c>
      <c r="AJ397" s="392">
        <f t="shared" si="127"/>
        <v>3</v>
      </c>
      <c r="AK397" s="392">
        <f t="shared" si="127"/>
        <v>2</v>
      </c>
      <c r="AL397" s="392">
        <f t="shared" si="127"/>
        <v>0</v>
      </c>
      <c r="AM397" s="392">
        <f t="shared" si="127"/>
        <v>3</v>
      </c>
      <c r="AN397" s="392">
        <f t="shared" si="127"/>
        <v>3</v>
      </c>
      <c r="AO397" s="392">
        <f t="shared" si="127"/>
        <v>8</v>
      </c>
      <c r="AP397" s="392">
        <f t="shared" si="127"/>
        <v>3</v>
      </c>
      <c r="AQ397" s="429"/>
      <c r="AR397" s="221">
        <f t="shared" si="108"/>
        <v>59</v>
      </c>
      <c r="AS397" s="221">
        <f t="shared" si="109"/>
        <v>34</v>
      </c>
    </row>
    <row r="398" spans="1:45" ht="15.75" customHeight="1">
      <c r="A398" s="332"/>
      <c r="B398" s="448" t="s">
        <v>2354</v>
      </c>
      <c r="C398" s="332" t="s">
        <v>2169</v>
      </c>
      <c r="D398" s="399">
        <v>1</v>
      </c>
      <c r="E398" s="332" t="s">
        <v>2058</v>
      </c>
      <c r="F398" s="427" t="s">
        <v>2058</v>
      </c>
      <c r="G398" s="392">
        <f t="shared" ref="G398:AP398" si="128">G58-G296-G330-G364</f>
        <v>1</v>
      </c>
      <c r="H398" s="392">
        <f t="shared" si="128"/>
        <v>2</v>
      </c>
      <c r="I398" s="392">
        <f t="shared" si="128"/>
        <v>5</v>
      </c>
      <c r="J398" s="392">
        <f t="shared" si="128"/>
        <v>2</v>
      </c>
      <c r="K398" s="392">
        <f t="shared" si="128"/>
        <v>6</v>
      </c>
      <c r="L398" s="392">
        <f t="shared" si="128"/>
        <v>2</v>
      </c>
      <c r="M398" s="392">
        <f t="shared" si="128"/>
        <v>1</v>
      </c>
      <c r="N398" s="392">
        <f t="shared" si="128"/>
        <v>0</v>
      </c>
      <c r="O398" s="392">
        <f t="shared" si="128"/>
        <v>3</v>
      </c>
      <c r="P398" s="392">
        <f t="shared" si="128"/>
        <v>5</v>
      </c>
      <c r="Q398" s="392">
        <f t="shared" si="128"/>
        <v>6</v>
      </c>
      <c r="R398" s="392">
        <f t="shared" si="128"/>
        <v>4</v>
      </c>
      <c r="S398" s="449">
        <f t="shared" si="128"/>
        <v>0</v>
      </c>
      <c r="T398" s="392">
        <f t="shared" si="128"/>
        <v>2</v>
      </c>
      <c r="U398" s="392">
        <f t="shared" si="128"/>
        <v>6</v>
      </c>
      <c r="V398" s="392">
        <f t="shared" si="128"/>
        <v>5</v>
      </c>
      <c r="W398" s="392">
        <f t="shared" si="128"/>
        <v>5</v>
      </c>
      <c r="X398" s="392">
        <f t="shared" si="128"/>
        <v>5</v>
      </c>
      <c r="Y398" s="392">
        <f t="shared" si="128"/>
        <v>6</v>
      </c>
      <c r="Z398" s="392">
        <f t="shared" si="128"/>
        <v>2</v>
      </c>
      <c r="AA398" s="392">
        <f t="shared" si="128"/>
        <v>0</v>
      </c>
      <c r="AB398" s="392">
        <f t="shared" si="128"/>
        <v>9</v>
      </c>
      <c r="AC398" s="392">
        <f t="shared" si="128"/>
        <v>6</v>
      </c>
      <c r="AD398" s="450">
        <f t="shared" si="128"/>
        <v>1</v>
      </c>
      <c r="AE398" s="449">
        <f t="shared" si="128"/>
        <v>3</v>
      </c>
      <c r="AF398" s="392">
        <f t="shared" si="128"/>
        <v>0</v>
      </c>
      <c r="AG398" s="392">
        <f t="shared" si="128"/>
        <v>6</v>
      </c>
      <c r="AH398" s="392">
        <f t="shared" si="128"/>
        <v>6</v>
      </c>
      <c r="AI398" s="392">
        <f t="shared" si="128"/>
        <v>4</v>
      </c>
      <c r="AJ398" s="392">
        <f t="shared" si="128"/>
        <v>1</v>
      </c>
      <c r="AK398" s="392">
        <f t="shared" si="128"/>
        <v>2</v>
      </c>
      <c r="AL398" s="392">
        <f t="shared" si="128"/>
        <v>0</v>
      </c>
      <c r="AM398" s="392">
        <f t="shared" si="128"/>
        <v>0</v>
      </c>
      <c r="AN398" s="392">
        <f t="shared" si="128"/>
        <v>1</v>
      </c>
      <c r="AO398" s="392">
        <f t="shared" si="128"/>
        <v>4</v>
      </c>
      <c r="AP398" s="392">
        <f t="shared" si="128"/>
        <v>1</v>
      </c>
      <c r="AQ398" s="429"/>
      <c r="AR398" s="221">
        <f t="shared" si="108"/>
        <v>47</v>
      </c>
      <c r="AS398" s="221">
        <f t="shared" si="109"/>
        <v>28</v>
      </c>
    </row>
    <row r="399" spans="1:45" ht="15.75" customHeight="1">
      <c r="A399" s="332"/>
      <c r="B399" s="448" t="s">
        <v>2354</v>
      </c>
      <c r="C399" s="332" t="s">
        <v>2080</v>
      </c>
      <c r="D399" s="399">
        <v>2</v>
      </c>
      <c r="E399" s="332" t="s">
        <v>2058</v>
      </c>
      <c r="F399" s="427" t="s">
        <v>2058</v>
      </c>
      <c r="G399" s="392">
        <f t="shared" ref="G399:AP399" si="129">G59-G297-G331-G365</f>
        <v>0</v>
      </c>
      <c r="H399" s="392">
        <f t="shared" si="129"/>
        <v>0</v>
      </c>
      <c r="I399" s="392">
        <f t="shared" si="129"/>
        <v>0</v>
      </c>
      <c r="J399" s="392">
        <f t="shared" si="129"/>
        <v>0</v>
      </c>
      <c r="K399" s="392">
        <f t="shared" si="129"/>
        <v>0</v>
      </c>
      <c r="L399" s="392">
        <f t="shared" si="129"/>
        <v>0</v>
      </c>
      <c r="M399" s="392">
        <f t="shared" si="129"/>
        <v>0</v>
      </c>
      <c r="N399" s="392">
        <f t="shared" si="129"/>
        <v>0</v>
      </c>
      <c r="O399" s="392">
        <f t="shared" si="129"/>
        <v>0</v>
      </c>
      <c r="P399" s="392">
        <f t="shared" si="129"/>
        <v>0</v>
      </c>
      <c r="Q399" s="392">
        <f t="shared" si="129"/>
        <v>0</v>
      </c>
      <c r="R399" s="392">
        <f t="shared" si="129"/>
        <v>0</v>
      </c>
      <c r="S399" s="449">
        <f t="shared" si="129"/>
        <v>0</v>
      </c>
      <c r="T399" s="392">
        <f t="shared" si="129"/>
        <v>0</v>
      </c>
      <c r="U399" s="392">
        <f t="shared" si="129"/>
        <v>0</v>
      </c>
      <c r="V399" s="392">
        <f t="shared" si="129"/>
        <v>0</v>
      </c>
      <c r="W399" s="392">
        <f t="shared" si="129"/>
        <v>0</v>
      </c>
      <c r="X399" s="392">
        <f t="shared" si="129"/>
        <v>0</v>
      </c>
      <c r="Y399" s="392">
        <f t="shared" si="129"/>
        <v>0</v>
      </c>
      <c r="Z399" s="392">
        <f t="shared" si="129"/>
        <v>0</v>
      </c>
      <c r="AA399" s="392">
        <f t="shared" si="129"/>
        <v>0</v>
      </c>
      <c r="AB399" s="392">
        <f t="shared" si="129"/>
        <v>0</v>
      </c>
      <c r="AC399" s="392">
        <f t="shared" si="129"/>
        <v>0</v>
      </c>
      <c r="AD399" s="450">
        <f t="shared" si="129"/>
        <v>0</v>
      </c>
      <c r="AE399" s="449">
        <f t="shared" si="129"/>
        <v>0</v>
      </c>
      <c r="AF399" s="392">
        <f t="shared" si="129"/>
        <v>0</v>
      </c>
      <c r="AG399" s="392">
        <f t="shared" si="129"/>
        <v>0</v>
      </c>
      <c r="AH399" s="392">
        <f t="shared" si="129"/>
        <v>0</v>
      </c>
      <c r="AI399" s="392">
        <f t="shared" si="129"/>
        <v>0</v>
      </c>
      <c r="AJ399" s="392">
        <f t="shared" si="129"/>
        <v>0</v>
      </c>
      <c r="AK399" s="392">
        <f t="shared" si="129"/>
        <v>0</v>
      </c>
      <c r="AL399" s="392">
        <f t="shared" si="129"/>
        <v>0</v>
      </c>
      <c r="AM399" s="392">
        <f t="shared" si="129"/>
        <v>0</v>
      </c>
      <c r="AN399" s="392">
        <f t="shared" si="129"/>
        <v>0</v>
      </c>
      <c r="AO399" s="392">
        <f t="shared" si="129"/>
        <v>0</v>
      </c>
      <c r="AP399" s="392">
        <f t="shared" si="129"/>
        <v>0</v>
      </c>
      <c r="AQ399" s="429"/>
      <c r="AR399" s="221">
        <f t="shared" si="108"/>
        <v>0</v>
      </c>
      <c r="AS399" s="221">
        <f t="shared" si="109"/>
        <v>0</v>
      </c>
    </row>
    <row r="400" spans="1:45" ht="15.75" customHeight="1">
      <c r="A400" s="332"/>
      <c r="B400" s="448" t="s">
        <v>2354</v>
      </c>
      <c r="C400" s="332" t="s">
        <v>2081</v>
      </c>
      <c r="D400" s="399">
        <v>1</v>
      </c>
      <c r="E400" s="332" t="s">
        <v>2058</v>
      </c>
      <c r="F400" s="427" t="s">
        <v>2058</v>
      </c>
      <c r="G400" s="392">
        <f t="shared" ref="G400:AP400" si="130">G60-G298-G332-G366</f>
        <v>0</v>
      </c>
      <c r="H400" s="392">
        <f t="shared" si="130"/>
        <v>1</v>
      </c>
      <c r="I400" s="392">
        <f t="shared" si="130"/>
        <v>1</v>
      </c>
      <c r="J400" s="392">
        <f t="shared" si="130"/>
        <v>0</v>
      </c>
      <c r="K400" s="392">
        <f t="shared" si="130"/>
        <v>1</v>
      </c>
      <c r="L400" s="392">
        <f t="shared" si="130"/>
        <v>0</v>
      </c>
      <c r="M400" s="392">
        <f t="shared" si="130"/>
        <v>1</v>
      </c>
      <c r="N400" s="392">
        <f t="shared" si="130"/>
        <v>2</v>
      </c>
      <c r="O400" s="392">
        <f t="shared" si="130"/>
        <v>0</v>
      </c>
      <c r="P400" s="392">
        <f t="shared" si="130"/>
        <v>3</v>
      </c>
      <c r="Q400" s="392">
        <f t="shared" si="130"/>
        <v>3</v>
      </c>
      <c r="R400" s="392">
        <f t="shared" si="130"/>
        <v>0</v>
      </c>
      <c r="S400" s="449">
        <f t="shared" si="130"/>
        <v>1</v>
      </c>
      <c r="T400" s="392">
        <f t="shared" si="130"/>
        <v>1</v>
      </c>
      <c r="U400" s="392">
        <f t="shared" si="130"/>
        <v>1</v>
      </c>
      <c r="V400" s="392">
        <f t="shared" si="130"/>
        <v>2</v>
      </c>
      <c r="W400" s="392">
        <f t="shared" si="130"/>
        <v>2</v>
      </c>
      <c r="X400" s="392">
        <f t="shared" si="130"/>
        <v>0</v>
      </c>
      <c r="Y400" s="392">
        <f t="shared" si="130"/>
        <v>0</v>
      </c>
      <c r="Z400" s="392">
        <f t="shared" si="130"/>
        <v>0</v>
      </c>
      <c r="AA400" s="392">
        <f t="shared" si="130"/>
        <v>0</v>
      </c>
      <c r="AB400" s="392">
        <f t="shared" si="130"/>
        <v>3</v>
      </c>
      <c r="AC400" s="392">
        <f t="shared" si="130"/>
        <v>3</v>
      </c>
      <c r="AD400" s="450">
        <f t="shared" si="130"/>
        <v>1</v>
      </c>
      <c r="AE400" s="449">
        <f t="shared" si="130"/>
        <v>2</v>
      </c>
      <c r="AF400" s="392">
        <f t="shared" si="130"/>
        <v>0</v>
      </c>
      <c r="AG400" s="392">
        <f t="shared" si="130"/>
        <v>0</v>
      </c>
      <c r="AH400" s="392">
        <f t="shared" si="130"/>
        <v>0</v>
      </c>
      <c r="AI400" s="392">
        <f t="shared" si="130"/>
        <v>1</v>
      </c>
      <c r="AJ400" s="392">
        <f t="shared" si="130"/>
        <v>0</v>
      </c>
      <c r="AK400" s="392">
        <f t="shared" si="130"/>
        <v>0</v>
      </c>
      <c r="AL400" s="392">
        <f t="shared" si="130"/>
        <v>1</v>
      </c>
      <c r="AM400" s="392">
        <f t="shared" si="130"/>
        <v>2</v>
      </c>
      <c r="AN400" s="392">
        <f t="shared" si="130"/>
        <v>0</v>
      </c>
      <c r="AO400" s="392">
        <f t="shared" si="130"/>
        <v>0</v>
      </c>
      <c r="AP400" s="392">
        <f t="shared" si="130"/>
        <v>2</v>
      </c>
      <c r="AQ400" s="429"/>
      <c r="AR400" s="221">
        <f t="shared" si="108"/>
        <v>14</v>
      </c>
      <c r="AS400" s="221">
        <f t="shared" si="109"/>
        <v>8</v>
      </c>
    </row>
    <row r="401" spans="1:45" ht="15.75" customHeight="1">
      <c r="A401" s="332"/>
      <c r="B401" s="448" t="s">
        <v>2354</v>
      </c>
      <c r="C401" s="332" t="s">
        <v>2082</v>
      </c>
      <c r="D401" s="399">
        <v>1</v>
      </c>
      <c r="E401" s="332" t="s">
        <v>2058</v>
      </c>
      <c r="F401" s="427" t="s">
        <v>2058</v>
      </c>
      <c r="G401" s="392">
        <f t="shared" ref="G401:AP401" si="131">G61-G299-G333-G367</f>
        <v>2</v>
      </c>
      <c r="H401" s="392">
        <f t="shared" si="131"/>
        <v>3</v>
      </c>
      <c r="I401" s="392">
        <f t="shared" si="131"/>
        <v>3</v>
      </c>
      <c r="J401" s="392">
        <f t="shared" si="131"/>
        <v>3</v>
      </c>
      <c r="K401" s="392">
        <f t="shared" si="131"/>
        <v>3</v>
      </c>
      <c r="L401" s="392">
        <f t="shared" si="131"/>
        <v>5</v>
      </c>
      <c r="M401" s="392">
        <f t="shared" si="131"/>
        <v>2</v>
      </c>
      <c r="N401" s="392">
        <f t="shared" si="131"/>
        <v>2</v>
      </c>
      <c r="O401" s="392">
        <f t="shared" si="131"/>
        <v>1</v>
      </c>
      <c r="P401" s="392">
        <f t="shared" si="131"/>
        <v>4</v>
      </c>
      <c r="Q401" s="392">
        <f t="shared" si="131"/>
        <v>5</v>
      </c>
      <c r="R401" s="392">
        <f t="shared" si="131"/>
        <v>7</v>
      </c>
      <c r="S401" s="449">
        <f t="shared" si="131"/>
        <v>2</v>
      </c>
      <c r="T401" s="392">
        <f t="shared" si="131"/>
        <v>1</v>
      </c>
      <c r="U401" s="392">
        <f t="shared" si="131"/>
        <v>3</v>
      </c>
      <c r="V401" s="392">
        <f t="shared" si="131"/>
        <v>6</v>
      </c>
      <c r="W401" s="392">
        <f t="shared" si="131"/>
        <v>5</v>
      </c>
      <c r="X401" s="392">
        <f t="shared" si="131"/>
        <v>2</v>
      </c>
      <c r="Y401" s="392">
        <f t="shared" si="131"/>
        <v>2</v>
      </c>
      <c r="Z401" s="392">
        <f t="shared" si="131"/>
        <v>1</v>
      </c>
      <c r="AA401" s="392">
        <f t="shared" si="131"/>
        <v>3</v>
      </c>
      <c r="AB401" s="392">
        <f t="shared" si="131"/>
        <v>5</v>
      </c>
      <c r="AC401" s="392">
        <f t="shared" si="131"/>
        <v>5</v>
      </c>
      <c r="AD401" s="450">
        <f t="shared" si="131"/>
        <v>3</v>
      </c>
      <c r="AE401" s="449">
        <f t="shared" si="131"/>
        <v>0</v>
      </c>
      <c r="AF401" s="392">
        <f t="shared" si="131"/>
        <v>0</v>
      </c>
      <c r="AG401" s="392">
        <f t="shared" si="131"/>
        <v>2</v>
      </c>
      <c r="AH401" s="392">
        <f t="shared" si="131"/>
        <v>2</v>
      </c>
      <c r="AI401" s="392">
        <f t="shared" si="131"/>
        <v>1</v>
      </c>
      <c r="AJ401" s="392">
        <f t="shared" si="131"/>
        <v>2</v>
      </c>
      <c r="AK401" s="392">
        <f t="shared" si="131"/>
        <v>0</v>
      </c>
      <c r="AL401" s="392">
        <f t="shared" si="131"/>
        <v>0</v>
      </c>
      <c r="AM401" s="392">
        <f t="shared" si="131"/>
        <v>0</v>
      </c>
      <c r="AN401" s="392">
        <f t="shared" si="131"/>
        <v>4</v>
      </c>
      <c r="AO401" s="392">
        <f t="shared" si="131"/>
        <v>4</v>
      </c>
      <c r="AP401" s="392">
        <f t="shared" si="131"/>
        <v>1</v>
      </c>
      <c r="AQ401" s="429"/>
      <c r="AR401" s="221">
        <f t="shared" si="108"/>
        <v>38</v>
      </c>
      <c r="AS401" s="221">
        <f t="shared" si="109"/>
        <v>16</v>
      </c>
    </row>
    <row r="402" spans="1:45" ht="15.75" customHeight="1">
      <c r="A402" s="332"/>
      <c r="B402" s="448" t="s">
        <v>2354</v>
      </c>
      <c r="C402" s="332" t="s">
        <v>2083</v>
      </c>
      <c r="D402" s="399">
        <v>2</v>
      </c>
      <c r="E402" s="332" t="s">
        <v>2058</v>
      </c>
      <c r="F402" s="427" t="s">
        <v>2058</v>
      </c>
      <c r="G402" s="392">
        <f t="shared" ref="G402:AP402" si="132">G62-G300-G334-G368</f>
        <v>4</v>
      </c>
      <c r="H402" s="392">
        <f t="shared" si="132"/>
        <v>1</v>
      </c>
      <c r="I402" s="392">
        <f t="shared" si="132"/>
        <v>5</v>
      </c>
      <c r="J402" s="392">
        <f t="shared" si="132"/>
        <v>2</v>
      </c>
      <c r="K402" s="392">
        <f t="shared" si="132"/>
        <v>4</v>
      </c>
      <c r="L402" s="392">
        <f t="shared" si="132"/>
        <v>3</v>
      </c>
      <c r="M402" s="392">
        <f t="shared" si="132"/>
        <v>6</v>
      </c>
      <c r="N402" s="392">
        <f t="shared" si="132"/>
        <v>3</v>
      </c>
      <c r="O402" s="392">
        <f t="shared" si="132"/>
        <v>5</v>
      </c>
      <c r="P402" s="392">
        <f t="shared" si="132"/>
        <v>5</v>
      </c>
      <c r="Q402" s="392">
        <f t="shared" si="132"/>
        <v>5</v>
      </c>
      <c r="R402" s="392">
        <f t="shared" si="132"/>
        <v>6</v>
      </c>
      <c r="S402" s="449">
        <f t="shared" si="132"/>
        <v>4</v>
      </c>
      <c r="T402" s="392">
        <f t="shared" si="132"/>
        <v>2</v>
      </c>
      <c r="U402" s="392">
        <f t="shared" si="132"/>
        <v>11</v>
      </c>
      <c r="V402" s="392">
        <f t="shared" si="132"/>
        <v>4</v>
      </c>
      <c r="W402" s="392">
        <f t="shared" si="132"/>
        <v>3</v>
      </c>
      <c r="X402" s="392">
        <f t="shared" si="132"/>
        <v>2</v>
      </c>
      <c r="Y402" s="392">
        <f t="shared" si="132"/>
        <v>2</v>
      </c>
      <c r="Z402" s="392">
        <f t="shared" si="132"/>
        <v>0</v>
      </c>
      <c r="AA402" s="392">
        <f t="shared" si="132"/>
        <v>5</v>
      </c>
      <c r="AB402" s="392">
        <f t="shared" si="132"/>
        <v>8</v>
      </c>
      <c r="AC402" s="392">
        <f t="shared" si="132"/>
        <v>7</v>
      </c>
      <c r="AD402" s="450">
        <f t="shared" si="132"/>
        <v>7</v>
      </c>
      <c r="AE402" s="449">
        <f t="shared" si="132"/>
        <v>2</v>
      </c>
      <c r="AF402" s="392">
        <f t="shared" si="132"/>
        <v>1</v>
      </c>
      <c r="AG402" s="392">
        <f t="shared" si="132"/>
        <v>3</v>
      </c>
      <c r="AH402" s="392">
        <f t="shared" si="132"/>
        <v>3</v>
      </c>
      <c r="AI402" s="392">
        <f t="shared" si="132"/>
        <v>3</v>
      </c>
      <c r="AJ402" s="392">
        <f t="shared" si="132"/>
        <v>1</v>
      </c>
      <c r="AK402" s="392">
        <f t="shared" si="132"/>
        <v>0</v>
      </c>
      <c r="AL402" s="392">
        <f t="shared" si="132"/>
        <v>0</v>
      </c>
      <c r="AM402" s="392">
        <f t="shared" si="132"/>
        <v>0</v>
      </c>
      <c r="AN402" s="392">
        <f t="shared" si="132"/>
        <v>1</v>
      </c>
      <c r="AO402" s="392">
        <f t="shared" si="132"/>
        <v>4</v>
      </c>
      <c r="AP402" s="392">
        <f t="shared" si="132"/>
        <v>4</v>
      </c>
      <c r="AQ402" s="429"/>
      <c r="AR402" s="221">
        <f t="shared" si="108"/>
        <v>55</v>
      </c>
      <c r="AS402" s="221">
        <f t="shared" si="109"/>
        <v>22</v>
      </c>
    </row>
    <row r="403" spans="1:45" ht="15.75" customHeight="1">
      <c r="A403" s="332"/>
      <c r="B403" s="448" t="s">
        <v>2354</v>
      </c>
      <c r="C403" s="332" t="s">
        <v>2084</v>
      </c>
      <c r="D403" s="399">
        <v>1</v>
      </c>
      <c r="E403" s="332" t="s">
        <v>2058</v>
      </c>
      <c r="F403" s="427" t="s">
        <v>2058</v>
      </c>
      <c r="G403" s="392">
        <f t="shared" ref="G403:AP403" si="133">G63-G301-G335-G369</f>
        <v>0</v>
      </c>
      <c r="H403" s="392">
        <f t="shared" si="133"/>
        <v>0</v>
      </c>
      <c r="I403" s="392">
        <f t="shared" si="133"/>
        <v>0</v>
      </c>
      <c r="J403" s="392">
        <f t="shared" si="133"/>
        <v>0</v>
      </c>
      <c r="K403" s="392">
        <f t="shared" si="133"/>
        <v>0</v>
      </c>
      <c r="L403" s="392">
        <f t="shared" si="133"/>
        <v>0</v>
      </c>
      <c r="M403" s="392">
        <f t="shared" si="133"/>
        <v>0</v>
      </c>
      <c r="N403" s="392">
        <f t="shared" si="133"/>
        <v>0</v>
      </c>
      <c r="O403" s="392">
        <f t="shared" si="133"/>
        <v>0</v>
      </c>
      <c r="P403" s="392">
        <f t="shared" si="133"/>
        <v>0</v>
      </c>
      <c r="Q403" s="392">
        <f t="shared" si="133"/>
        <v>0</v>
      </c>
      <c r="R403" s="392">
        <f t="shared" si="133"/>
        <v>0</v>
      </c>
      <c r="S403" s="449">
        <f t="shared" si="133"/>
        <v>0</v>
      </c>
      <c r="T403" s="392">
        <f t="shared" si="133"/>
        <v>0</v>
      </c>
      <c r="U403" s="392">
        <f t="shared" si="133"/>
        <v>0</v>
      </c>
      <c r="V403" s="392">
        <f t="shared" si="133"/>
        <v>0</v>
      </c>
      <c r="W403" s="392">
        <f t="shared" si="133"/>
        <v>0</v>
      </c>
      <c r="X403" s="392">
        <f t="shared" si="133"/>
        <v>0</v>
      </c>
      <c r="Y403" s="392">
        <f t="shared" si="133"/>
        <v>0</v>
      </c>
      <c r="Z403" s="392">
        <f t="shared" si="133"/>
        <v>0</v>
      </c>
      <c r="AA403" s="392">
        <f t="shared" si="133"/>
        <v>0</v>
      </c>
      <c r="AB403" s="392">
        <f t="shared" si="133"/>
        <v>1</v>
      </c>
      <c r="AC403" s="392">
        <f t="shared" si="133"/>
        <v>2</v>
      </c>
      <c r="AD403" s="450">
        <f t="shared" si="133"/>
        <v>0</v>
      </c>
      <c r="AE403" s="449">
        <f t="shared" si="133"/>
        <v>0</v>
      </c>
      <c r="AF403" s="392">
        <f t="shared" si="133"/>
        <v>1</v>
      </c>
      <c r="AG403" s="392">
        <f t="shared" si="133"/>
        <v>1</v>
      </c>
      <c r="AH403" s="392">
        <f t="shared" si="133"/>
        <v>0</v>
      </c>
      <c r="AI403" s="392">
        <f t="shared" si="133"/>
        <v>0</v>
      </c>
      <c r="AJ403" s="392">
        <f t="shared" si="133"/>
        <v>2</v>
      </c>
      <c r="AK403" s="392">
        <f t="shared" si="133"/>
        <v>0</v>
      </c>
      <c r="AL403" s="392">
        <f t="shared" si="133"/>
        <v>1</v>
      </c>
      <c r="AM403" s="392">
        <f t="shared" si="133"/>
        <v>0</v>
      </c>
      <c r="AN403" s="392">
        <f t="shared" si="133"/>
        <v>0</v>
      </c>
      <c r="AO403" s="392">
        <f t="shared" si="133"/>
        <v>1</v>
      </c>
      <c r="AP403" s="392">
        <f t="shared" si="133"/>
        <v>1</v>
      </c>
      <c r="AQ403" s="429"/>
      <c r="AR403" s="221">
        <f t="shared" si="108"/>
        <v>3</v>
      </c>
      <c r="AS403" s="221">
        <f t="shared" si="109"/>
        <v>7</v>
      </c>
    </row>
    <row r="404" spans="1:45" ht="15.75" customHeight="1">
      <c r="A404" s="332"/>
      <c r="B404" s="448" t="s">
        <v>2354</v>
      </c>
      <c r="C404" s="332" t="s">
        <v>2085</v>
      </c>
      <c r="D404" s="399">
        <v>1</v>
      </c>
      <c r="E404" s="332" t="s">
        <v>2059</v>
      </c>
      <c r="F404" s="427" t="s">
        <v>2059</v>
      </c>
      <c r="G404" s="392">
        <f t="shared" ref="G404:AP404" si="134">G64-G302-G336-G370</f>
        <v>2</v>
      </c>
      <c r="H404" s="392">
        <f t="shared" si="134"/>
        <v>2</v>
      </c>
      <c r="I404" s="392">
        <f t="shared" si="134"/>
        <v>3</v>
      </c>
      <c r="J404" s="392">
        <f t="shared" si="134"/>
        <v>1</v>
      </c>
      <c r="K404" s="392">
        <f t="shared" si="134"/>
        <v>2</v>
      </c>
      <c r="L404" s="392">
        <f t="shared" si="134"/>
        <v>2</v>
      </c>
      <c r="M404" s="392">
        <f t="shared" si="134"/>
        <v>3</v>
      </c>
      <c r="N404" s="392">
        <f t="shared" si="134"/>
        <v>2</v>
      </c>
      <c r="O404" s="392">
        <f t="shared" si="134"/>
        <v>0</v>
      </c>
      <c r="P404" s="392">
        <f t="shared" si="134"/>
        <v>6</v>
      </c>
      <c r="Q404" s="392">
        <f t="shared" si="134"/>
        <v>3</v>
      </c>
      <c r="R404" s="392">
        <f t="shared" si="134"/>
        <v>4</v>
      </c>
      <c r="S404" s="449">
        <f t="shared" si="134"/>
        <v>4</v>
      </c>
      <c r="T404" s="392">
        <f t="shared" si="134"/>
        <v>1</v>
      </c>
      <c r="U404" s="392">
        <f t="shared" si="134"/>
        <v>3</v>
      </c>
      <c r="V404" s="392">
        <f t="shared" si="134"/>
        <v>1</v>
      </c>
      <c r="W404" s="392">
        <f t="shared" si="134"/>
        <v>3</v>
      </c>
      <c r="X404" s="392">
        <f t="shared" si="134"/>
        <v>2</v>
      </c>
      <c r="Y404" s="392">
        <f t="shared" si="134"/>
        <v>1</v>
      </c>
      <c r="Z404" s="392">
        <f t="shared" si="134"/>
        <v>0</v>
      </c>
      <c r="AA404" s="392">
        <f t="shared" si="134"/>
        <v>1</v>
      </c>
      <c r="AB404" s="392">
        <f t="shared" si="134"/>
        <v>2</v>
      </c>
      <c r="AC404" s="392">
        <f t="shared" si="134"/>
        <v>3</v>
      </c>
      <c r="AD404" s="450">
        <f t="shared" si="134"/>
        <v>4</v>
      </c>
      <c r="AE404" s="449">
        <f t="shared" si="134"/>
        <v>1</v>
      </c>
      <c r="AF404" s="392">
        <f t="shared" si="134"/>
        <v>0</v>
      </c>
      <c r="AG404" s="392">
        <f t="shared" si="134"/>
        <v>0</v>
      </c>
      <c r="AH404" s="392">
        <f t="shared" si="134"/>
        <v>1</v>
      </c>
      <c r="AI404" s="392">
        <f t="shared" si="134"/>
        <v>2</v>
      </c>
      <c r="AJ404" s="392">
        <f t="shared" si="134"/>
        <v>2</v>
      </c>
      <c r="AK404" s="392">
        <f t="shared" si="134"/>
        <v>2</v>
      </c>
      <c r="AL404" s="392">
        <f t="shared" si="134"/>
        <v>2</v>
      </c>
      <c r="AM404" s="392">
        <f t="shared" si="134"/>
        <v>0</v>
      </c>
      <c r="AN404" s="392">
        <f t="shared" si="134"/>
        <v>0</v>
      </c>
      <c r="AO404" s="392">
        <f t="shared" si="134"/>
        <v>1</v>
      </c>
      <c r="AP404" s="392">
        <f t="shared" si="134"/>
        <v>3</v>
      </c>
      <c r="AQ404" s="429"/>
      <c r="AR404" s="221">
        <f t="shared" si="108"/>
        <v>25</v>
      </c>
      <c r="AS404" s="221">
        <f t="shared" si="109"/>
        <v>14</v>
      </c>
    </row>
    <row r="405" spans="1:45" ht="15.75" customHeight="1">
      <c r="A405" s="332"/>
      <c r="B405" s="448" t="s">
        <v>2354</v>
      </c>
      <c r="C405" s="332" t="s">
        <v>2086</v>
      </c>
      <c r="D405" s="399">
        <v>1</v>
      </c>
      <c r="E405" s="332" t="s">
        <v>2059</v>
      </c>
      <c r="F405" s="427" t="s">
        <v>2059</v>
      </c>
      <c r="G405" s="392">
        <f t="shared" ref="G405:AP405" si="135">G65-G303-G337-G371</f>
        <v>1</v>
      </c>
      <c r="H405" s="392">
        <f t="shared" si="135"/>
        <v>1</v>
      </c>
      <c r="I405" s="392">
        <f t="shared" si="135"/>
        <v>2</v>
      </c>
      <c r="J405" s="392">
        <f t="shared" si="135"/>
        <v>0</v>
      </c>
      <c r="K405" s="392">
        <f t="shared" si="135"/>
        <v>1</v>
      </c>
      <c r="L405" s="392">
        <f t="shared" si="135"/>
        <v>2</v>
      </c>
      <c r="M405" s="392">
        <f t="shared" si="135"/>
        <v>4</v>
      </c>
      <c r="N405" s="392">
        <f t="shared" si="135"/>
        <v>0</v>
      </c>
      <c r="O405" s="392">
        <f t="shared" si="135"/>
        <v>0</v>
      </c>
      <c r="P405" s="392">
        <f t="shared" si="135"/>
        <v>0</v>
      </c>
      <c r="Q405" s="392">
        <f t="shared" si="135"/>
        <v>0</v>
      </c>
      <c r="R405" s="392">
        <f t="shared" si="135"/>
        <v>1</v>
      </c>
      <c r="S405" s="449">
        <f t="shared" si="135"/>
        <v>1</v>
      </c>
      <c r="T405" s="392">
        <f t="shared" si="135"/>
        <v>1</v>
      </c>
      <c r="U405" s="392">
        <f t="shared" si="135"/>
        <v>0</v>
      </c>
      <c r="V405" s="392">
        <f t="shared" si="135"/>
        <v>1</v>
      </c>
      <c r="W405" s="392">
        <f t="shared" si="135"/>
        <v>0</v>
      </c>
      <c r="X405" s="392">
        <f t="shared" si="135"/>
        <v>0</v>
      </c>
      <c r="Y405" s="392">
        <f t="shared" si="135"/>
        <v>1</v>
      </c>
      <c r="Z405" s="392">
        <f t="shared" si="135"/>
        <v>2</v>
      </c>
      <c r="AA405" s="392">
        <f t="shared" si="135"/>
        <v>0</v>
      </c>
      <c r="AB405" s="392">
        <f t="shared" si="135"/>
        <v>1</v>
      </c>
      <c r="AC405" s="392">
        <f t="shared" si="135"/>
        <v>2</v>
      </c>
      <c r="AD405" s="450">
        <f t="shared" si="135"/>
        <v>2</v>
      </c>
      <c r="AE405" s="449">
        <f t="shared" si="135"/>
        <v>0</v>
      </c>
      <c r="AF405" s="392">
        <f t="shared" si="135"/>
        <v>0</v>
      </c>
      <c r="AG405" s="392">
        <f t="shared" si="135"/>
        <v>1</v>
      </c>
      <c r="AH405" s="392">
        <f t="shared" si="135"/>
        <v>1</v>
      </c>
      <c r="AI405" s="392">
        <f t="shared" si="135"/>
        <v>1</v>
      </c>
      <c r="AJ405" s="392">
        <f t="shared" si="135"/>
        <v>1</v>
      </c>
      <c r="AK405" s="392">
        <f t="shared" si="135"/>
        <v>0</v>
      </c>
      <c r="AL405" s="392">
        <f t="shared" si="135"/>
        <v>1</v>
      </c>
      <c r="AM405" s="392">
        <f t="shared" si="135"/>
        <v>0</v>
      </c>
      <c r="AN405" s="392">
        <f t="shared" si="135"/>
        <v>2</v>
      </c>
      <c r="AO405" s="392">
        <f t="shared" si="135"/>
        <v>1</v>
      </c>
      <c r="AP405" s="392">
        <f t="shared" si="135"/>
        <v>3</v>
      </c>
      <c r="AQ405" s="429"/>
      <c r="AR405" s="221">
        <f t="shared" si="108"/>
        <v>11</v>
      </c>
      <c r="AS405" s="221">
        <f t="shared" si="109"/>
        <v>11</v>
      </c>
    </row>
    <row r="406" spans="1:45" ht="15.75" customHeight="1">
      <c r="A406" s="332"/>
      <c r="B406" s="448" t="s">
        <v>2354</v>
      </c>
      <c r="C406" s="332" t="s">
        <v>2170</v>
      </c>
      <c r="D406" s="399">
        <v>1</v>
      </c>
      <c r="E406" s="332" t="s">
        <v>2059</v>
      </c>
      <c r="F406" s="427" t="s">
        <v>2059</v>
      </c>
      <c r="G406" s="392">
        <f t="shared" ref="G406:AP406" si="136">G66-G304-G338-G372</f>
        <v>0</v>
      </c>
      <c r="H406" s="392">
        <f t="shared" si="136"/>
        <v>0</v>
      </c>
      <c r="I406" s="392">
        <f t="shared" si="136"/>
        <v>0</v>
      </c>
      <c r="J406" s="392">
        <f t="shared" si="136"/>
        <v>0</v>
      </c>
      <c r="K406" s="392">
        <f t="shared" si="136"/>
        <v>0</v>
      </c>
      <c r="L406" s="392">
        <f t="shared" si="136"/>
        <v>0</v>
      </c>
      <c r="M406" s="392">
        <f t="shared" si="136"/>
        <v>0</v>
      </c>
      <c r="N406" s="392">
        <f t="shared" si="136"/>
        <v>0</v>
      </c>
      <c r="O406" s="392">
        <f t="shared" si="136"/>
        <v>0</v>
      </c>
      <c r="P406" s="392">
        <f t="shared" si="136"/>
        <v>0</v>
      </c>
      <c r="Q406" s="392">
        <f t="shared" si="136"/>
        <v>0</v>
      </c>
      <c r="R406" s="392">
        <f t="shared" si="136"/>
        <v>0</v>
      </c>
      <c r="S406" s="449">
        <f t="shared" si="136"/>
        <v>0</v>
      </c>
      <c r="T406" s="392">
        <f t="shared" si="136"/>
        <v>0</v>
      </c>
      <c r="U406" s="392">
        <f t="shared" si="136"/>
        <v>0</v>
      </c>
      <c r="V406" s="392">
        <f t="shared" si="136"/>
        <v>0</v>
      </c>
      <c r="W406" s="392">
        <f t="shared" si="136"/>
        <v>0</v>
      </c>
      <c r="X406" s="392">
        <f t="shared" si="136"/>
        <v>0</v>
      </c>
      <c r="Y406" s="392">
        <f t="shared" si="136"/>
        <v>0</v>
      </c>
      <c r="Z406" s="392">
        <f t="shared" si="136"/>
        <v>0</v>
      </c>
      <c r="AA406" s="392">
        <f t="shared" si="136"/>
        <v>0</v>
      </c>
      <c r="AB406" s="392">
        <f t="shared" si="136"/>
        <v>0</v>
      </c>
      <c r="AC406" s="392">
        <f t="shared" si="136"/>
        <v>0</v>
      </c>
      <c r="AD406" s="450">
        <f t="shared" si="136"/>
        <v>0</v>
      </c>
      <c r="AE406" s="449">
        <f t="shared" si="136"/>
        <v>0</v>
      </c>
      <c r="AF406" s="392">
        <f t="shared" si="136"/>
        <v>0</v>
      </c>
      <c r="AG406" s="392">
        <f t="shared" si="136"/>
        <v>0</v>
      </c>
      <c r="AH406" s="392">
        <f t="shared" si="136"/>
        <v>0</v>
      </c>
      <c r="AI406" s="392">
        <f t="shared" si="136"/>
        <v>0</v>
      </c>
      <c r="AJ406" s="392">
        <f t="shared" si="136"/>
        <v>0</v>
      </c>
      <c r="AK406" s="392">
        <f t="shared" si="136"/>
        <v>0</v>
      </c>
      <c r="AL406" s="392">
        <f t="shared" si="136"/>
        <v>0</v>
      </c>
      <c r="AM406" s="392">
        <f t="shared" si="136"/>
        <v>0</v>
      </c>
      <c r="AN406" s="392">
        <f t="shared" si="136"/>
        <v>3</v>
      </c>
      <c r="AO406" s="392">
        <f t="shared" si="136"/>
        <v>2</v>
      </c>
      <c r="AP406" s="392">
        <f t="shared" si="136"/>
        <v>2</v>
      </c>
      <c r="AQ406" s="429"/>
      <c r="AR406" s="221">
        <f t="shared" si="108"/>
        <v>0</v>
      </c>
      <c r="AS406" s="221">
        <f t="shared" si="109"/>
        <v>7</v>
      </c>
    </row>
    <row r="407" spans="1:45" ht="15.75" customHeight="1">
      <c r="A407" s="332"/>
      <c r="B407" s="448" t="s">
        <v>2354</v>
      </c>
      <c r="C407" s="332" t="s">
        <v>2087</v>
      </c>
      <c r="D407" s="399">
        <v>1</v>
      </c>
      <c r="E407" s="332" t="s">
        <v>2059</v>
      </c>
      <c r="F407" s="427" t="s">
        <v>2059</v>
      </c>
      <c r="G407" s="392">
        <f t="shared" ref="G407:AP407" si="137">G67-G305-G339-G373</f>
        <v>1</v>
      </c>
      <c r="H407" s="392">
        <f t="shared" si="137"/>
        <v>2</v>
      </c>
      <c r="I407" s="392">
        <f t="shared" si="137"/>
        <v>0</v>
      </c>
      <c r="J407" s="392">
        <f t="shared" si="137"/>
        <v>0</v>
      </c>
      <c r="K407" s="392">
        <f t="shared" si="137"/>
        <v>0</v>
      </c>
      <c r="L407" s="392">
        <f t="shared" si="137"/>
        <v>0</v>
      </c>
      <c r="M407" s="392">
        <f t="shared" si="137"/>
        <v>0</v>
      </c>
      <c r="N407" s="392">
        <f t="shared" si="137"/>
        <v>1</v>
      </c>
      <c r="O407" s="392">
        <f t="shared" si="137"/>
        <v>1</v>
      </c>
      <c r="P407" s="392">
        <f t="shared" si="137"/>
        <v>1</v>
      </c>
      <c r="Q407" s="392">
        <f t="shared" si="137"/>
        <v>2</v>
      </c>
      <c r="R407" s="392">
        <f t="shared" si="137"/>
        <v>0</v>
      </c>
      <c r="S407" s="449">
        <f t="shared" si="137"/>
        <v>3</v>
      </c>
      <c r="T407" s="392">
        <f t="shared" si="137"/>
        <v>0</v>
      </c>
      <c r="U407" s="392">
        <f t="shared" si="137"/>
        <v>1</v>
      </c>
      <c r="V407" s="392">
        <f t="shared" si="137"/>
        <v>0</v>
      </c>
      <c r="W407" s="392">
        <f t="shared" si="137"/>
        <v>1</v>
      </c>
      <c r="X407" s="392">
        <f t="shared" si="137"/>
        <v>0</v>
      </c>
      <c r="Y407" s="392">
        <f t="shared" si="137"/>
        <v>1</v>
      </c>
      <c r="Z407" s="392">
        <f t="shared" si="137"/>
        <v>1</v>
      </c>
      <c r="AA407" s="392">
        <f t="shared" si="137"/>
        <v>1</v>
      </c>
      <c r="AB407" s="392">
        <f t="shared" si="137"/>
        <v>2</v>
      </c>
      <c r="AC407" s="392">
        <f t="shared" si="137"/>
        <v>3</v>
      </c>
      <c r="AD407" s="450">
        <f t="shared" si="137"/>
        <v>1</v>
      </c>
      <c r="AE407" s="449">
        <f t="shared" si="137"/>
        <v>0</v>
      </c>
      <c r="AF407" s="392">
        <f t="shared" si="137"/>
        <v>1</v>
      </c>
      <c r="AG407" s="392">
        <f t="shared" si="137"/>
        <v>0</v>
      </c>
      <c r="AH407" s="392">
        <f t="shared" si="137"/>
        <v>1</v>
      </c>
      <c r="AI407" s="392">
        <f t="shared" si="137"/>
        <v>0</v>
      </c>
      <c r="AJ407" s="392">
        <f t="shared" si="137"/>
        <v>2</v>
      </c>
      <c r="AK407" s="392">
        <f t="shared" si="137"/>
        <v>1</v>
      </c>
      <c r="AL407" s="392">
        <f t="shared" si="137"/>
        <v>2</v>
      </c>
      <c r="AM407" s="392">
        <f t="shared" si="137"/>
        <v>0</v>
      </c>
      <c r="AN407" s="392">
        <f t="shared" si="137"/>
        <v>1</v>
      </c>
      <c r="AO407" s="392">
        <f t="shared" si="137"/>
        <v>1</v>
      </c>
      <c r="AP407" s="392">
        <f t="shared" si="137"/>
        <v>1</v>
      </c>
      <c r="AQ407" s="429"/>
      <c r="AR407" s="221">
        <f t="shared" si="108"/>
        <v>14</v>
      </c>
      <c r="AS407" s="221">
        <f t="shared" si="109"/>
        <v>10</v>
      </c>
    </row>
    <row r="408" spans="1:45" ht="15.75" customHeight="1">
      <c r="A408" s="332"/>
      <c r="B408" s="448" t="s">
        <v>2354</v>
      </c>
      <c r="C408" s="332" t="s">
        <v>2088</v>
      </c>
      <c r="D408" s="399">
        <v>1</v>
      </c>
      <c r="E408" s="332" t="s">
        <v>2059</v>
      </c>
      <c r="F408" s="427" t="s">
        <v>2059</v>
      </c>
      <c r="G408" s="392">
        <f t="shared" ref="G408:AP408" si="138">G68-G306-G340-G374</f>
        <v>1</v>
      </c>
      <c r="H408" s="392">
        <f t="shared" si="138"/>
        <v>2</v>
      </c>
      <c r="I408" s="392">
        <f t="shared" si="138"/>
        <v>2</v>
      </c>
      <c r="J408" s="392">
        <f t="shared" si="138"/>
        <v>0</v>
      </c>
      <c r="K408" s="392">
        <f t="shared" si="138"/>
        <v>3</v>
      </c>
      <c r="L408" s="392">
        <f t="shared" si="138"/>
        <v>1</v>
      </c>
      <c r="M408" s="392">
        <f t="shared" si="138"/>
        <v>3</v>
      </c>
      <c r="N408" s="392">
        <f t="shared" si="138"/>
        <v>1</v>
      </c>
      <c r="O408" s="392">
        <f t="shared" si="138"/>
        <v>0</v>
      </c>
      <c r="P408" s="392">
        <f t="shared" si="138"/>
        <v>0</v>
      </c>
      <c r="Q408" s="392">
        <f t="shared" si="138"/>
        <v>0</v>
      </c>
      <c r="R408" s="392">
        <f t="shared" si="138"/>
        <v>2</v>
      </c>
      <c r="S408" s="449">
        <f t="shared" si="138"/>
        <v>0</v>
      </c>
      <c r="T408" s="392">
        <f t="shared" si="138"/>
        <v>0</v>
      </c>
      <c r="U408" s="392">
        <f t="shared" si="138"/>
        <v>1</v>
      </c>
      <c r="V408" s="392">
        <f t="shared" si="138"/>
        <v>1</v>
      </c>
      <c r="W408" s="392">
        <f t="shared" si="138"/>
        <v>0</v>
      </c>
      <c r="X408" s="392">
        <f t="shared" si="138"/>
        <v>0</v>
      </c>
      <c r="Y408" s="392">
        <f t="shared" si="138"/>
        <v>2</v>
      </c>
      <c r="Z408" s="392">
        <f t="shared" si="138"/>
        <v>0</v>
      </c>
      <c r="AA408" s="392">
        <f t="shared" si="138"/>
        <v>1</v>
      </c>
      <c r="AB408" s="392">
        <f t="shared" si="138"/>
        <v>3</v>
      </c>
      <c r="AC408" s="392">
        <f t="shared" si="138"/>
        <v>1</v>
      </c>
      <c r="AD408" s="450">
        <f t="shared" si="138"/>
        <v>1</v>
      </c>
      <c r="AE408" s="449">
        <f t="shared" si="138"/>
        <v>1</v>
      </c>
      <c r="AF408" s="392">
        <f t="shared" si="138"/>
        <v>0</v>
      </c>
      <c r="AG408" s="392">
        <f t="shared" si="138"/>
        <v>1</v>
      </c>
      <c r="AH408" s="392">
        <f t="shared" si="138"/>
        <v>1</v>
      </c>
      <c r="AI408" s="392">
        <f t="shared" si="138"/>
        <v>0</v>
      </c>
      <c r="AJ408" s="392">
        <f t="shared" si="138"/>
        <v>0</v>
      </c>
      <c r="AK408" s="392">
        <f t="shared" si="138"/>
        <v>0</v>
      </c>
      <c r="AL408" s="392">
        <f t="shared" si="138"/>
        <v>3</v>
      </c>
      <c r="AM408" s="392">
        <f t="shared" si="138"/>
        <v>0</v>
      </c>
      <c r="AN408" s="392">
        <f t="shared" si="138"/>
        <v>2</v>
      </c>
      <c r="AO408" s="392">
        <f t="shared" si="138"/>
        <v>0</v>
      </c>
      <c r="AP408" s="392">
        <f t="shared" si="138"/>
        <v>1</v>
      </c>
      <c r="AQ408" s="429"/>
      <c r="AR408" s="221">
        <f t="shared" si="108"/>
        <v>10</v>
      </c>
      <c r="AS408" s="221">
        <f t="shared" si="109"/>
        <v>9</v>
      </c>
    </row>
    <row r="409" spans="1:45" ht="15.75" customHeight="1">
      <c r="A409" s="332"/>
      <c r="B409" s="448" t="s">
        <v>2354</v>
      </c>
      <c r="C409" s="332" t="s">
        <v>2089</v>
      </c>
      <c r="D409" s="399">
        <v>2</v>
      </c>
      <c r="E409" s="332" t="s">
        <v>2059</v>
      </c>
      <c r="F409" s="427" t="s">
        <v>2059</v>
      </c>
      <c r="G409" s="392">
        <f t="shared" ref="G409:AP409" si="139">G69-G307-G341-G375</f>
        <v>0</v>
      </c>
      <c r="H409" s="392">
        <f t="shared" si="139"/>
        <v>0</v>
      </c>
      <c r="I409" s="392">
        <f t="shared" si="139"/>
        <v>0</v>
      </c>
      <c r="J409" s="392">
        <f t="shared" si="139"/>
        <v>0</v>
      </c>
      <c r="K409" s="392">
        <f t="shared" si="139"/>
        <v>0</v>
      </c>
      <c r="L409" s="392">
        <f t="shared" si="139"/>
        <v>0</v>
      </c>
      <c r="M409" s="392">
        <f t="shared" si="139"/>
        <v>0</v>
      </c>
      <c r="N409" s="392">
        <f t="shared" si="139"/>
        <v>0</v>
      </c>
      <c r="O409" s="392">
        <f t="shared" si="139"/>
        <v>0</v>
      </c>
      <c r="P409" s="392">
        <f t="shared" si="139"/>
        <v>1</v>
      </c>
      <c r="Q409" s="392">
        <f t="shared" si="139"/>
        <v>1</v>
      </c>
      <c r="R409" s="392">
        <f t="shared" si="139"/>
        <v>0</v>
      </c>
      <c r="S409" s="449">
        <f t="shared" si="139"/>
        <v>0</v>
      </c>
      <c r="T409" s="392">
        <f t="shared" si="139"/>
        <v>0</v>
      </c>
      <c r="U409" s="392">
        <f t="shared" si="139"/>
        <v>0</v>
      </c>
      <c r="V409" s="392">
        <f t="shared" si="139"/>
        <v>0</v>
      </c>
      <c r="W409" s="392">
        <f t="shared" si="139"/>
        <v>0</v>
      </c>
      <c r="X409" s="392">
        <f t="shared" si="139"/>
        <v>2</v>
      </c>
      <c r="Y409" s="392">
        <f t="shared" si="139"/>
        <v>1</v>
      </c>
      <c r="Z409" s="392">
        <f t="shared" si="139"/>
        <v>1</v>
      </c>
      <c r="AA409" s="392">
        <f t="shared" si="139"/>
        <v>0</v>
      </c>
      <c r="AB409" s="392">
        <f t="shared" si="139"/>
        <v>0</v>
      </c>
      <c r="AC409" s="392">
        <f t="shared" si="139"/>
        <v>2</v>
      </c>
      <c r="AD409" s="450">
        <f t="shared" si="139"/>
        <v>1</v>
      </c>
      <c r="AE409" s="449">
        <f t="shared" si="139"/>
        <v>0</v>
      </c>
      <c r="AF409" s="392">
        <f t="shared" si="139"/>
        <v>0</v>
      </c>
      <c r="AG409" s="392">
        <f t="shared" si="139"/>
        <v>0</v>
      </c>
      <c r="AH409" s="392">
        <f t="shared" si="139"/>
        <v>0</v>
      </c>
      <c r="AI409" s="392">
        <f t="shared" si="139"/>
        <v>0</v>
      </c>
      <c r="AJ409" s="392">
        <f t="shared" si="139"/>
        <v>1</v>
      </c>
      <c r="AK409" s="392">
        <f t="shared" si="139"/>
        <v>0</v>
      </c>
      <c r="AL409" s="392">
        <f t="shared" si="139"/>
        <v>0</v>
      </c>
      <c r="AM409" s="392">
        <f t="shared" si="139"/>
        <v>0</v>
      </c>
      <c r="AN409" s="392">
        <f t="shared" si="139"/>
        <v>0</v>
      </c>
      <c r="AO409" s="392">
        <f t="shared" si="139"/>
        <v>0</v>
      </c>
      <c r="AP409" s="392">
        <f t="shared" si="139"/>
        <v>1</v>
      </c>
      <c r="AQ409" s="429"/>
      <c r="AR409" s="221">
        <f t="shared" si="108"/>
        <v>7</v>
      </c>
      <c r="AS409" s="221">
        <f t="shared" si="109"/>
        <v>2</v>
      </c>
    </row>
    <row r="410" spans="1:45" ht="15.75" customHeight="1">
      <c r="A410" s="332"/>
      <c r="B410" s="448" t="s">
        <v>2354</v>
      </c>
      <c r="C410" s="332" t="s">
        <v>2090</v>
      </c>
      <c r="D410" s="399">
        <v>2</v>
      </c>
      <c r="E410" s="332" t="s">
        <v>2059</v>
      </c>
      <c r="F410" s="427" t="s">
        <v>2059</v>
      </c>
      <c r="G410" s="392">
        <f t="shared" ref="G410:AP410" si="140">G70-G308-G342-G376</f>
        <v>2</v>
      </c>
      <c r="H410" s="392">
        <f t="shared" si="140"/>
        <v>2</v>
      </c>
      <c r="I410" s="392">
        <f t="shared" si="140"/>
        <v>3</v>
      </c>
      <c r="J410" s="392">
        <f t="shared" si="140"/>
        <v>3</v>
      </c>
      <c r="K410" s="392">
        <f t="shared" si="140"/>
        <v>3</v>
      </c>
      <c r="L410" s="392">
        <f t="shared" si="140"/>
        <v>1</v>
      </c>
      <c r="M410" s="392">
        <f t="shared" si="140"/>
        <v>5</v>
      </c>
      <c r="N410" s="392">
        <f t="shared" si="140"/>
        <v>1</v>
      </c>
      <c r="O410" s="392">
        <f t="shared" si="140"/>
        <v>1</v>
      </c>
      <c r="P410" s="392">
        <f t="shared" si="140"/>
        <v>4</v>
      </c>
      <c r="Q410" s="392">
        <f t="shared" si="140"/>
        <v>4</v>
      </c>
      <c r="R410" s="392">
        <f t="shared" si="140"/>
        <v>5</v>
      </c>
      <c r="S410" s="449">
        <f t="shared" si="140"/>
        <v>2</v>
      </c>
      <c r="T410" s="392">
        <f t="shared" si="140"/>
        <v>3</v>
      </c>
      <c r="U410" s="392">
        <f t="shared" si="140"/>
        <v>1</v>
      </c>
      <c r="V410" s="392">
        <f t="shared" si="140"/>
        <v>2</v>
      </c>
      <c r="W410" s="392">
        <f t="shared" si="140"/>
        <v>2</v>
      </c>
      <c r="X410" s="392">
        <f t="shared" si="140"/>
        <v>0</v>
      </c>
      <c r="Y410" s="392">
        <f t="shared" si="140"/>
        <v>1</v>
      </c>
      <c r="Z410" s="392">
        <f t="shared" si="140"/>
        <v>1</v>
      </c>
      <c r="AA410" s="392">
        <f t="shared" si="140"/>
        <v>1</v>
      </c>
      <c r="AB410" s="392">
        <f t="shared" si="140"/>
        <v>6</v>
      </c>
      <c r="AC410" s="392">
        <f t="shared" si="140"/>
        <v>1</v>
      </c>
      <c r="AD410" s="450">
        <f t="shared" si="140"/>
        <v>2</v>
      </c>
      <c r="AE410" s="449">
        <f t="shared" si="140"/>
        <v>0</v>
      </c>
      <c r="AF410" s="392">
        <f t="shared" si="140"/>
        <v>1</v>
      </c>
      <c r="AG410" s="392">
        <f t="shared" si="140"/>
        <v>1</v>
      </c>
      <c r="AH410" s="392">
        <f t="shared" si="140"/>
        <v>0</v>
      </c>
      <c r="AI410" s="392">
        <f t="shared" si="140"/>
        <v>2</v>
      </c>
      <c r="AJ410" s="392">
        <f t="shared" si="140"/>
        <v>6</v>
      </c>
      <c r="AK410" s="392">
        <f t="shared" si="140"/>
        <v>1</v>
      </c>
      <c r="AL410" s="392">
        <f t="shared" si="140"/>
        <v>1</v>
      </c>
      <c r="AM410" s="392">
        <f t="shared" si="140"/>
        <v>2</v>
      </c>
      <c r="AN410" s="392">
        <f t="shared" si="140"/>
        <v>5</v>
      </c>
      <c r="AO410" s="392">
        <f t="shared" si="140"/>
        <v>6</v>
      </c>
      <c r="AP410" s="392">
        <f t="shared" si="140"/>
        <v>4</v>
      </c>
      <c r="AQ410" s="429"/>
      <c r="AR410" s="221">
        <f t="shared" si="108"/>
        <v>22</v>
      </c>
      <c r="AS410" s="221">
        <f t="shared" si="109"/>
        <v>29</v>
      </c>
    </row>
    <row r="411" spans="1:45" ht="15.75" customHeight="1">
      <c r="A411" s="332"/>
      <c r="B411" s="448" t="s">
        <v>2354</v>
      </c>
      <c r="C411" s="332" t="s">
        <v>2091</v>
      </c>
      <c r="D411" s="399">
        <v>1</v>
      </c>
      <c r="E411" s="332" t="s">
        <v>2059</v>
      </c>
      <c r="F411" s="427" t="s">
        <v>2059</v>
      </c>
      <c r="G411" s="392">
        <f t="shared" ref="G411:AP411" si="141">G71-G309-G343-G377</f>
        <v>0</v>
      </c>
      <c r="H411" s="392">
        <f t="shared" si="141"/>
        <v>0</v>
      </c>
      <c r="I411" s="392">
        <f t="shared" si="141"/>
        <v>0</v>
      </c>
      <c r="J411" s="392">
        <f t="shared" si="141"/>
        <v>0</v>
      </c>
      <c r="K411" s="392">
        <f t="shared" si="141"/>
        <v>0</v>
      </c>
      <c r="L411" s="392">
        <f t="shared" si="141"/>
        <v>0</v>
      </c>
      <c r="M411" s="392">
        <f t="shared" si="141"/>
        <v>0</v>
      </c>
      <c r="N411" s="392">
        <f t="shared" si="141"/>
        <v>0</v>
      </c>
      <c r="O411" s="392">
        <f t="shared" si="141"/>
        <v>0</v>
      </c>
      <c r="P411" s="392">
        <f t="shared" si="141"/>
        <v>0</v>
      </c>
      <c r="Q411" s="392">
        <f t="shared" si="141"/>
        <v>0</v>
      </c>
      <c r="R411" s="392">
        <f t="shared" si="141"/>
        <v>0</v>
      </c>
      <c r="S411" s="449">
        <f t="shared" si="141"/>
        <v>0</v>
      </c>
      <c r="T411" s="392">
        <f t="shared" si="141"/>
        <v>0</v>
      </c>
      <c r="U411" s="392">
        <f t="shared" si="141"/>
        <v>0</v>
      </c>
      <c r="V411" s="392">
        <f t="shared" si="141"/>
        <v>0</v>
      </c>
      <c r="W411" s="392">
        <f t="shared" si="141"/>
        <v>0</v>
      </c>
      <c r="X411" s="392">
        <f t="shared" si="141"/>
        <v>0</v>
      </c>
      <c r="Y411" s="392">
        <f t="shared" si="141"/>
        <v>0</v>
      </c>
      <c r="Z411" s="392">
        <f t="shared" si="141"/>
        <v>0</v>
      </c>
      <c r="AA411" s="392">
        <f t="shared" si="141"/>
        <v>0</v>
      </c>
      <c r="AB411" s="392">
        <f t="shared" si="141"/>
        <v>0</v>
      </c>
      <c r="AC411" s="392">
        <f t="shared" si="141"/>
        <v>0</v>
      </c>
      <c r="AD411" s="450">
        <f t="shared" si="141"/>
        <v>0</v>
      </c>
      <c r="AE411" s="449">
        <f t="shared" si="141"/>
        <v>0</v>
      </c>
      <c r="AF411" s="392">
        <f t="shared" si="141"/>
        <v>0</v>
      </c>
      <c r="AG411" s="392">
        <f t="shared" si="141"/>
        <v>0</v>
      </c>
      <c r="AH411" s="392">
        <f t="shared" si="141"/>
        <v>0</v>
      </c>
      <c r="AI411" s="392">
        <f t="shared" si="141"/>
        <v>1</v>
      </c>
      <c r="AJ411" s="392">
        <f t="shared" si="141"/>
        <v>0</v>
      </c>
      <c r="AK411" s="392">
        <f t="shared" si="141"/>
        <v>0</v>
      </c>
      <c r="AL411" s="392">
        <f t="shared" si="141"/>
        <v>0</v>
      </c>
      <c r="AM411" s="392">
        <f t="shared" si="141"/>
        <v>2</v>
      </c>
      <c r="AN411" s="392">
        <f t="shared" si="141"/>
        <v>0</v>
      </c>
      <c r="AO411" s="392">
        <f t="shared" si="141"/>
        <v>0</v>
      </c>
      <c r="AP411" s="392">
        <f t="shared" si="141"/>
        <v>1</v>
      </c>
      <c r="AQ411" s="429"/>
      <c r="AR411" s="221">
        <f t="shared" si="108"/>
        <v>0</v>
      </c>
      <c r="AS411" s="221">
        <f t="shared" si="109"/>
        <v>4</v>
      </c>
    </row>
    <row r="412" spans="1:45" ht="15.75" customHeight="1">
      <c r="A412" s="332"/>
      <c r="B412" s="448" t="s">
        <v>2354</v>
      </c>
      <c r="C412" s="332" t="s">
        <v>2092</v>
      </c>
      <c r="D412" s="399">
        <v>1</v>
      </c>
      <c r="E412" s="332" t="s">
        <v>2060</v>
      </c>
      <c r="F412" s="427" t="s">
        <v>2060</v>
      </c>
      <c r="G412" s="392">
        <f t="shared" ref="G412:AP412" si="142">G72-G310-G344-G378</f>
        <v>0</v>
      </c>
      <c r="H412" s="392">
        <f t="shared" si="142"/>
        <v>3</v>
      </c>
      <c r="I412" s="392">
        <f t="shared" si="142"/>
        <v>5</v>
      </c>
      <c r="J412" s="392">
        <f t="shared" si="142"/>
        <v>6</v>
      </c>
      <c r="K412" s="392">
        <f t="shared" si="142"/>
        <v>4</v>
      </c>
      <c r="L412" s="392">
        <f t="shared" si="142"/>
        <v>7</v>
      </c>
      <c r="M412" s="392">
        <f t="shared" si="142"/>
        <v>6</v>
      </c>
      <c r="N412" s="392">
        <f t="shared" si="142"/>
        <v>2</v>
      </c>
      <c r="O412" s="392">
        <f t="shared" si="142"/>
        <v>8</v>
      </c>
      <c r="P412" s="392">
        <f t="shared" si="142"/>
        <v>12</v>
      </c>
      <c r="Q412" s="392">
        <f t="shared" si="142"/>
        <v>9</v>
      </c>
      <c r="R412" s="392">
        <f t="shared" si="142"/>
        <v>9</v>
      </c>
      <c r="S412" s="449">
        <f t="shared" si="142"/>
        <v>2</v>
      </c>
      <c r="T412" s="392">
        <f t="shared" si="142"/>
        <v>2</v>
      </c>
      <c r="U412" s="392">
        <f t="shared" si="142"/>
        <v>5</v>
      </c>
      <c r="V412" s="392">
        <f t="shared" si="142"/>
        <v>4</v>
      </c>
      <c r="W412" s="392">
        <f t="shared" si="142"/>
        <v>5</v>
      </c>
      <c r="X412" s="392">
        <f t="shared" si="142"/>
        <v>3</v>
      </c>
      <c r="Y412" s="392">
        <f t="shared" si="142"/>
        <v>5</v>
      </c>
      <c r="Z412" s="392">
        <f t="shared" si="142"/>
        <v>5</v>
      </c>
      <c r="AA412" s="392">
        <f t="shared" si="142"/>
        <v>8</v>
      </c>
      <c r="AB412" s="392">
        <f t="shared" si="142"/>
        <v>8</v>
      </c>
      <c r="AC412" s="392">
        <f t="shared" si="142"/>
        <v>7</v>
      </c>
      <c r="AD412" s="450">
        <f t="shared" si="142"/>
        <v>6</v>
      </c>
      <c r="AE412" s="449">
        <f t="shared" si="142"/>
        <v>5</v>
      </c>
      <c r="AF412" s="392">
        <f t="shared" si="142"/>
        <v>0</v>
      </c>
      <c r="AG412" s="392">
        <f t="shared" si="142"/>
        <v>2</v>
      </c>
      <c r="AH412" s="392">
        <f t="shared" si="142"/>
        <v>3</v>
      </c>
      <c r="AI412" s="392">
        <f t="shared" si="142"/>
        <v>9</v>
      </c>
      <c r="AJ412" s="392">
        <f t="shared" si="142"/>
        <v>9</v>
      </c>
      <c r="AK412" s="392">
        <f t="shared" si="142"/>
        <v>3</v>
      </c>
      <c r="AL412" s="392">
        <f t="shared" si="142"/>
        <v>3</v>
      </c>
      <c r="AM412" s="392">
        <f t="shared" si="142"/>
        <v>4</v>
      </c>
      <c r="AN412" s="392">
        <f t="shared" si="142"/>
        <v>8</v>
      </c>
      <c r="AO412" s="392">
        <f t="shared" si="142"/>
        <v>7</v>
      </c>
      <c r="AP412" s="392">
        <f t="shared" si="142"/>
        <v>4</v>
      </c>
      <c r="AQ412" s="429"/>
      <c r="AR412" s="221">
        <f t="shared" si="108"/>
        <v>60</v>
      </c>
      <c r="AS412" s="221">
        <f t="shared" si="109"/>
        <v>57</v>
      </c>
    </row>
    <row r="413" spans="1:45" ht="15.75" customHeight="1">
      <c r="A413" s="332"/>
      <c r="B413" s="451" t="s">
        <v>2354</v>
      </c>
      <c r="C413" s="452" t="s">
        <v>2093</v>
      </c>
      <c r="D413" s="433">
        <v>1</v>
      </c>
      <c r="E413" s="434" t="s">
        <v>204</v>
      </c>
      <c r="F413" s="453" t="s">
        <v>2349</v>
      </c>
      <c r="G413" s="454">
        <f t="shared" ref="G413:AP413" si="143">G73-G311-G345-G379</f>
        <v>0</v>
      </c>
      <c r="H413" s="454">
        <f t="shared" si="143"/>
        <v>0</v>
      </c>
      <c r="I413" s="454">
        <f t="shared" si="143"/>
        <v>0</v>
      </c>
      <c r="J413" s="454">
        <f t="shared" si="143"/>
        <v>0</v>
      </c>
      <c r="K413" s="454">
        <f t="shared" si="143"/>
        <v>0</v>
      </c>
      <c r="L413" s="454">
        <f t="shared" si="143"/>
        <v>0</v>
      </c>
      <c r="M413" s="454">
        <f t="shared" si="143"/>
        <v>0</v>
      </c>
      <c r="N413" s="454">
        <f t="shared" si="143"/>
        <v>0</v>
      </c>
      <c r="O413" s="454">
        <f t="shared" si="143"/>
        <v>0</v>
      </c>
      <c r="P413" s="454">
        <f t="shared" si="143"/>
        <v>0</v>
      </c>
      <c r="Q413" s="454">
        <f t="shared" si="143"/>
        <v>0</v>
      </c>
      <c r="R413" s="454">
        <f t="shared" si="143"/>
        <v>0</v>
      </c>
      <c r="S413" s="455">
        <f t="shared" si="143"/>
        <v>0</v>
      </c>
      <c r="T413" s="454">
        <f t="shared" si="143"/>
        <v>0</v>
      </c>
      <c r="U413" s="454">
        <f t="shared" si="143"/>
        <v>0</v>
      </c>
      <c r="V413" s="454">
        <f t="shared" si="143"/>
        <v>0</v>
      </c>
      <c r="W413" s="454">
        <f t="shared" si="143"/>
        <v>0</v>
      </c>
      <c r="X413" s="454">
        <f t="shared" si="143"/>
        <v>0</v>
      </c>
      <c r="Y413" s="454">
        <f t="shared" si="143"/>
        <v>0</v>
      </c>
      <c r="Z413" s="454">
        <f t="shared" si="143"/>
        <v>0</v>
      </c>
      <c r="AA413" s="454">
        <f t="shared" si="143"/>
        <v>0</v>
      </c>
      <c r="AB413" s="454">
        <f t="shared" si="143"/>
        <v>0</v>
      </c>
      <c r="AC413" s="454">
        <f t="shared" si="143"/>
        <v>0</v>
      </c>
      <c r="AD413" s="456">
        <f t="shared" si="143"/>
        <v>0</v>
      </c>
      <c r="AE413" s="455">
        <f t="shared" si="143"/>
        <v>0</v>
      </c>
      <c r="AF413" s="454">
        <f t="shared" si="143"/>
        <v>0</v>
      </c>
      <c r="AG413" s="454">
        <f t="shared" si="143"/>
        <v>0</v>
      </c>
      <c r="AH413" s="454">
        <f t="shared" si="143"/>
        <v>0</v>
      </c>
      <c r="AI413" s="454">
        <f t="shared" si="143"/>
        <v>3</v>
      </c>
      <c r="AJ413" s="454">
        <f t="shared" si="143"/>
        <v>1</v>
      </c>
      <c r="AK413" s="454">
        <f t="shared" si="143"/>
        <v>1</v>
      </c>
      <c r="AL413" s="454">
        <f t="shared" si="143"/>
        <v>0</v>
      </c>
      <c r="AM413" s="454">
        <f t="shared" si="143"/>
        <v>0</v>
      </c>
      <c r="AN413" s="454">
        <f t="shared" si="143"/>
        <v>0</v>
      </c>
      <c r="AO413" s="454">
        <f t="shared" si="143"/>
        <v>4</v>
      </c>
      <c r="AP413" s="454">
        <f t="shared" si="143"/>
        <v>1</v>
      </c>
      <c r="AQ413" s="429"/>
      <c r="AR413" s="221">
        <f t="shared" si="108"/>
        <v>0</v>
      </c>
      <c r="AS413" s="221">
        <f t="shared" si="109"/>
        <v>10</v>
      </c>
    </row>
    <row r="414" spans="1:45" ht="15.75" customHeight="1">
      <c r="D414" s="24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220"/>
      <c r="AJ414" s="220"/>
      <c r="AK414" s="220"/>
      <c r="AL414" s="220"/>
      <c r="AM414" s="220"/>
      <c r="AN414" s="220"/>
      <c r="AO414" s="220"/>
      <c r="AP414" s="220"/>
      <c r="AQ414" s="221"/>
      <c r="AR414" s="221"/>
      <c r="AS414" s="221"/>
    </row>
    <row r="415" spans="1:45" ht="15.75" customHeight="1">
      <c r="D415" s="24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220"/>
      <c r="AJ415" s="220"/>
      <c r="AK415" s="220"/>
      <c r="AL415" s="220"/>
      <c r="AM415" s="220"/>
      <c r="AN415" s="220"/>
      <c r="AO415" s="220"/>
      <c r="AP415" s="220"/>
      <c r="AQ415" s="221"/>
      <c r="AR415" s="221"/>
      <c r="AS415" s="221"/>
    </row>
    <row r="416" spans="1:45" ht="15.75" customHeight="1">
      <c r="D416" s="24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220"/>
      <c r="AJ416" s="220"/>
      <c r="AK416" s="220"/>
      <c r="AL416" s="220"/>
      <c r="AM416" s="220"/>
      <c r="AN416" s="220"/>
      <c r="AO416" s="220"/>
      <c r="AP416" s="220"/>
      <c r="AQ416" s="221"/>
      <c r="AR416" s="221"/>
      <c r="AS416" s="221"/>
    </row>
    <row r="417" spans="4:45" ht="15.75" customHeight="1">
      <c r="D417" s="24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220"/>
      <c r="AJ417" s="220"/>
      <c r="AK417" s="220"/>
      <c r="AL417" s="220"/>
      <c r="AM417" s="220"/>
      <c r="AN417" s="220"/>
      <c r="AO417" s="220"/>
      <c r="AP417" s="220"/>
      <c r="AQ417" s="221"/>
      <c r="AR417" s="221"/>
      <c r="AS417" s="221"/>
    </row>
    <row r="418" spans="4:45" ht="15.75" customHeight="1">
      <c r="D418" s="24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220"/>
      <c r="AJ418" s="220"/>
      <c r="AK418" s="220"/>
      <c r="AL418" s="220"/>
      <c r="AM418" s="220"/>
      <c r="AN418" s="220"/>
      <c r="AO418" s="220"/>
      <c r="AP418" s="220"/>
      <c r="AQ418" s="221"/>
      <c r="AR418" s="221"/>
      <c r="AS418" s="221"/>
    </row>
    <row r="419" spans="4:45" ht="15.75" customHeight="1">
      <c r="D419" s="24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220"/>
      <c r="AJ419" s="220"/>
      <c r="AK419" s="220"/>
      <c r="AL419" s="220"/>
      <c r="AM419" s="220"/>
      <c r="AN419" s="220"/>
      <c r="AO419" s="220"/>
      <c r="AP419" s="220"/>
      <c r="AQ419" s="221"/>
      <c r="AR419" s="221"/>
      <c r="AS419" s="221"/>
    </row>
    <row r="420" spans="4:45" ht="15.75" customHeight="1">
      <c r="D420" s="24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220"/>
      <c r="AJ420" s="220"/>
      <c r="AK420" s="220"/>
      <c r="AL420" s="220"/>
      <c r="AM420" s="220"/>
      <c r="AN420" s="220"/>
      <c r="AO420" s="220"/>
      <c r="AP420" s="220"/>
      <c r="AQ420" s="221"/>
      <c r="AR420" s="221"/>
      <c r="AS420" s="221"/>
    </row>
    <row r="421" spans="4:45" ht="15.75" customHeight="1">
      <c r="D421" s="24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220"/>
      <c r="AJ421" s="220"/>
      <c r="AK421" s="220"/>
      <c r="AL421" s="220"/>
      <c r="AM421" s="220"/>
      <c r="AN421" s="220"/>
      <c r="AO421" s="220"/>
      <c r="AP421" s="220"/>
      <c r="AQ421" s="221"/>
      <c r="AR421" s="221"/>
      <c r="AS421" s="221"/>
    </row>
    <row r="422" spans="4:45" ht="15.75" customHeight="1">
      <c r="D422" s="24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220"/>
      <c r="AJ422" s="220"/>
      <c r="AK422" s="220"/>
      <c r="AL422" s="220"/>
      <c r="AM422" s="220"/>
      <c r="AN422" s="220"/>
      <c r="AO422" s="220"/>
      <c r="AP422" s="220"/>
      <c r="AQ422" s="221"/>
      <c r="AR422" s="221"/>
      <c r="AS422" s="221"/>
    </row>
    <row r="423" spans="4:45" ht="15.75" customHeight="1">
      <c r="D423" s="24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220"/>
      <c r="AJ423" s="220"/>
      <c r="AK423" s="220"/>
      <c r="AL423" s="220"/>
      <c r="AM423" s="220"/>
      <c r="AN423" s="220"/>
      <c r="AO423" s="220"/>
      <c r="AP423" s="220"/>
      <c r="AQ423" s="221"/>
      <c r="AR423" s="221"/>
      <c r="AS423" s="221"/>
    </row>
    <row r="424" spans="4:45" ht="15.75" customHeight="1">
      <c r="D424" s="24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220"/>
      <c r="AJ424" s="220"/>
      <c r="AK424" s="220"/>
      <c r="AL424" s="220"/>
      <c r="AM424" s="220"/>
      <c r="AN424" s="220"/>
      <c r="AO424" s="220"/>
      <c r="AP424" s="220"/>
      <c r="AQ424" s="221"/>
      <c r="AR424" s="221"/>
      <c r="AS424" s="221"/>
    </row>
    <row r="425" spans="4:45" ht="15.75" customHeight="1">
      <c r="D425" s="24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220"/>
      <c r="AJ425" s="220"/>
      <c r="AK425" s="220"/>
      <c r="AL425" s="220"/>
      <c r="AM425" s="220"/>
      <c r="AN425" s="220"/>
      <c r="AO425" s="220"/>
      <c r="AP425" s="220"/>
      <c r="AQ425" s="221"/>
      <c r="AR425" s="221"/>
      <c r="AS425" s="221"/>
    </row>
    <row r="426" spans="4:45" ht="15.75" customHeight="1">
      <c r="D426" s="24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220"/>
      <c r="AJ426" s="220"/>
      <c r="AK426" s="220"/>
      <c r="AL426" s="220"/>
      <c r="AM426" s="220"/>
      <c r="AN426" s="220"/>
      <c r="AO426" s="220"/>
      <c r="AP426" s="220"/>
      <c r="AQ426" s="221"/>
      <c r="AR426" s="221"/>
      <c r="AS426" s="221"/>
    </row>
    <row r="427" spans="4:45" ht="15.75" customHeight="1">
      <c r="D427" s="24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220"/>
      <c r="AJ427" s="220"/>
      <c r="AK427" s="220"/>
      <c r="AL427" s="220"/>
      <c r="AM427" s="220"/>
      <c r="AN427" s="220"/>
      <c r="AO427" s="220"/>
      <c r="AP427" s="220"/>
      <c r="AQ427" s="221"/>
      <c r="AR427" s="221"/>
      <c r="AS427" s="221"/>
    </row>
    <row r="428" spans="4:45" ht="15.75" customHeight="1">
      <c r="D428" s="24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220"/>
      <c r="AJ428" s="220"/>
      <c r="AK428" s="220"/>
      <c r="AL428" s="220"/>
      <c r="AM428" s="220"/>
      <c r="AN428" s="220"/>
      <c r="AO428" s="220"/>
      <c r="AP428" s="220"/>
      <c r="AQ428" s="221"/>
      <c r="AR428" s="221"/>
      <c r="AS428" s="221"/>
    </row>
    <row r="429" spans="4:45" ht="15.75" customHeight="1">
      <c r="D429" s="24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220"/>
      <c r="AJ429" s="220"/>
      <c r="AK429" s="220"/>
      <c r="AL429" s="220"/>
      <c r="AM429" s="220"/>
      <c r="AN429" s="220"/>
      <c r="AO429" s="220"/>
      <c r="AP429" s="220"/>
      <c r="AQ429" s="221"/>
      <c r="AR429" s="221"/>
      <c r="AS429" s="221"/>
    </row>
    <row r="430" spans="4:45" ht="15.75" customHeight="1">
      <c r="D430" s="24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220"/>
      <c r="AJ430" s="220"/>
      <c r="AK430" s="220"/>
      <c r="AL430" s="220"/>
      <c r="AM430" s="220"/>
      <c r="AN430" s="220"/>
      <c r="AO430" s="220"/>
      <c r="AP430" s="220"/>
      <c r="AQ430" s="221"/>
      <c r="AR430" s="221"/>
      <c r="AS430" s="221"/>
    </row>
    <row r="431" spans="4:45" ht="15.75" customHeight="1">
      <c r="D431" s="24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220"/>
      <c r="AJ431" s="220"/>
      <c r="AK431" s="220"/>
      <c r="AL431" s="220"/>
      <c r="AM431" s="220"/>
      <c r="AN431" s="220"/>
      <c r="AO431" s="220"/>
      <c r="AP431" s="220"/>
      <c r="AQ431" s="221"/>
      <c r="AR431" s="221"/>
      <c r="AS431" s="221"/>
    </row>
    <row r="432" spans="4:45" ht="15.75" customHeight="1">
      <c r="D432" s="24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220"/>
      <c r="AJ432" s="220"/>
      <c r="AK432" s="220"/>
      <c r="AL432" s="220"/>
      <c r="AM432" s="220"/>
      <c r="AN432" s="220"/>
      <c r="AO432" s="220"/>
      <c r="AP432" s="220"/>
      <c r="AQ432" s="221"/>
      <c r="AR432" s="221"/>
      <c r="AS432" s="221"/>
    </row>
    <row r="433" spans="4:45" ht="15.75" customHeight="1">
      <c r="D433" s="24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220"/>
      <c r="AJ433" s="220"/>
      <c r="AK433" s="220"/>
      <c r="AL433" s="220"/>
      <c r="AM433" s="220"/>
      <c r="AN433" s="220"/>
      <c r="AO433" s="220"/>
      <c r="AP433" s="220"/>
      <c r="AQ433" s="221"/>
      <c r="AR433" s="221"/>
      <c r="AS433" s="221"/>
    </row>
    <row r="434" spans="4:45" ht="15.75" customHeight="1">
      <c r="D434" s="24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220"/>
      <c r="AJ434" s="220"/>
      <c r="AK434" s="220"/>
      <c r="AL434" s="220"/>
      <c r="AM434" s="220"/>
      <c r="AN434" s="220"/>
      <c r="AO434" s="220"/>
      <c r="AP434" s="220"/>
      <c r="AQ434" s="221"/>
      <c r="AR434" s="221"/>
      <c r="AS434" s="221"/>
    </row>
    <row r="435" spans="4:45" ht="15.75" customHeight="1">
      <c r="D435" s="24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220"/>
      <c r="AJ435" s="220"/>
      <c r="AK435" s="220"/>
      <c r="AL435" s="220"/>
      <c r="AM435" s="220"/>
      <c r="AN435" s="220"/>
      <c r="AO435" s="220"/>
      <c r="AP435" s="220"/>
      <c r="AQ435" s="221"/>
      <c r="AR435" s="221"/>
      <c r="AS435" s="221"/>
    </row>
    <row r="436" spans="4:45" ht="15.75" customHeight="1">
      <c r="D436" s="24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220"/>
      <c r="AJ436" s="220"/>
      <c r="AK436" s="220"/>
      <c r="AL436" s="220"/>
      <c r="AM436" s="220"/>
      <c r="AN436" s="220"/>
      <c r="AO436" s="220"/>
      <c r="AP436" s="220"/>
      <c r="AQ436" s="221"/>
      <c r="AR436" s="221"/>
      <c r="AS436" s="221"/>
    </row>
    <row r="437" spans="4:45" ht="15.75" customHeight="1">
      <c r="D437" s="24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220"/>
      <c r="AJ437" s="220"/>
      <c r="AK437" s="220"/>
      <c r="AL437" s="220"/>
      <c r="AM437" s="220"/>
      <c r="AN437" s="220"/>
      <c r="AO437" s="220"/>
      <c r="AP437" s="220"/>
      <c r="AQ437" s="221"/>
      <c r="AR437" s="221"/>
      <c r="AS437" s="221"/>
    </row>
    <row r="438" spans="4:45" ht="15.75" customHeight="1">
      <c r="D438" s="24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220"/>
      <c r="AJ438" s="220"/>
      <c r="AK438" s="220"/>
      <c r="AL438" s="220"/>
      <c r="AM438" s="220"/>
      <c r="AN438" s="220"/>
      <c r="AO438" s="220"/>
      <c r="AP438" s="220"/>
      <c r="AQ438" s="221"/>
      <c r="AR438" s="221"/>
      <c r="AS438" s="221"/>
    </row>
    <row r="439" spans="4:45" ht="15.75" customHeight="1">
      <c r="D439" s="24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220"/>
      <c r="AJ439" s="220"/>
      <c r="AK439" s="220"/>
      <c r="AL439" s="220"/>
      <c r="AM439" s="220"/>
      <c r="AN439" s="220"/>
      <c r="AO439" s="220"/>
      <c r="AP439" s="220"/>
      <c r="AQ439" s="221"/>
      <c r="AR439" s="221"/>
      <c r="AS439" s="221"/>
    </row>
    <row r="440" spans="4:45" ht="15.75" customHeight="1">
      <c r="D440" s="24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220"/>
      <c r="AJ440" s="220"/>
      <c r="AK440" s="220"/>
      <c r="AL440" s="220"/>
      <c r="AM440" s="220"/>
      <c r="AN440" s="220"/>
      <c r="AO440" s="220"/>
      <c r="AP440" s="220"/>
      <c r="AQ440" s="221"/>
      <c r="AR440" s="221"/>
      <c r="AS440" s="221"/>
    </row>
    <row r="441" spans="4:45" ht="15.75" customHeight="1">
      <c r="D441" s="24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220"/>
      <c r="AJ441" s="220"/>
      <c r="AK441" s="220"/>
      <c r="AL441" s="220"/>
      <c r="AM441" s="220"/>
      <c r="AN441" s="220"/>
      <c r="AO441" s="220"/>
      <c r="AP441" s="220"/>
      <c r="AQ441" s="221"/>
      <c r="AR441" s="221"/>
      <c r="AS441" s="221"/>
    </row>
    <row r="442" spans="4:45" ht="15.75" customHeight="1">
      <c r="D442" s="24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220"/>
      <c r="AJ442" s="220"/>
      <c r="AK442" s="220"/>
      <c r="AL442" s="220"/>
      <c r="AM442" s="220"/>
      <c r="AN442" s="220"/>
      <c r="AO442" s="220"/>
      <c r="AP442" s="220"/>
      <c r="AQ442" s="221"/>
      <c r="AR442" s="221"/>
      <c r="AS442" s="221"/>
    </row>
    <row r="443" spans="4:45" ht="15.75" customHeight="1">
      <c r="D443" s="24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220"/>
      <c r="AJ443" s="220"/>
      <c r="AK443" s="220"/>
      <c r="AL443" s="220"/>
      <c r="AM443" s="220"/>
      <c r="AN443" s="220"/>
      <c r="AO443" s="220"/>
      <c r="AP443" s="220"/>
      <c r="AQ443" s="221"/>
      <c r="AR443" s="221"/>
      <c r="AS443" s="221"/>
    </row>
    <row r="444" spans="4:45" ht="15.75" customHeight="1">
      <c r="D444" s="24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220"/>
      <c r="AJ444" s="220"/>
      <c r="AK444" s="220"/>
      <c r="AL444" s="220"/>
      <c r="AM444" s="220"/>
      <c r="AN444" s="220"/>
      <c r="AO444" s="220"/>
      <c r="AP444" s="220"/>
      <c r="AQ444" s="221"/>
      <c r="AR444" s="221"/>
      <c r="AS444" s="221"/>
    </row>
    <row r="445" spans="4:45" ht="15.75" customHeight="1">
      <c r="D445" s="24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220"/>
      <c r="AJ445" s="220"/>
      <c r="AK445" s="220"/>
      <c r="AL445" s="220"/>
      <c r="AM445" s="220"/>
      <c r="AN445" s="220"/>
      <c r="AO445" s="220"/>
      <c r="AP445" s="220"/>
      <c r="AQ445" s="221"/>
      <c r="AR445" s="221"/>
      <c r="AS445" s="221"/>
    </row>
    <row r="446" spans="4:45" ht="15.75" customHeight="1">
      <c r="D446" s="24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220"/>
      <c r="AJ446" s="220"/>
      <c r="AK446" s="220"/>
      <c r="AL446" s="220"/>
      <c r="AM446" s="220"/>
      <c r="AN446" s="220"/>
      <c r="AO446" s="220"/>
      <c r="AP446" s="220"/>
      <c r="AQ446" s="221"/>
      <c r="AR446" s="221"/>
      <c r="AS446" s="221"/>
    </row>
    <row r="447" spans="4:45" ht="15.75" customHeight="1">
      <c r="D447" s="24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220"/>
      <c r="AJ447" s="220"/>
      <c r="AK447" s="220"/>
      <c r="AL447" s="220"/>
      <c r="AM447" s="220"/>
      <c r="AN447" s="220"/>
      <c r="AO447" s="220"/>
      <c r="AP447" s="220"/>
      <c r="AQ447" s="221"/>
      <c r="AR447" s="221"/>
      <c r="AS447" s="221"/>
    </row>
    <row r="448" spans="4:45" ht="15.75" customHeight="1">
      <c r="D448" s="24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220"/>
      <c r="AJ448" s="220"/>
      <c r="AK448" s="220"/>
      <c r="AL448" s="220"/>
      <c r="AM448" s="220"/>
      <c r="AN448" s="220"/>
      <c r="AO448" s="220"/>
      <c r="AP448" s="220"/>
      <c r="AQ448" s="221"/>
      <c r="AR448" s="221"/>
      <c r="AS448" s="221"/>
    </row>
    <row r="449" spans="4:45" ht="15.75" customHeight="1">
      <c r="D449" s="24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220"/>
      <c r="AJ449" s="220"/>
      <c r="AK449" s="220"/>
      <c r="AL449" s="220"/>
      <c r="AM449" s="220"/>
      <c r="AN449" s="220"/>
      <c r="AO449" s="220"/>
      <c r="AP449" s="220"/>
      <c r="AQ449" s="221"/>
      <c r="AR449" s="221"/>
      <c r="AS449" s="221"/>
    </row>
    <row r="450" spans="4:45" ht="15.75" customHeight="1">
      <c r="D450" s="24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220"/>
      <c r="AJ450" s="220"/>
      <c r="AK450" s="220"/>
      <c r="AL450" s="220"/>
      <c r="AM450" s="220"/>
      <c r="AN450" s="220"/>
      <c r="AO450" s="220"/>
      <c r="AP450" s="220"/>
      <c r="AQ450" s="221"/>
      <c r="AR450" s="221"/>
      <c r="AS450" s="221"/>
    </row>
    <row r="451" spans="4:45" ht="15.75" customHeight="1">
      <c r="D451" s="24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220"/>
      <c r="AJ451" s="220"/>
      <c r="AK451" s="220"/>
      <c r="AL451" s="220"/>
      <c r="AM451" s="220"/>
      <c r="AN451" s="220"/>
      <c r="AO451" s="220"/>
      <c r="AP451" s="220"/>
      <c r="AQ451" s="221"/>
      <c r="AR451" s="221"/>
      <c r="AS451" s="221"/>
    </row>
    <row r="452" spans="4:45" ht="15.75" customHeight="1">
      <c r="D452" s="24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220"/>
      <c r="AJ452" s="220"/>
      <c r="AK452" s="220"/>
      <c r="AL452" s="220"/>
      <c r="AM452" s="220"/>
      <c r="AN452" s="220"/>
      <c r="AO452" s="220"/>
      <c r="AP452" s="220"/>
      <c r="AQ452" s="221"/>
      <c r="AR452" s="221"/>
      <c r="AS452" s="221"/>
    </row>
    <row r="453" spans="4:45" ht="15.75" customHeight="1">
      <c r="D453" s="24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220"/>
      <c r="AJ453" s="220"/>
      <c r="AK453" s="220"/>
      <c r="AL453" s="220"/>
      <c r="AM453" s="220"/>
      <c r="AN453" s="220"/>
      <c r="AO453" s="220"/>
      <c r="AP453" s="220"/>
      <c r="AQ453" s="221"/>
      <c r="AR453" s="221"/>
      <c r="AS453" s="221"/>
    </row>
    <row r="454" spans="4:45" ht="15.75" customHeight="1">
      <c r="D454" s="24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220"/>
      <c r="AJ454" s="220"/>
      <c r="AK454" s="220"/>
      <c r="AL454" s="220"/>
      <c r="AM454" s="220"/>
      <c r="AN454" s="220"/>
      <c r="AO454" s="220"/>
      <c r="AP454" s="220"/>
      <c r="AQ454" s="221"/>
      <c r="AR454" s="221"/>
      <c r="AS454" s="221"/>
    </row>
    <row r="455" spans="4:45" ht="15.75" customHeight="1">
      <c r="D455" s="24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220"/>
      <c r="AJ455" s="220"/>
      <c r="AK455" s="220"/>
      <c r="AL455" s="220"/>
      <c r="AM455" s="220"/>
      <c r="AN455" s="220"/>
      <c r="AO455" s="220"/>
      <c r="AP455" s="220"/>
      <c r="AQ455" s="221"/>
      <c r="AR455" s="221"/>
      <c r="AS455" s="221"/>
    </row>
    <row r="456" spans="4:45" ht="15.75" customHeight="1">
      <c r="D456" s="24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220"/>
      <c r="AJ456" s="220"/>
      <c r="AK456" s="220"/>
      <c r="AL456" s="220"/>
      <c r="AM456" s="220"/>
      <c r="AN456" s="220"/>
      <c r="AO456" s="220"/>
      <c r="AP456" s="220"/>
      <c r="AQ456" s="221"/>
      <c r="AR456" s="221"/>
      <c r="AS456" s="221"/>
    </row>
    <row r="457" spans="4:45" ht="15.75" customHeight="1">
      <c r="D457" s="24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220"/>
      <c r="AJ457" s="220"/>
      <c r="AK457" s="220"/>
      <c r="AL457" s="220"/>
      <c r="AM457" s="220"/>
      <c r="AN457" s="220"/>
      <c r="AO457" s="220"/>
      <c r="AP457" s="220"/>
      <c r="AQ457" s="221"/>
      <c r="AR457" s="221"/>
      <c r="AS457" s="221"/>
    </row>
    <row r="458" spans="4:45" ht="15.75" customHeight="1">
      <c r="D458" s="24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220"/>
      <c r="AJ458" s="220"/>
      <c r="AK458" s="220"/>
      <c r="AL458" s="220"/>
      <c r="AM458" s="220"/>
      <c r="AN458" s="220"/>
      <c r="AO458" s="220"/>
      <c r="AP458" s="220"/>
      <c r="AQ458" s="221"/>
      <c r="AR458" s="221"/>
      <c r="AS458" s="221"/>
    </row>
    <row r="459" spans="4:45" ht="15.75" customHeight="1">
      <c r="D459" s="24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220"/>
      <c r="AJ459" s="220"/>
      <c r="AK459" s="220"/>
      <c r="AL459" s="220"/>
      <c r="AM459" s="220"/>
      <c r="AN459" s="220"/>
      <c r="AO459" s="220"/>
      <c r="AP459" s="220"/>
      <c r="AQ459" s="221"/>
      <c r="AR459" s="221"/>
      <c r="AS459" s="221"/>
    </row>
    <row r="460" spans="4:45" ht="15.75" customHeight="1">
      <c r="D460" s="24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220"/>
      <c r="AJ460" s="220"/>
      <c r="AK460" s="220"/>
      <c r="AL460" s="220"/>
      <c r="AM460" s="220"/>
      <c r="AN460" s="220"/>
      <c r="AO460" s="220"/>
      <c r="AP460" s="220"/>
      <c r="AQ460" s="221"/>
      <c r="AR460" s="221"/>
      <c r="AS460" s="221"/>
    </row>
    <row r="461" spans="4:45" ht="15.75" customHeight="1">
      <c r="D461" s="24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220"/>
      <c r="AJ461" s="220"/>
      <c r="AK461" s="220"/>
      <c r="AL461" s="220"/>
      <c r="AM461" s="220"/>
      <c r="AN461" s="220"/>
      <c r="AO461" s="220"/>
      <c r="AP461" s="220"/>
      <c r="AQ461" s="221"/>
      <c r="AR461" s="221"/>
      <c r="AS461" s="221"/>
    </row>
    <row r="462" spans="4:45" ht="15.75" customHeight="1">
      <c r="D462" s="24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220"/>
      <c r="AJ462" s="220"/>
      <c r="AK462" s="220"/>
      <c r="AL462" s="220"/>
      <c r="AM462" s="220"/>
      <c r="AN462" s="220"/>
      <c r="AO462" s="220"/>
      <c r="AP462" s="220"/>
      <c r="AQ462" s="221"/>
      <c r="AR462" s="221"/>
      <c r="AS462" s="221"/>
    </row>
    <row r="463" spans="4:45" ht="15.75" customHeight="1">
      <c r="D463" s="24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220"/>
      <c r="AJ463" s="220"/>
      <c r="AK463" s="220"/>
      <c r="AL463" s="220"/>
      <c r="AM463" s="220"/>
      <c r="AN463" s="220"/>
      <c r="AO463" s="220"/>
      <c r="AP463" s="220"/>
      <c r="AQ463" s="221"/>
      <c r="AR463" s="221"/>
      <c r="AS463" s="221"/>
    </row>
    <row r="464" spans="4:45" ht="15.75" customHeight="1">
      <c r="D464" s="24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220"/>
      <c r="AJ464" s="220"/>
      <c r="AK464" s="220"/>
      <c r="AL464" s="220"/>
      <c r="AM464" s="220"/>
      <c r="AN464" s="220"/>
      <c r="AO464" s="220"/>
      <c r="AP464" s="220"/>
      <c r="AQ464" s="221"/>
      <c r="AR464" s="221"/>
      <c r="AS464" s="221"/>
    </row>
    <row r="465" spans="4:45" ht="15.75" customHeight="1">
      <c r="D465" s="24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220"/>
      <c r="AJ465" s="220"/>
      <c r="AK465" s="220"/>
      <c r="AL465" s="220"/>
      <c r="AM465" s="220"/>
      <c r="AN465" s="220"/>
      <c r="AO465" s="220"/>
      <c r="AP465" s="220"/>
      <c r="AQ465" s="221"/>
      <c r="AR465" s="221"/>
      <c r="AS465" s="221"/>
    </row>
    <row r="466" spans="4:45" ht="15.75" customHeight="1">
      <c r="D466" s="24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220"/>
      <c r="AJ466" s="220"/>
      <c r="AK466" s="220"/>
      <c r="AL466" s="220"/>
      <c r="AM466" s="220"/>
      <c r="AN466" s="220"/>
      <c r="AO466" s="220"/>
      <c r="AP466" s="220"/>
      <c r="AQ466" s="221"/>
      <c r="AR466" s="221"/>
      <c r="AS466" s="221"/>
    </row>
    <row r="467" spans="4:45" ht="15.75" customHeight="1">
      <c r="D467" s="24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220"/>
      <c r="AJ467" s="220"/>
      <c r="AK467" s="220"/>
      <c r="AL467" s="220"/>
      <c r="AM467" s="220"/>
      <c r="AN467" s="220"/>
      <c r="AO467" s="220"/>
      <c r="AP467" s="220"/>
      <c r="AQ467" s="221"/>
      <c r="AR467" s="221"/>
      <c r="AS467" s="221"/>
    </row>
    <row r="468" spans="4:45" ht="15.75" customHeight="1">
      <c r="D468" s="24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220"/>
      <c r="AJ468" s="220"/>
      <c r="AK468" s="220"/>
      <c r="AL468" s="220"/>
      <c r="AM468" s="220"/>
      <c r="AN468" s="220"/>
      <c r="AO468" s="220"/>
      <c r="AP468" s="220"/>
      <c r="AQ468" s="221"/>
      <c r="AR468" s="221"/>
      <c r="AS468" s="221"/>
    </row>
    <row r="469" spans="4:45" ht="15.75" customHeight="1">
      <c r="D469" s="24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220"/>
      <c r="AJ469" s="220"/>
      <c r="AK469" s="220"/>
      <c r="AL469" s="220"/>
      <c r="AM469" s="220"/>
      <c r="AN469" s="220"/>
      <c r="AO469" s="220"/>
      <c r="AP469" s="220"/>
      <c r="AQ469" s="221"/>
      <c r="AR469" s="221"/>
      <c r="AS469" s="221"/>
    </row>
    <row r="470" spans="4:45" ht="15.75" customHeight="1">
      <c r="D470" s="24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220"/>
      <c r="AJ470" s="220"/>
      <c r="AK470" s="220"/>
      <c r="AL470" s="220"/>
      <c r="AM470" s="220"/>
      <c r="AN470" s="220"/>
      <c r="AO470" s="220"/>
      <c r="AP470" s="220"/>
      <c r="AQ470" s="221"/>
      <c r="AR470" s="221"/>
      <c r="AS470" s="221"/>
    </row>
    <row r="471" spans="4:45" ht="15.75" customHeight="1">
      <c r="D471" s="24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220"/>
      <c r="AJ471" s="220"/>
      <c r="AK471" s="220"/>
      <c r="AL471" s="220"/>
      <c r="AM471" s="220"/>
      <c r="AN471" s="220"/>
      <c r="AO471" s="220"/>
      <c r="AP471" s="220"/>
      <c r="AQ471" s="221"/>
      <c r="AR471" s="221"/>
      <c r="AS471" s="221"/>
    </row>
    <row r="472" spans="4:45" ht="15.75" customHeight="1">
      <c r="D472" s="24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220"/>
      <c r="AJ472" s="220"/>
      <c r="AK472" s="220"/>
      <c r="AL472" s="220"/>
      <c r="AM472" s="220"/>
      <c r="AN472" s="220"/>
      <c r="AO472" s="220"/>
      <c r="AP472" s="220"/>
      <c r="AQ472" s="221"/>
      <c r="AR472" s="221"/>
      <c r="AS472" s="221"/>
    </row>
    <row r="473" spans="4:45" ht="15.75" customHeight="1">
      <c r="D473" s="24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220"/>
      <c r="AJ473" s="220"/>
      <c r="AK473" s="220"/>
      <c r="AL473" s="220"/>
      <c r="AM473" s="220"/>
      <c r="AN473" s="220"/>
      <c r="AO473" s="220"/>
      <c r="AP473" s="220"/>
      <c r="AQ473" s="221"/>
      <c r="AR473" s="221"/>
      <c r="AS473" s="221"/>
    </row>
    <row r="474" spans="4:45" ht="15.75" customHeight="1">
      <c r="D474" s="24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220"/>
      <c r="AJ474" s="220"/>
      <c r="AK474" s="220"/>
      <c r="AL474" s="220"/>
      <c r="AM474" s="220"/>
      <c r="AN474" s="220"/>
      <c r="AO474" s="220"/>
      <c r="AP474" s="220"/>
      <c r="AQ474" s="221"/>
      <c r="AR474" s="221"/>
      <c r="AS474" s="221"/>
    </row>
    <row r="475" spans="4:45" ht="15.75" customHeight="1">
      <c r="D475" s="24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220"/>
      <c r="AJ475" s="220"/>
      <c r="AK475" s="220"/>
      <c r="AL475" s="220"/>
      <c r="AM475" s="220"/>
      <c r="AN475" s="220"/>
      <c r="AO475" s="220"/>
      <c r="AP475" s="220"/>
      <c r="AQ475" s="221"/>
      <c r="AR475" s="221"/>
      <c r="AS475" s="221"/>
    </row>
    <row r="476" spans="4:45" ht="15.75" customHeight="1">
      <c r="D476" s="24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220"/>
      <c r="AJ476" s="220"/>
      <c r="AK476" s="220"/>
      <c r="AL476" s="220"/>
      <c r="AM476" s="220"/>
      <c r="AN476" s="220"/>
      <c r="AO476" s="220"/>
      <c r="AP476" s="220"/>
      <c r="AQ476" s="221"/>
      <c r="AR476" s="221"/>
      <c r="AS476" s="221"/>
    </row>
    <row r="477" spans="4:45" ht="15.75" customHeight="1">
      <c r="D477" s="24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220"/>
      <c r="AJ477" s="220"/>
      <c r="AK477" s="220"/>
      <c r="AL477" s="220"/>
      <c r="AM477" s="220"/>
      <c r="AN477" s="220"/>
      <c r="AO477" s="220"/>
      <c r="AP477" s="220"/>
      <c r="AQ477" s="221"/>
      <c r="AR477" s="221"/>
      <c r="AS477" s="221"/>
    </row>
    <row r="478" spans="4:45" ht="15.75" customHeight="1">
      <c r="D478" s="24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220"/>
      <c r="AJ478" s="220"/>
      <c r="AK478" s="220"/>
      <c r="AL478" s="220"/>
      <c r="AM478" s="220"/>
      <c r="AN478" s="220"/>
      <c r="AO478" s="220"/>
      <c r="AP478" s="220"/>
      <c r="AQ478" s="221"/>
      <c r="AR478" s="221"/>
      <c r="AS478" s="221"/>
    </row>
    <row r="479" spans="4:45" ht="15.75" customHeight="1">
      <c r="D479" s="24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220"/>
      <c r="AJ479" s="220"/>
      <c r="AK479" s="220"/>
      <c r="AL479" s="220"/>
      <c r="AM479" s="220"/>
      <c r="AN479" s="220"/>
      <c r="AO479" s="220"/>
      <c r="AP479" s="220"/>
      <c r="AQ479" s="221"/>
      <c r="AR479" s="221"/>
      <c r="AS479" s="221"/>
    </row>
    <row r="480" spans="4:45" ht="15.75" customHeight="1">
      <c r="D480" s="24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220"/>
      <c r="AJ480" s="220"/>
      <c r="AK480" s="220"/>
      <c r="AL480" s="220"/>
      <c r="AM480" s="220"/>
      <c r="AN480" s="220"/>
      <c r="AO480" s="220"/>
      <c r="AP480" s="220"/>
      <c r="AQ480" s="221"/>
      <c r="AR480" s="221"/>
      <c r="AS480" s="221"/>
    </row>
    <row r="481" spans="4:45" ht="15.75" customHeight="1">
      <c r="D481" s="24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220"/>
      <c r="AJ481" s="220"/>
      <c r="AK481" s="220"/>
      <c r="AL481" s="220"/>
      <c r="AM481" s="220"/>
      <c r="AN481" s="220"/>
      <c r="AO481" s="220"/>
      <c r="AP481" s="220"/>
      <c r="AQ481" s="221"/>
      <c r="AR481" s="221"/>
      <c r="AS481" s="221"/>
    </row>
    <row r="482" spans="4:45" ht="15.75" customHeight="1">
      <c r="D482" s="24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220"/>
      <c r="AJ482" s="220"/>
      <c r="AK482" s="220"/>
      <c r="AL482" s="220"/>
      <c r="AM482" s="220"/>
      <c r="AN482" s="220"/>
      <c r="AO482" s="220"/>
      <c r="AP482" s="220"/>
      <c r="AQ482" s="221"/>
      <c r="AR482" s="221"/>
      <c r="AS482" s="221"/>
    </row>
    <row r="483" spans="4:45" ht="15.75" customHeight="1">
      <c r="D483" s="24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220"/>
      <c r="AJ483" s="220"/>
      <c r="AK483" s="220"/>
      <c r="AL483" s="220"/>
      <c r="AM483" s="220"/>
      <c r="AN483" s="220"/>
      <c r="AO483" s="220"/>
      <c r="AP483" s="220"/>
      <c r="AQ483" s="221"/>
      <c r="AR483" s="221"/>
      <c r="AS483" s="221"/>
    </row>
    <row r="484" spans="4:45" ht="15.75" customHeight="1">
      <c r="D484" s="24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220"/>
      <c r="AJ484" s="220"/>
      <c r="AK484" s="220"/>
      <c r="AL484" s="220"/>
      <c r="AM484" s="220"/>
      <c r="AN484" s="220"/>
      <c r="AO484" s="220"/>
      <c r="AP484" s="220"/>
      <c r="AQ484" s="221"/>
      <c r="AR484" s="221"/>
      <c r="AS484" s="221"/>
    </row>
    <row r="485" spans="4:45" ht="15.75" customHeight="1">
      <c r="D485" s="24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220"/>
      <c r="AJ485" s="220"/>
      <c r="AK485" s="220"/>
      <c r="AL485" s="220"/>
      <c r="AM485" s="220"/>
      <c r="AN485" s="220"/>
      <c r="AO485" s="220"/>
      <c r="AP485" s="220"/>
      <c r="AQ485" s="221"/>
      <c r="AR485" s="221"/>
      <c r="AS485" s="221"/>
    </row>
    <row r="486" spans="4:45" ht="15.75" customHeight="1">
      <c r="D486" s="24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220"/>
      <c r="AJ486" s="220"/>
      <c r="AK486" s="220"/>
      <c r="AL486" s="220"/>
      <c r="AM486" s="220"/>
      <c r="AN486" s="220"/>
      <c r="AO486" s="220"/>
      <c r="AP486" s="220"/>
      <c r="AQ486" s="221"/>
      <c r="AR486" s="221"/>
      <c r="AS486" s="221"/>
    </row>
    <row r="487" spans="4:45" ht="15.75" customHeight="1">
      <c r="D487" s="24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220"/>
      <c r="AJ487" s="220"/>
      <c r="AK487" s="220"/>
      <c r="AL487" s="220"/>
      <c r="AM487" s="220"/>
      <c r="AN487" s="220"/>
      <c r="AO487" s="220"/>
      <c r="AP487" s="220"/>
      <c r="AQ487" s="221"/>
      <c r="AR487" s="221"/>
      <c r="AS487" s="221"/>
    </row>
    <row r="488" spans="4:45" ht="15.75" customHeight="1">
      <c r="D488" s="24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220"/>
      <c r="AJ488" s="220"/>
      <c r="AK488" s="220"/>
      <c r="AL488" s="220"/>
      <c r="AM488" s="220"/>
      <c r="AN488" s="220"/>
      <c r="AO488" s="220"/>
      <c r="AP488" s="220"/>
      <c r="AQ488" s="221"/>
      <c r="AR488" s="221"/>
      <c r="AS488" s="221"/>
    </row>
    <row r="489" spans="4:45" ht="15.75" customHeight="1">
      <c r="D489" s="24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220"/>
      <c r="AJ489" s="220"/>
      <c r="AK489" s="220"/>
      <c r="AL489" s="220"/>
      <c r="AM489" s="220"/>
      <c r="AN489" s="220"/>
      <c r="AO489" s="220"/>
      <c r="AP489" s="220"/>
      <c r="AQ489" s="221"/>
      <c r="AR489" s="221"/>
      <c r="AS489" s="221"/>
    </row>
    <row r="490" spans="4:45" ht="15.75" customHeight="1">
      <c r="D490" s="24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220"/>
      <c r="AJ490" s="220"/>
      <c r="AK490" s="220"/>
      <c r="AL490" s="220"/>
      <c r="AM490" s="220"/>
      <c r="AN490" s="220"/>
      <c r="AO490" s="220"/>
      <c r="AP490" s="220"/>
      <c r="AQ490" s="221"/>
      <c r="AR490" s="221"/>
      <c r="AS490" s="221"/>
    </row>
    <row r="491" spans="4:45" ht="15.75" customHeight="1">
      <c r="D491" s="24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220"/>
      <c r="AJ491" s="220"/>
      <c r="AK491" s="220"/>
      <c r="AL491" s="220"/>
      <c r="AM491" s="220"/>
      <c r="AN491" s="220"/>
      <c r="AO491" s="220"/>
      <c r="AP491" s="220"/>
      <c r="AQ491" s="221"/>
      <c r="AR491" s="221"/>
      <c r="AS491" s="221"/>
    </row>
    <row r="492" spans="4:45" ht="15.75" customHeight="1">
      <c r="D492" s="24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220"/>
      <c r="AJ492" s="220"/>
      <c r="AK492" s="220"/>
      <c r="AL492" s="220"/>
      <c r="AM492" s="220"/>
      <c r="AN492" s="220"/>
      <c r="AO492" s="220"/>
      <c r="AP492" s="220"/>
      <c r="AQ492" s="221"/>
      <c r="AR492" s="221"/>
      <c r="AS492" s="221"/>
    </row>
    <row r="493" spans="4:45" ht="15.75" customHeight="1">
      <c r="D493" s="24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220"/>
      <c r="AJ493" s="220"/>
      <c r="AK493" s="220"/>
      <c r="AL493" s="220"/>
      <c r="AM493" s="220"/>
      <c r="AN493" s="220"/>
      <c r="AO493" s="220"/>
      <c r="AP493" s="220"/>
      <c r="AQ493" s="221"/>
      <c r="AR493" s="221"/>
      <c r="AS493" s="221"/>
    </row>
    <row r="494" spans="4:45" ht="15.75" customHeight="1">
      <c r="D494" s="24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220"/>
      <c r="AJ494" s="220"/>
      <c r="AK494" s="220"/>
      <c r="AL494" s="220"/>
      <c r="AM494" s="220"/>
      <c r="AN494" s="220"/>
      <c r="AO494" s="220"/>
      <c r="AP494" s="220"/>
      <c r="AQ494" s="221"/>
      <c r="AR494" s="221"/>
      <c r="AS494" s="221"/>
    </row>
    <row r="495" spans="4:45" ht="15.75" customHeight="1">
      <c r="D495" s="24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220"/>
      <c r="AJ495" s="220"/>
      <c r="AK495" s="220"/>
      <c r="AL495" s="220"/>
      <c r="AM495" s="220"/>
      <c r="AN495" s="220"/>
      <c r="AO495" s="220"/>
      <c r="AP495" s="220"/>
      <c r="AQ495" s="221"/>
      <c r="AR495" s="221"/>
      <c r="AS495" s="221"/>
    </row>
    <row r="496" spans="4:45" ht="15.75" customHeight="1">
      <c r="D496" s="24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220"/>
      <c r="AJ496" s="220"/>
      <c r="AK496" s="220"/>
      <c r="AL496" s="220"/>
      <c r="AM496" s="220"/>
      <c r="AN496" s="220"/>
      <c r="AO496" s="220"/>
      <c r="AP496" s="220"/>
      <c r="AQ496" s="221"/>
      <c r="AR496" s="221"/>
      <c r="AS496" s="221"/>
    </row>
    <row r="497" spans="4:45" ht="15.75" customHeight="1">
      <c r="D497" s="24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220"/>
      <c r="AJ497" s="220"/>
      <c r="AK497" s="220"/>
      <c r="AL497" s="220"/>
      <c r="AM497" s="220"/>
      <c r="AN497" s="220"/>
      <c r="AO497" s="220"/>
      <c r="AP497" s="220"/>
      <c r="AQ497" s="221"/>
      <c r="AR497" s="221"/>
      <c r="AS497" s="221"/>
    </row>
    <row r="498" spans="4:45" ht="15.75" customHeight="1">
      <c r="D498" s="24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220"/>
      <c r="AJ498" s="220"/>
      <c r="AK498" s="220"/>
      <c r="AL498" s="220"/>
      <c r="AM498" s="220"/>
      <c r="AN498" s="220"/>
      <c r="AO498" s="220"/>
      <c r="AP498" s="220"/>
      <c r="AQ498" s="221"/>
      <c r="AR498" s="221"/>
      <c r="AS498" s="221"/>
    </row>
    <row r="499" spans="4:45" ht="15.75" customHeight="1">
      <c r="D499" s="24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220"/>
      <c r="AJ499" s="220"/>
      <c r="AK499" s="220"/>
      <c r="AL499" s="220"/>
      <c r="AM499" s="220"/>
      <c r="AN499" s="220"/>
      <c r="AO499" s="220"/>
      <c r="AP499" s="220"/>
      <c r="AQ499" s="221"/>
      <c r="AR499" s="221"/>
      <c r="AS499" s="221"/>
    </row>
    <row r="500" spans="4:45" ht="15.75" customHeight="1">
      <c r="D500" s="24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220"/>
      <c r="AJ500" s="220"/>
      <c r="AK500" s="220"/>
      <c r="AL500" s="220"/>
      <c r="AM500" s="220"/>
      <c r="AN500" s="220"/>
      <c r="AO500" s="220"/>
      <c r="AP500" s="220"/>
      <c r="AQ500" s="221"/>
      <c r="AR500" s="221"/>
      <c r="AS500" s="221"/>
    </row>
    <row r="501" spans="4:45" ht="15.75" customHeight="1">
      <c r="D501" s="24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220"/>
      <c r="AJ501" s="220"/>
      <c r="AK501" s="220"/>
      <c r="AL501" s="220"/>
      <c r="AM501" s="220"/>
      <c r="AN501" s="220"/>
      <c r="AO501" s="220"/>
      <c r="AP501" s="220"/>
      <c r="AQ501" s="221"/>
      <c r="AR501" s="221"/>
      <c r="AS501" s="221"/>
    </row>
    <row r="502" spans="4:45" ht="15.75" customHeight="1">
      <c r="D502" s="24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220"/>
      <c r="AJ502" s="220"/>
      <c r="AK502" s="220"/>
      <c r="AL502" s="220"/>
      <c r="AM502" s="220"/>
      <c r="AN502" s="220"/>
      <c r="AO502" s="220"/>
      <c r="AP502" s="220"/>
      <c r="AQ502" s="221"/>
      <c r="AR502" s="221"/>
      <c r="AS502" s="221"/>
    </row>
    <row r="503" spans="4:45" ht="15.75" customHeight="1">
      <c r="D503" s="24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220"/>
      <c r="AJ503" s="220"/>
      <c r="AK503" s="220"/>
      <c r="AL503" s="220"/>
      <c r="AM503" s="220"/>
      <c r="AN503" s="220"/>
      <c r="AO503" s="220"/>
      <c r="AP503" s="220"/>
      <c r="AQ503" s="221"/>
      <c r="AR503" s="221"/>
      <c r="AS503" s="221"/>
    </row>
    <row r="504" spans="4:45" ht="15.75" customHeight="1">
      <c r="D504" s="24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220"/>
      <c r="AJ504" s="220"/>
      <c r="AK504" s="220"/>
      <c r="AL504" s="220"/>
      <c r="AM504" s="220"/>
      <c r="AN504" s="220"/>
      <c r="AO504" s="220"/>
      <c r="AP504" s="220"/>
      <c r="AQ504" s="221"/>
      <c r="AR504" s="221"/>
      <c r="AS504" s="221"/>
    </row>
    <row r="505" spans="4:45" ht="15.75" customHeight="1">
      <c r="D505" s="24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220"/>
      <c r="AJ505" s="220"/>
      <c r="AK505" s="220"/>
      <c r="AL505" s="220"/>
      <c r="AM505" s="220"/>
      <c r="AN505" s="220"/>
      <c r="AO505" s="220"/>
      <c r="AP505" s="220"/>
      <c r="AQ505" s="221"/>
      <c r="AR505" s="221"/>
      <c r="AS505" s="221"/>
    </row>
    <row r="506" spans="4:45" ht="15.75" customHeight="1">
      <c r="D506" s="24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220"/>
      <c r="AJ506" s="220"/>
      <c r="AK506" s="220"/>
      <c r="AL506" s="220"/>
      <c r="AM506" s="220"/>
      <c r="AN506" s="220"/>
      <c r="AO506" s="220"/>
      <c r="AP506" s="220"/>
      <c r="AQ506" s="221"/>
      <c r="AR506" s="221"/>
      <c r="AS506" s="221"/>
    </row>
    <row r="507" spans="4:45" ht="15.75" customHeight="1">
      <c r="D507" s="24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220"/>
      <c r="AJ507" s="220"/>
      <c r="AK507" s="220"/>
      <c r="AL507" s="220"/>
      <c r="AM507" s="220"/>
      <c r="AN507" s="220"/>
      <c r="AO507" s="220"/>
      <c r="AP507" s="220"/>
      <c r="AQ507" s="221"/>
      <c r="AR507" s="221"/>
      <c r="AS507" s="221"/>
    </row>
    <row r="508" spans="4:45" ht="15.75" customHeight="1">
      <c r="D508" s="24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220"/>
      <c r="AJ508" s="220"/>
      <c r="AK508" s="220"/>
      <c r="AL508" s="220"/>
      <c r="AM508" s="220"/>
      <c r="AN508" s="220"/>
      <c r="AO508" s="220"/>
      <c r="AP508" s="220"/>
      <c r="AQ508" s="221"/>
      <c r="AR508" s="221"/>
      <c r="AS508" s="221"/>
    </row>
    <row r="509" spans="4:45" ht="15.75" customHeight="1">
      <c r="D509" s="24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220"/>
      <c r="AJ509" s="220"/>
      <c r="AK509" s="220"/>
      <c r="AL509" s="220"/>
      <c r="AM509" s="220"/>
      <c r="AN509" s="220"/>
      <c r="AO509" s="220"/>
      <c r="AP509" s="220"/>
      <c r="AQ509" s="221"/>
      <c r="AR509" s="221"/>
      <c r="AS509" s="221"/>
    </row>
    <row r="510" spans="4:45" ht="15.75" customHeight="1">
      <c r="D510" s="24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220"/>
      <c r="AJ510" s="220"/>
      <c r="AK510" s="220"/>
      <c r="AL510" s="220"/>
      <c r="AM510" s="220"/>
      <c r="AN510" s="220"/>
      <c r="AO510" s="220"/>
      <c r="AP510" s="220"/>
      <c r="AQ510" s="221"/>
      <c r="AR510" s="221"/>
      <c r="AS510" s="221"/>
    </row>
    <row r="511" spans="4:45" ht="15.75" customHeight="1">
      <c r="D511" s="24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220"/>
      <c r="AJ511" s="220"/>
      <c r="AK511" s="220"/>
      <c r="AL511" s="220"/>
      <c r="AM511" s="220"/>
      <c r="AN511" s="220"/>
      <c r="AO511" s="220"/>
      <c r="AP511" s="220"/>
      <c r="AQ511" s="221"/>
      <c r="AR511" s="221"/>
      <c r="AS511" s="221"/>
    </row>
    <row r="512" spans="4:45" ht="15.75" customHeight="1">
      <c r="D512" s="24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220"/>
      <c r="AJ512" s="220"/>
      <c r="AK512" s="220"/>
      <c r="AL512" s="220"/>
      <c r="AM512" s="220"/>
      <c r="AN512" s="220"/>
      <c r="AO512" s="220"/>
      <c r="AP512" s="220"/>
      <c r="AQ512" s="221"/>
      <c r="AR512" s="221"/>
      <c r="AS512" s="221"/>
    </row>
    <row r="513" spans="4:45" ht="15.75" customHeight="1">
      <c r="D513" s="24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220"/>
      <c r="AJ513" s="220"/>
      <c r="AK513" s="220"/>
      <c r="AL513" s="220"/>
      <c r="AM513" s="220"/>
      <c r="AN513" s="220"/>
      <c r="AO513" s="220"/>
      <c r="AP513" s="220"/>
      <c r="AQ513" s="221"/>
      <c r="AR513" s="221"/>
      <c r="AS513" s="221"/>
    </row>
    <row r="514" spans="4:45" ht="15.75" customHeight="1">
      <c r="D514" s="24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220"/>
      <c r="AJ514" s="220"/>
      <c r="AK514" s="220"/>
      <c r="AL514" s="220"/>
      <c r="AM514" s="220"/>
      <c r="AN514" s="220"/>
      <c r="AO514" s="220"/>
      <c r="AP514" s="220"/>
      <c r="AQ514" s="221"/>
      <c r="AR514" s="221"/>
      <c r="AS514" s="221"/>
    </row>
    <row r="515" spans="4:45" ht="15.75" customHeight="1">
      <c r="D515" s="24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220"/>
      <c r="AJ515" s="220"/>
      <c r="AK515" s="220"/>
      <c r="AL515" s="220"/>
      <c r="AM515" s="220"/>
      <c r="AN515" s="220"/>
      <c r="AO515" s="220"/>
      <c r="AP515" s="220"/>
      <c r="AQ515" s="221"/>
      <c r="AR515" s="221"/>
      <c r="AS515" s="221"/>
    </row>
    <row r="516" spans="4:45" ht="15.75" customHeight="1">
      <c r="D516" s="24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220"/>
      <c r="AJ516" s="220"/>
      <c r="AK516" s="220"/>
      <c r="AL516" s="220"/>
      <c r="AM516" s="220"/>
      <c r="AN516" s="220"/>
      <c r="AO516" s="220"/>
      <c r="AP516" s="220"/>
      <c r="AQ516" s="221"/>
      <c r="AR516" s="221"/>
      <c r="AS516" s="221"/>
    </row>
    <row r="517" spans="4:45" ht="15.75" customHeight="1">
      <c r="D517" s="24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220"/>
      <c r="AJ517" s="220"/>
      <c r="AK517" s="220"/>
      <c r="AL517" s="220"/>
      <c r="AM517" s="220"/>
      <c r="AN517" s="220"/>
      <c r="AO517" s="220"/>
      <c r="AP517" s="220"/>
      <c r="AQ517" s="221"/>
      <c r="AR517" s="221"/>
      <c r="AS517" s="221"/>
    </row>
    <row r="518" spans="4:45" ht="15.75" customHeight="1">
      <c r="D518" s="24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220"/>
      <c r="AJ518" s="220"/>
      <c r="AK518" s="220"/>
      <c r="AL518" s="220"/>
      <c r="AM518" s="220"/>
      <c r="AN518" s="220"/>
      <c r="AO518" s="220"/>
      <c r="AP518" s="220"/>
      <c r="AQ518" s="221"/>
      <c r="AR518" s="221"/>
      <c r="AS518" s="221"/>
    </row>
    <row r="519" spans="4:45" ht="15.75" customHeight="1">
      <c r="D519" s="24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220"/>
      <c r="AJ519" s="220"/>
      <c r="AK519" s="220"/>
      <c r="AL519" s="220"/>
      <c r="AM519" s="220"/>
      <c r="AN519" s="220"/>
      <c r="AO519" s="220"/>
      <c r="AP519" s="220"/>
      <c r="AQ519" s="221"/>
      <c r="AR519" s="221"/>
      <c r="AS519" s="221"/>
    </row>
    <row r="520" spans="4:45" ht="15.75" customHeight="1">
      <c r="D520" s="24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220"/>
      <c r="AJ520" s="220"/>
      <c r="AK520" s="220"/>
      <c r="AL520" s="220"/>
      <c r="AM520" s="220"/>
      <c r="AN520" s="220"/>
      <c r="AO520" s="220"/>
      <c r="AP520" s="220"/>
      <c r="AQ520" s="221"/>
      <c r="AR520" s="221"/>
      <c r="AS520" s="221"/>
    </row>
    <row r="521" spans="4:45" ht="15.75" customHeight="1">
      <c r="D521" s="24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220"/>
      <c r="AJ521" s="220"/>
      <c r="AK521" s="220"/>
      <c r="AL521" s="220"/>
      <c r="AM521" s="220"/>
      <c r="AN521" s="220"/>
      <c r="AO521" s="220"/>
      <c r="AP521" s="220"/>
      <c r="AQ521" s="221"/>
      <c r="AR521" s="221"/>
      <c r="AS521" s="221"/>
    </row>
    <row r="522" spans="4:45" ht="15.75" customHeight="1">
      <c r="D522" s="24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220"/>
      <c r="AJ522" s="220"/>
      <c r="AK522" s="220"/>
      <c r="AL522" s="220"/>
      <c r="AM522" s="220"/>
      <c r="AN522" s="220"/>
      <c r="AO522" s="220"/>
      <c r="AP522" s="220"/>
      <c r="AQ522" s="221"/>
      <c r="AR522" s="221"/>
      <c r="AS522" s="221"/>
    </row>
    <row r="523" spans="4:45" ht="15.75" customHeight="1">
      <c r="D523" s="24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220"/>
      <c r="AJ523" s="220"/>
      <c r="AK523" s="220"/>
      <c r="AL523" s="220"/>
      <c r="AM523" s="220"/>
      <c r="AN523" s="220"/>
      <c r="AO523" s="220"/>
      <c r="AP523" s="220"/>
      <c r="AQ523" s="221"/>
      <c r="AR523" s="221"/>
      <c r="AS523" s="221"/>
    </row>
    <row r="524" spans="4:45" ht="15.75" customHeight="1">
      <c r="D524" s="24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220"/>
      <c r="AJ524" s="220"/>
      <c r="AK524" s="220"/>
      <c r="AL524" s="220"/>
      <c r="AM524" s="220"/>
      <c r="AN524" s="220"/>
      <c r="AO524" s="220"/>
      <c r="AP524" s="220"/>
      <c r="AQ524" s="221"/>
      <c r="AR524" s="221"/>
      <c r="AS524" s="221"/>
    </row>
    <row r="525" spans="4:45" ht="15.75" customHeight="1">
      <c r="D525" s="24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220"/>
      <c r="AJ525" s="220"/>
      <c r="AK525" s="220"/>
      <c r="AL525" s="220"/>
      <c r="AM525" s="220"/>
      <c r="AN525" s="220"/>
      <c r="AO525" s="220"/>
      <c r="AP525" s="220"/>
      <c r="AQ525" s="221"/>
      <c r="AR525" s="221"/>
      <c r="AS525" s="221"/>
    </row>
    <row r="526" spans="4:45" ht="15.75" customHeight="1">
      <c r="D526" s="24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220"/>
      <c r="AJ526" s="220"/>
      <c r="AK526" s="220"/>
      <c r="AL526" s="220"/>
      <c r="AM526" s="220"/>
      <c r="AN526" s="220"/>
      <c r="AO526" s="220"/>
      <c r="AP526" s="220"/>
      <c r="AQ526" s="221"/>
      <c r="AR526" s="221"/>
      <c r="AS526" s="221"/>
    </row>
    <row r="527" spans="4:45" ht="15.75" customHeight="1">
      <c r="D527" s="24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220"/>
      <c r="AJ527" s="220"/>
      <c r="AK527" s="220"/>
      <c r="AL527" s="220"/>
      <c r="AM527" s="220"/>
      <c r="AN527" s="220"/>
      <c r="AO527" s="220"/>
      <c r="AP527" s="220"/>
      <c r="AQ527" s="221"/>
      <c r="AR527" s="221"/>
      <c r="AS527" s="221"/>
    </row>
    <row r="528" spans="4:45" ht="15.75" customHeight="1">
      <c r="D528" s="24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220"/>
      <c r="AJ528" s="220"/>
      <c r="AK528" s="220"/>
      <c r="AL528" s="220"/>
      <c r="AM528" s="220"/>
      <c r="AN528" s="220"/>
      <c r="AO528" s="220"/>
      <c r="AP528" s="220"/>
      <c r="AQ528" s="221"/>
      <c r="AR528" s="221"/>
      <c r="AS528" s="221"/>
    </row>
    <row r="529" spans="4:45" ht="15.75" customHeight="1">
      <c r="D529" s="24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220"/>
      <c r="AJ529" s="220"/>
      <c r="AK529" s="220"/>
      <c r="AL529" s="220"/>
      <c r="AM529" s="220"/>
      <c r="AN529" s="220"/>
      <c r="AO529" s="220"/>
      <c r="AP529" s="220"/>
      <c r="AQ529" s="221"/>
      <c r="AR529" s="221"/>
      <c r="AS529" s="221"/>
    </row>
    <row r="530" spans="4:45" ht="15.75" customHeight="1">
      <c r="D530" s="24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220"/>
      <c r="AJ530" s="220"/>
      <c r="AK530" s="220"/>
      <c r="AL530" s="220"/>
      <c r="AM530" s="220"/>
      <c r="AN530" s="220"/>
      <c r="AO530" s="220"/>
      <c r="AP530" s="220"/>
      <c r="AQ530" s="221"/>
      <c r="AR530" s="221"/>
      <c r="AS530" s="221"/>
    </row>
    <row r="531" spans="4:45" ht="15.75" customHeight="1">
      <c r="D531" s="24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220"/>
      <c r="AJ531" s="220"/>
      <c r="AK531" s="220"/>
      <c r="AL531" s="220"/>
      <c r="AM531" s="220"/>
      <c r="AN531" s="220"/>
      <c r="AO531" s="220"/>
      <c r="AP531" s="220"/>
      <c r="AQ531" s="221"/>
      <c r="AR531" s="221"/>
      <c r="AS531" s="221"/>
    </row>
    <row r="532" spans="4:45" ht="15.75" customHeight="1">
      <c r="D532" s="24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220"/>
      <c r="AJ532" s="220"/>
      <c r="AK532" s="220"/>
      <c r="AL532" s="220"/>
      <c r="AM532" s="220"/>
      <c r="AN532" s="220"/>
      <c r="AO532" s="220"/>
      <c r="AP532" s="220"/>
      <c r="AQ532" s="221"/>
      <c r="AR532" s="221"/>
      <c r="AS532" s="221"/>
    </row>
    <row r="533" spans="4:45" ht="15.75" customHeight="1">
      <c r="D533" s="24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220"/>
      <c r="AJ533" s="220"/>
      <c r="AK533" s="220"/>
      <c r="AL533" s="220"/>
      <c r="AM533" s="220"/>
      <c r="AN533" s="220"/>
      <c r="AO533" s="220"/>
      <c r="AP533" s="220"/>
      <c r="AQ533" s="221"/>
      <c r="AR533" s="221"/>
      <c r="AS533" s="221"/>
    </row>
    <row r="534" spans="4:45" ht="15.75" customHeight="1">
      <c r="D534" s="24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220"/>
      <c r="AJ534" s="220"/>
      <c r="AK534" s="220"/>
      <c r="AL534" s="220"/>
      <c r="AM534" s="220"/>
      <c r="AN534" s="220"/>
      <c r="AO534" s="220"/>
      <c r="AP534" s="220"/>
      <c r="AQ534" s="221"/>
      <c r="AR534" s="221"/>
      <c r="AS534" s="221"/>
    </row>
    <row r="535" spans="4:45" ht="15.75" customHeight="1">
      <c r="D535" s="24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220"/>
      <c r="AJ535" s="220"/>
      <c r="AK535" s="220"/>
      <c r="AL535" s="220"/>
      <c r="AM535" s="220"/>
      <c r="AN535" s="220"/>
      <c r="AO535" s="220"/>
      <c r="AP535" s="220"/>
      <c r="AQ535" s="221"/>
      <c r="AR535" s="221"/>
      <c r="AS535" s="221"/>
    </row>
    <row r="536" spans="4:45" ht="15.75" customHeight="1">
      <c r="D536" s="24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220"/>
      <c r="AJ536" s="220"/>
      <c r="AK536" s="220"/>
      <c r="AL536" s="220"/>
      <c r="AM536" s="220"/>
      <c r="AN536" s="220"/>
      <c r="AO536" s="220"/>
      <c r="AP536" s="220"/>
      <c r="AQ536" s="221"/>
      <c r="AR536" s="221"/>
      <c r="AS536" s="221"/>
    </row>
    <row r="537" spans="4:45" ht="15.75" customHeight="1">
      <c r="D537" s="24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220"/>
      <c r="AJ537" s="220"/>
      <c r="AK537" s="220"/>
      <c r="AL537" s="220"/>
      <c r="AM537" s="220"/>
      <c r="AN537" s="220"/>
      <c r="AO537" s="220"/>
      <c r="AP537" s="220"/>
      <c r="AQ537" s="221"/>
      <c r="AR537" s="221"/>
      <c r="AS537" s="221"/>
    </row>
    <row r="538" spans="4:45" ht="15.75" customHeight="1">
      <c r="D538" s="24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220"/>
      <c r="AJ538" s="220"/>
      <c r="AK538" s="220"/>
      <c r="AL538" s="220"/>
      <c r="AM538" s="220"/>
      <c r="AN538" s="220"/>
      <c r="AO538" s="220"/>
      <c r="AP538" s="220"/>
      <c r="AQ538" s="221"/>
      <c r="AR538" s="221"/>
      <c r="AS538" s="221"/>
    </row>
    <row r="539" spans="4:45" ht="15.75" customHeight="1">
      <c r="D539" s="24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220"/>
      <c r="AJ539" s="220"/>
      <c r="AK539" s="220"/>
      <c r="AL539" s="220"/>
      <c r="AM539" s="220"/>
      <c r="AN539" s="220"/>
      <c r="AO539" s="220"/>
      <c r="AP539" s="220"/>
      <c r="AQ539" s="221"/>
      <c r="AR539" s="221"/>
      <c r="AS539" s="221"/>
    </row>
    <row r="540" spans="4:45" ht="15.75" customHeight="1">
      <c r="D540" s="24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220"/>
      <c r="AJ540" s="220"/>
      <c r="AK540" s="220"/>
      <c r="AL540" s="220"/>
      <c r="AM540" s="220"/>
      <c r="AN540" s="220"/>
      <c r="AO540" s="220"/>
      <c r="AP540" s="220"/>
      <c r="AQ540" s="221"/>
      <c r="AR540" s="221"/>
      <c r="AS540" s="221"/>
    </row>
    <row r="541" spans="4:45" ht="15.75" customHeight="1">
      <c r="D541" s="24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220"/>
      <c r="AJ541" s="220"/>
      <c r="AK541" s="220"/>
      <c r="AL541" s="220"/>
      <c r="AM541" s="220"/>
      <c r="AN541" s="220"/>
      <c r="AO541" s="220"/>
      <c r="AP541" s="220"/>
      <c r="AQ541" s="221"/>
      <c r="AR541" s="221"/>
      <c r="AS541" s="221"/>
    </row>
    <row r="542" spans="4:45" ht="15.75" customHeight="1">
      <c r="D542" s="24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220"/>
      <c r="AJ542" s="220"/>
      <c r="AK542" s="220"/>
      <c r="AL542" s="220"/>
      <c r="AM542" s="220"/>
      <c r="AN542" s="220"/>
      <c r="AO542" s="220"/>
      <c r="AP542" s="220"/>
      <c r="AQ542" s="221"/>
      <c r="AR542" s="221"/>
      <c r="AS542" s="221"/>
    </row>
    <row r="543" spans="4:45" ht="15.75" customHeight="1">
      <c r="D543" s="24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220"/>
      <c r="AJ543" s="220"/>
      <c r="AK543" s="220"/>
      <c r="AL543" s="220"/>
      <c r="AM543" s="220"/>
      <c r="AN543" s="220"/>
      <c r="AO543" s="220"/>
      <c r="AP543" s="220"/>
      <c r="AQ543" s="221"/>
      <c r="AR543" s="221"/>
      <c r="AS543" s="221"/>
    </row>
    <row r="544" spans="4:45" ht="15.75" customHeight="1">
      <c r="D544" s="24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220"/>
      <c r="AJ544" s="220"/>
      <c r="AK544" s="220"/>
      <c r="AL544" s="220"/>
      <c r="AM544" s="220"/>
      <c r="AN544" s="220"/>
      <c r="AO544" s="220"/>
      <c r="AP544" s="220"/>
      <c r="AQ544" s="221"/>
      <c r="AR544" s="221"/>
      <c r="AS544" s="221"/>
    </row>
    <row r="545" spans="4:45" ht="15.75" customHeight="1">
      <c r="D545" s="24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220"/>
      <c r="AJ545" s="220"/>
      <c r="AK545" s="220"/>
      <c r="AL545" s="220"/>
      <c r="AM545" s="220"/>
      <c r="AN545" s="220"/>
      <c r="AO545" s="220"/>
      <c r="AP545" s="220"/>
      <c r="AQ545" s="221"/>
      <c r="AR545" s="221"/>
      <c r="AS545" s="221"/>
    </row>
    <row r="546" spans="4:45" ht="15.75" customHeight="1">
      <c r="D546" s="24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220"/>
      <c r="AJ546" s="220"/>
      <c r="AK546" s="220"/>
      <c r="AL546" s="220"/>
      <c r="AM546" s="220"/>
      <c r="AN546" s="220"/>
      <c r="AO546" s="220"/>
      <c r="AP546" s="220"/>
      <c r="AQ546" s="221"/>
      <c r="AR546" s="221"/>
      <c r="AS546" s="221"/>
    </row>
    <row r="547" spans="4:45" ht="15.75" customHeight="1">
      <c r="D547" s="24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220"/>
      <c r="AJ547" s="220"/>
      <c r="AK547" s="220"/>
      <c r="AL547" s="220"/>
      <c r="AM547" s="220"/>
      <c r="AN547" s="220"/>
      <c r="AO547" s="220"/>
      <c r="AP547" s="220"/>
      <c r="AQ547" s="221"/>
      <c r="AR547" s="221"/>
      <c r="AS547" s="221"/>
    </row>
    <row r="548" spans="4:45" ht="15.75" customHeight="1">
      <c r="D548" s="24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220"/>
      <c r="AJ548" s="220"/>
      <c r="AK548" s="220"/>
      <c r="AL548" s="220"/>
      <c r="AM548" s="220"/>
      <c r="AN548" s="220"/>
      <c r="AO548" s="220"/>
      <c r="AP548" s="220"/>
      <c r="AQ548" s="221"/>
      <c r="AR548" s="221"/>
      <c r="AS548" s="221"/>
    </row>
    <row r="549" spans="4:45" ht="15.75" customHeight="1">
      <c r="D549" s="24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220"/>
      <c r="AJ549" s="220"/>
      <c r="AK549" s="220"/>
      <c r="AL549" s="220"/>
      <c r="AM549" s="220"/>
      <c r="AN549" s="220"/>
      <c r="AO549" s="220"/>
      <c r="AP549" s="220"/>
      <c r="AQ549" s="221"/>
      <c r="AR549" s="221"/>
      <c r="AS549" s="221"/>
    </row>
    <row r="550" spans="4:45" ht="15.75" customHeight="1">
      <c r="D550" s="24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220"/>
      <c r="AJ550" s="220"/>
      <c r="AK550" s="220"/>
      <c r="AL550" s="220"/>
      <c r="AM550" s="220"/>
      <c r="AN550" s="220"/>
      <c r="AO550" s="220"/>
      <c r="AP550" s="220"/>
      <c r="AQ550" s="221"/>
      <c r="AR550" s="221"/>
      <c r="AS550" s="221"/>
    </row>
    <row r="551" spans="4:45" ht="15.75" customHeight="1">
      <c r="D551" s="24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220"/>
      <c r="AJ551" s="220"/>
      <c r="AK551" s="220"/>
      <c r="AL551" s="220"/>
      <c r="AM551" s="220"/>
      <c r="AN551" s="220"/>
      <c r="AO551" s="220"/>
      <c r="AP551" s="220"/>
      <c r="AQ551" s="221"/>
      <c r="AR551" s="221"/>
      <c r="AS551" s="221"/>
    </row>
    <row r="552" spans="4:45" ht="15.75" customHeight="1">
      <c r="D552" s="24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220"/>
      <c r="AJ552" s="220"/>
      <c r="AK552" s="220"/>
      <c r="AL552" s="220"/>
      <c r="AM552" s="220"/>
      <c r="AN552" s="220"/>
      <c r="AO552" s="220"/>
      <c r="AP552" s="220"/>
      <c r="AQ552" s="221"/>
      <c r="AR552" s="221"/>
      <c r="AS552" s="221"/>
    </row>
    <row r="553" spans="4:45" ht="15.75" customHeight="1">
      <c r="D553" s="24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220"/>
      <c r="AJ553" s="220"/>
      <c r="AK553" s="220"/>
      <c r="AL553" s="220"/>
      <c r="AM553" s="220"/>
      <c r="AN553" s="220"/>
      <c r="AO553" s="220"/>
      <c r="AP553" s="220"/>
      <c r="AQ553" s="221"/>
      <c r="AR553" s="221"/>
      <c r="AS553" s="221"/>
    </row>
    <row r="554" spans="4:45" ht="15.75" customHeight="1">
      <c r="D554" s="24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220"/>
      <c r="AJ554" s="220"/>
      <c r="AK554" s="220"/>
      <c r="AL554" s="220"/>
      <c r="AM554" s="220"/>
      <c r="AN554" s="220"/>
      <c r="AO554" s="220"/>
      <c r="AP554" s="220"/>
      <c r="AQ554" s="221"/>
      <c r="AR554" s="221"/>
      <c r="AS554" s="221"/>
    </row>
    <row r="555" spans="4:45" ht="15.75" customHeight="1">
      <c r="D555" s="24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220"/>
      <c r="AJ555" s="220"/>
      <c r="AK555" s="220"/>
      <c r="AL555" s="220"/>
      <c r="AM555" s="220"/>
      <c r="AN555" s="220"/>
      <c r="AO555" s="220"/>
      <c r="AP555" s="220"/>
      <c r="AQ555" s="221"/>
      <c r="AR555" s="221"/>
      <c r="AS555" s="221"/>
    </row>
    <row r="556" spans="4:45" ht="15.75" customHeight="1">
      <c r="D556" s="24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220"/>
      <c r="AJ556" s="220"/>
      <c r="AK556" s="220"/>
      <c r="AL556" s="220"/>
      <c r="AM556" s="220"/>
      <c r="AN556" s="220"/>
      <c r="AO556" s="220"/>
      <c r="AP556" s="220"/>
      <c r="AQ556" s="221"/>
      <c r="AR556" s="221"/>
      <c r="AS556" s="221"/>
    </row>
    <row r="557" spans="4:45" ht="15.75" customHeight="1">
      <c r="D557" s="24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220"/>
      <c r="AJ557" s="220"/>
      <c r="AK557" s="220"/>
      <c r="AL557" s="220"/>
      <c r="AM557" s="220"/>
      <c r="AN557" s="220"/>
      <c r="AO557" s="220"/>
      <c r="AP557" s="220"/>
      <c r="AQ557" s="221"/>
      <c r="AR557" s="221"/>
      <c r="AS557" s="221"/>
    </row>
    <row r="558" spans="4:45" ht="15.75" customHeight="1">
      <c r="D558" s="24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220"/>
      <c r="AJ558" s="220"/>
      <c r="AK558" s="220"/>
      <c r="AL558" s="220"/>
      <c r="AM558" s="220"/>
      <c r="AN558" s="220"/>
      <c r="AO558" s="220"/>
      <c r="AP558" s="220"/>
      <c r="AQ558" s="221"/>
      <c r="AR558" s="221"/>
      <c r="AS558" s="221"/>
    </row>
    <row r="559" spans="4:45" ht="15.75" customHeight="1">
      <c r="D559" s="24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1"/>
      <c r="AR559" s="221"/>
      <c r="AS559" s="221"/>
    </row>
    <row r="560" spans="4:45" ht="15.75" customHeight="1">
      <c r="D560" s="24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220"/>
      <c r="AJ560" s="220"/>
      <c r="AK560" s="220"/>
      <c r="AL560" s="220"/>
      <c r="AM560" s="220"/>
      <c r="AN560" s="220"/>
      <c r="AO560" s="220"/>
      <c r="AP560" s="220"/>
      <c r="AQ560" s="221"/>
      <c r="AR560" s="221"/>
      <c r="AS560" s="221"/>
    </row>
    <row r="561" spans="4:45" ht="15.75" customHeight="1">
      <c r="D561" s="24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220"/>
      <c r="AJ561" s="220"/>
      <c r="AK561" s="220"/>
      <c r="AL561" s="220"/>
      <c r="AM561" s="220"/>
      <c r="AN561" s="220"/>
      <c r="AO561" s="220"/>
      <c r="AP561" s="220"/>
      <c r="AQ561" s="221"/>
      <c r="AR561" s="221"/>
      <c r="AS561" s="221"/>
    </row>
    <row r="562" spans="4:45" ht="15.75" customHeight="1">
      <c r="D562" s="24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220"/>
      <c r="AJ562" s="220"/>
      <c r="AK562" s="220"/>
      <c r="AL562" s="220"/>
      <c r="AM562" s="220"/>
      <c r="AN562" s="220"/>
      <c r="AO562" s="220"/>
      <c r="AP562" s="220"/>
      <c r="AQ562" s="221"/>
      <c r="AR562" s="221"/>
      <c r="AS562" s="221"/>
    </row>
    <row r="563" spans="4:45" ht="15.75" customHeight="1">
      <c r="D563" s="24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220"/>
      <c r="AJ563" s="220"/>
      <c r="AK563" s="220"/>
      <c r="AL563" s="220"/>
      <c r="AM563" s="220"/>
      <c r="AN563" s="220"/>
      <c r="AO563" s="220"/>
      <c r="AP563" s="220"/>
      <c r="AQ563" s="221"/>
      <c r="AR563" s="221"/>
      <c r="AS563" s="221"/>
    </row>
    <row r="564" spans="4:45" ht="15.75" customHeight="1">
      <c r="D564" s="24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220"/>
      <c r="AJ564" s="220"/>
      <c r="AK564" s="220"/>
      <c r="AL564" s="220"/>
      <c r="AM564" s="220"/>
      <c r="AN564" s="220"/>
      <c r="AO564" s="220"/>
      <c r="AP564" s="220"/>
      <c r="AQ564" s="221"/>
      <c r="AR564" s="221"/>
      <c r="AS564" s="221"/>
    </row>
    <row r="565" spans="4:45" ht="15.75" customHeight="1">
      <c r="D565" s="24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220"/>
      <c r="AJ565" s="220"/>
      <c r="AK565" s="220"/>
      <c r="AL565" s="220"/>
      <c r="AM565" s="220"/>
      <c r="AN565" s="220"/>
      <c r="AO565" s="220"/>
      <c r="AP565" s="220"/>
      <c r="AQ565" s="221"/>
      <c r="AR565" s="221"/>
      <c r="AS565" s="221"/>
    </row>
    <row r="566" spans="4:45" ht="15.75" customHeight="1">
      <c r="D566" s="24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220"/>
      <c r="AJ566" s="220"/>
      <c r="AK566" s="220"/>
      <c r="AL566" s="220"/>
      <c r="AM566" s="220"/>
      <c r="AN566" s="220"/>
      <c r="AO566" s="220"/>
      <c r="AP566" s="220"/>
      <c r="AQ566" s="221"/>
      <c r="AR566" s="221"/>
      <c r="AS566" s="221"/>
    </row>
    <row r="567" spans="4:45" ht="15.75" customHeight="1">
      <c r="D567" s="24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220"/>
      <c r="AJ567" s="220"/>
      <c r="AK567" s="220"/>
      <c r="AL567" s="220"/>
      <c r="AM567" s="220"/>
      <c r="AN567" s="220"/>
      <c r="AO567" s="220"/>
      <c r="AP567" s="220"/>
      <c r="AQ567" s="221"/>
      <c r="AR567" s="221"/>
      <c r="AS567" s="221"/>
    </row>
    <row r="568" spans="4:45" ht="15.75" customHeight="1">
      <c r="D568" s="24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220"/>
      <c r="AJ568" s="220"/>
      <c r="AK568" s="220"/>
      <c r="AL568" s="220"/>
      <c r="AM568" s="220"/>
      <c r="AN568" s="220"/>
      <c r="AO568" s="220"/>
      <c r="AP568" s="220"/>
      <c r="AQ568" s="221"/>
      <c r="AR568" s="221"/>
      <c r="AS568" s="221"/>
    </row>
    <row r="569" spans="4:45" ht="15.75" customHeight="1">
      <c r="D569" s="24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220"/>
      <c r="AJ569" s="220"/>
      <c r="AK569" s="220"/>
      <c r="AL569" s="220"/>
      <c r="AM569" s="220"/>
      <c r="AN569" s="220"/>
      <c r="AO569" s="220"/>
      <c r="AP569" s="220"/>
      <c r="AQ569" s="221"/>
      <c r="AR569" s="221"/>
      <c r="AS569" s="221"/>
    </row>
    <row r="570" spans="4:45" ht="15.75" customHeight="1">
      <c r="D570" s="24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220"/>
      <c r="AJ570" s="220"/>
      <c r="AK570" s="220"/>
      <c r="AL570" s="220"/>
      <c r="AM570" s="220"/>
      <c r="AN570" s="220"/>
      <c r="AO570" s="220"/>
      <c r="AP570" s="220"/>
      <c r="AQ570" s="221"/>
      <c r="AR570" s="221"/>
      <c r="AS570" s="221"/>
    </row>
    <row r="571" spans="4:45" ht="15.75" customHeight="1">
      <c r="D571" s="24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220"/>
      <c r="AJ571" s="220"/>
      <c r="AK571" s="220"/>
      <c r="AL571" s="220"/>
      <c r="AM571" s="220"/>
      <c r="AN571" s="220"/>
      <c r="AO571" s="220"/>
      <c r="AP571" s="220"/>
      <c r="AQ571" s="221"/>
      <c r="AR571" s="221"/>
      <c r="AS571" s="221"/>
    </row>
    <row r="572" spans="4:45" ht="15.75" customHeight="1">
      <c r="D572" s="24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220"/>
      <c r="AJ572" s="220"/>
      <c r="AK572" s="220"/>
      <c r="AL572" s="220"/>
      <c r="AM572" s="220"/>
      <c r="AN572" s="220"/>
      <c r="AO572" s="220"/>
      <c r="AP572" s="220"/>
      <c r="AQ572" s="221"/>
      <c r="AR572" s="221"/>
      <c r="AS572" s="221"/>
    </row>
    <row r="573" spans="4:45" ht="15.75" customHeight="1">
      <c r="D573" s="24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220"/>
      <c r="AJ573" s="220"/>
      <c r="AK573" s="220"/>
      <c r="AL573" s="220"/>
      <c r="AM573" s="220"/>
      <c r="AN573" s="220"/>
      <c r="AO573" s="220"/>
      <c r="AP573" s="220"/>
      <c r="AQ573" s="221"/>
      <c r="AR573" s="221"/>
      <c r="AS573" s="221"/>
    </row>
    <row r="574" spans="4:45" ht="15.75" customHeight="1">
      <c r="D574" s="24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220"/>
      <c r="AJ574" s="220"/>
      <c r="AK574" s="220"/>
      <c r="AL574" s="220"/>
      <c r="AM574" s="220"/>
      <c r="AN574" s="220"/>
      <c r="AO574" s="220"/>
      <c r="AP574" s="220"/>
      <c r="AQ574" s="221"/>
      <c r="AR574" s="221"/>
      <c r="AS574" s="221"/>
    </row>
    <row r="575" spans="4:45" ht="15.75" customHeight="1">
      <c r="D575" s="24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220"/>
      <c r="AJ575" s="220"/>
      <c r="AK575" s="220"/>
      <c r="AL575" s="220"/>
      <c r="AM575" s="220"/>
      <c r="AN575" s="220"/>
      <c r="AO575" s="220"/>
      <c r="AP575" s="220"/>
      <c r="AQ575" s="221"/>
      <c r="AR575" s="221"/>
      <c r="AS575" s="221"/>
    </row>
    <row r="576" spans="4:45" ht="15.75" customHeight="1">
      <c r="D576" s="24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220"/>
      <c r="AJ576" s="220"/>
      <c r="AK576" s="220"/>
      <c r="AL576" s="220"/>
      <c r="AM576" s="220"/>
      <c r="AN576" s="220"/>
      <c r="AO576" s="220"/>
      <c r="AP576" s="220"/>
      <c r="AQ576" s="221"/>
      <c r="AR576" s="221"/>
      <c r="AS576" s="221"/>
    </row>
    <row r="577" spans="4:45" ht="15.75" customHeight="1">
      <c r="D577" s="24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220"/>
      <c r="AJ577" s="220"/>
      <c r="AK577" s="220"/>
      <c r="AL577" s="220"/>
      <c r="AM577" s="220"/>
      <c r="AN577" s="220"/>
      <c r="AO577" s="220"/>
      <c r="AP577" s="220"/>
      <c r="AQ577" s="221"/>
      <c r="AR577" s="221"/>
      <c r="AS577" s="221"/>
    </row>
    <row r="578" spans="4:45" ht="15.75" customHeight="1">
      <c r="D578" s="24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220"/>
      <c r="AJ578" s="220"/>
      <c r="AK578" s="220"/>
      <c r="AL578" s="220"/>
      <c r="AM578" s="220"/>
      <c r="AN578" s="220"/>
      <c r="AO578" s="220"/>
      <c r="AP578" s="220"/>
      <c r="AQ578" s="221"/>
      <c r="AR578" s="221"/>
      <c r="AS578" s="221"/>
    </row>
    <row r="579" spans="4:45" ht="15.75" customHeight="1">
      <c r="D579" s="24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220"/>
      <c r="AJ579" s="220"/>
      <c r="AK579" s="220"/>
      <c r="AL579" s="220"/>
      <c r="AM579" s="220"/>
      <c r="AN579" s="220"/>
      <c r="AO579" s="220"/>
      <c r="AP579" s="220"/>
      <c r="AQ579" s="221"/>
      <c r="AR579" s="221"/>
      <c r="AS579" s="221"/>
    </row>
    <row r="580" spans="4:45" ht="15.75" customHeight="1">
      <c r="D580" s="24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220"/>
      <c r="AJ580" s="220"/>
      <c r="AK580" s="220"/>
      <c r="AL580" s="220"/>
      <c r="AM580" s="220"/>
      <c r="AN580" s="220"/>
      <c r="AO580" s="220"/>
      <c r="AP580" s="220"/>
      <c r="AQ580" s="221"/>
      <c r="AR580" s="221"/>
      <c r="AS580" s="221"/>
    </row>
    <row r="581" spans="4:45" ht="15.75" customHeight="1">
      <c r="D581" s="24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220"/>
      <c r="AJ581" s="220"/>
      <c r="AK581" s="220"/>
      <c r="AL581" s="220"/>
      <c r="AM581" s="220"/>
      <c r="AN581" s="220"/>
      <c r="AO581" s="220"/>
      <c r="AP581" s="220"/>
      <c r="AQ581" s="221"/>
      <c r="AR581" s="221"/>
      <c r="AS581" s="221"/>
    </row>
    <row r="582" spans="4:45" ht="15.75" customHeight="1">
      <c r="D582" s="24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220"/>
      <c r="AJ582" s="220"/>
      <c r="AK582" s="220"/>
      <c r="AL582" s="220"/>
      <c r="AM582" s="220"/>
      <c r="AN582" s="220"/>
      <c r="AO582" s="220"/>
      <c r="AP582" s="220"/>
      <c r="AQ582" s="221"/>
      <c r="AR582" s="221"/>
      <c r="AS582" s="221"/>
    </row>
    <row r="583" spans="4:45" ht="15.75" customHeight="1">
      <c r="D583" s="24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220"/>
      <c r="AJ583" s="220"/>
      <c r="AK583" s="220"/>
      <c r="AL583" s="220"/>
      <c r="AM583" s="220"/>
      <c r="AN583" s="220"/>
      <c r="AO583" s="220"/>
      <c r="AP583" s="220"/>
      <c r="AQ583" s="221"/>
      <c r="AR583" s="221"/>
      <c r="AS583" s="221"/>
    </row>
    <row r="584" spans="4:45" ht="15.75" customHeight="1">
      <c r="D584" s="24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220"/>
      <c r="AJ584" s="220"/>
      <c r="AK584" s="220"/>
      <c r="AL584" s="220"/>
      <c r="AM584" s="220"/>
      <c r="AN584" s="220"/>
      <c r="AO584" s="220"/>
      <c r="AP584" s="220"/>
      <c r="AQ584" s="221"/>
      <c r="AR584" s="221"/>
      <c r="AS584" s="221"/>
    </row>
    <row r="585" spans="4:45" ht="15.75" customHeight="1">
      <c r="D585" s="24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220"/>
      <c r="AJ585" s="220"/>
      <c r="AK585" s="220"/>
      <c r="AL585" s="220"/>
      <c r="AM585" s="220"/>
      <c r="AN585" s="220"/>
      <c r="AO585" s="220"/>
      <c r="AP585" s="220"/>
      <c r="AQ585" s="221"/>
      <c r="AR585" s="221"/>
      <c r="AS585" s="221"/>
    </row>
    <row r="586" spans="4:45" ht="15.75" customHeight="1">
      <c r="D586" s="24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220"/>
      <c r="AJ586" s="220"/>
      <c r="AK586" s="220"/>
      <c r="AL586" s="220"/>
      <c r="AM586" s="220"/>
      <c r="AN586" s="220"/>
      <c r="AO586" s="220"/>
      <c r="AP586" s="220"/>
      <c r="AQ586" s="221"/>
      <c r="AR586" s="221"/>
      <c r="AS586" s="221"/>
    </row>
    <row r="587" spans="4:45" ht="15.75" customHeight="1">
      <c r="D587" s="24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220"/>
      <c r="AJ587" s="220"/>
      <c r="AK587" s="220"/>
      <c r="AL587" s="220"/>
      <c r="AM587" s="220"/>
      <c r="AN587" s="220"/>
      <c r="AO587" s="220"/>
      <c r="AP587" s="220"/>
      <c r="AQ587" s="221"/>
      <c r="AR587" s="221"/>
      <c r="AS587" s="221"/>
    </row>
    <row r="588" spans="4:45" ht="15.75" customHeight="1">
      <c r="D588" s="24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220"/>
      <c r="AJ588" s="220"/>
      <c r="AK588" s="220"/>
      <c r="AL588" s="220"/>
      <c r="AM588" s="220"/>
      <c r="AN588" s="220"/>
      <c r="AO588" s="220"/>
      <c r="AP588" s="220"/>
      <c r="AQ588" s="221"/>
      <c r="AR588" s="221"/>
      <c r="AS588" s="221"/>
    </row>
    <row r="589" spans="4:45" ht="15.75" customHeight="1">
      <c r="D589" s="24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220"/>
      <c r="AJ589" s="220"/>
      <c r="AK589" s="220"/>
      <c r="AL589" s="220"/>
      <c r="AM589" s="220"/>
      <c r="AN589" s="220"/>
      <c r="AO589" s="220"/>
      <c r="AP589" s="220"/>
      <c r="AQ589" s="221"/>
      <c r="AR589" s="221"/>
      <c r="AS589" s="221"/>
    </row>
    <row r="590" spans="4:45" ht="15.75" customHeight="1">
      <c r="D590" s="24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220"/>
      <c r="AJ590" s="220"/>
      <c r="AK590" s="220"/>
      <c r="AL590" s="220"/>
      <c r="AM590" s="220"/>
      <c r="AN590" s="220"/>
      <c r="AO590" s="220"/>
      <c r="AP590" s="220"/>
      <c r="AQ590" s="221"/>
      <c r="AR590" s="221"/>
      <c r="AS590" s="221"/>
    </row>
    <row r="591" spans="4:45" ht="15.75" customHeight="1">
      <c r="D591" s="24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220"/>
      <c r="AJ591" s="220"/>
      <c r="AK591" s="220"/>
      <c r="AL591" s="220"/>
      <c r="AM591" s="220"/>
      <c r="AN591" s="220"/>
      <c r="AO591" s="220"/>
      <c r="AP591" s="220"/>
      <c r="AQ591" s="221"/>
      <c r="AR591" s="221"/>
      <c r="AS591" s="221"/>
    </row>
    <row r="592" spans="4:45" ht="15.75" customHeight="1">
      <c r="D592" s="24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220"/>
      <c r="AJ592" s="220"/>
      <c r="AK592" s="220"/>
      <c r="AL592" s="220"/>
      <c r="AM592" s="220"/>
      <c r="AN592" s="220"/>
      <c r="AO592" s="220"/>
      <c r="AP592" s="220"/>
      <c r="AQ592" s="221"/>
      <c r="AR592" s="221"/>
      <c r="AS592" s="221"/>
    </row>
    <row r="593" spans="4:45" ht="15.75" customHeight="1">
      <c r="D593" s="24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220"/>
      <c r="AJ593" s="220"/>
      <c r="AK593" s="220"/>
      <c r="AL593" s="220"/>
      <c r="AM593" s="220"/>
      <c r="AN593" s="220"/>
      <c r="AO593" s="220"/>
      <c r="AP593" s="220"/>
      <c r="AQ593" s="221"/>
      <c r="AR593" s="221"/>
      <c r="AS593" s="221"/>
    </row>
    <row r="594" spans="4:45" ht="15.75" customHeight="1">
      <c r="D594" s="24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220"/>
      <c r="AJ594" s="220"/>
      <c r="AK594" s="220"/>
      <c r="AL594" s="220"/>
      <c r="AM594" s="220"/>
      <c r="AN594" s="220"/>
      <c r="AO594" s="220"/>
      <c r="AP594" s="220"/>
      <c r="AQ594" s="221"/>
      <c r="AR594" s="221"/>
      <c r="AS594" s="221"/>
    </row>
    <row r="595" spans="4:45" ht="15.75" customHeight="1">
      <c r="D595" s="24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220"/>
      <c r="AJ595" s="220"/>
      <c r="AK595" s="220"/>
      <c r="AL595" s="220"/>
      <c r="AM595" s="220"/>
      <c r="AN595" s="220"/>
      <c r="AO595" s="220"/>
      <c r="AP595" s="220"/>
      <c r="AQ595" s="221"/>
      <c r="AR595" s="221"/>
      <c r="AS595" s="221"/>
    </row>
    <row r="596" spans="4:45" ht="15.75" customHeight="1">
      <c r="D596" s="24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220"/>
      <c r="AJ596" s="220"/>
      <c r="AK596" s="220"/>
      <c r="AL596" s="220"/>
      <c r="AM596" s="220"/>
      <c r="AN596" s="220"/>
      <c r="AO596" s="220"/>
      <c r="AP596" s="220"/>
      <c r="AQ596" s="221"/>
      <c r="AR596" s="221"/>
      <c r="AS596" s="221"/>
    </row>
    <row r="597" spans="4:45" ht="15.75" customHeight="1">
      <c r="D597" s="24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220"/>
      <c r="AJ597" s="220"/>
      <c r="AK597" s="220"/>
      <c r="AL597" s="220"/>
      <c r="AM597" s="220"/>
      <c r="AN597" s="220"/>
      <c r="AO597" s="220"/>
      <c r="AP597" s="220"/>
      <c r="AQ597" s="221"/>
      <c r="AR597" s="221"/>
      <c r="AS597" s="221"/>
    </row>
    <row r="598" spans="4:45" ht="15.75" customHeight="1">
      <c r="D598" s="24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220"/>
      <c r="AJ598" s="220"/>
      <c r="AK598" s="220"/>
      <c r="AL598" s="220"/>
      <c r="AM598" s="220"/>
      <c r="AN598" s="220"/>
      <c r="AO598" s="220"/>
      <c r="AP598" s="220"/>
      <c r="AQ598" s="221"/>
      <c r="AR598" s="221"/>
      <c r="AS598" s="221"/>
    </row>
    <row r="599" spans="4:45" ht="15.75" customHeight="1">
      <c r="D599" s="24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220"/>
      <c r="AJ599" s="220"/>
      <c r="AK599" s="220"/>
      <c r="AL599" s="220"/>
      <c r="AM599" s="220"/>
      <c r="AN599" s="220"/>
      <c r="AO599" s="220"/>
      <c r="AP599" s="220"/>
      <c r="AQ599" s="221"/>
      <c r="AR599" s="221"/>
      <c r="AS599" s="221"/>
    </row>
    <row r="600" spans="4:45" ht="15.75" customHeight="1">
      <c r="D600" s="24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220"/>
      <c r="AJ600" s="220"/>
      <c r="AK600" s="220"/>
      <c r="AL600" s="220"/>
      <c r="AM600" s="220"/>
      <c r="AN600" s="220"/>
      <c r="AO600" s="220"/>
      <c r="AP600" s="220"/>
      <c r="AQ600" s="221"/>
      <c r="AR600" s="221"/>
      <c r="AS600" s="221"/>
    </row>
    <row r="601" spans="4:45" ht="15.75" customHeight="1">
      <c r="D601" s="24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220"/>
      <c r="AJ601" s="220"/>
      <c r="AK601" s="220"/>
      <c r="AL601" s="220"/>
      <c r="AM601" s="220"/>
      <c r="AN601" s="220"/>
      <c r="AO601" s="220"/>
      <c r="AP601" s="220"/>
      <c r="AQ601" s="221"/>
      <c r="AR601" s="221"/>
      <c r="AS601" s="221"/>
    </row>
    <row r="602" spans="4:45" ht="15.75" customHeight="1">
      <c r="D602" s="24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220"/>
      <c r="AJ602" s="220"/>
      <c r="AK602" s="220"/>
      <c r="AL602" s="220"/>
      <c r="AM602" s="220"/>
      <c r="AN602" s="220"/>
      <c r="AO602" s="220"/>
      <c r="AP602" s="220"/>
      <c r="AQ602" s="221"/>
      <c r="AR602" s="221"/>
      <c r="AS602" s="221"/>
    </row>
    <row r="603" spans="4:45" ht="15.75" customHeight="1">
      <c r="D603" s="24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220"/>
      <c r="AJ603" s="220"/>
      <c r="AK603" s="220"/>
      <c r="AL603" s="220"/>
      <c r="AM603" s="220"/>
      <c r="AN603" s="220"/>
      <c r="AO603" s="220"/>
      <c r="AP603" s="220"/>
      <c r="AQ603" s="221"/>
      <c r="AR603" s="221"/>
      <c r="AS603" s="221"/>
    </row>
    <row r="604" spans="4:45" ht="15.75" customHeight="1">
      <c r="D604" s="24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220"/>
      <c r="AJ604" s="220"/>
      <c r="AK604" s="220"/>
      <c r="AL604" s="220"/>
      <c r="AM604" s="220"/>
      <c r="AN604" s="220"/>
      <c r="AO604" s="220"/>
      <c r="AP604" s="220"/>
      <c r="AQ604" s="221"/>
      <c r="AR604" s="221"/>
      <c r="AS604" s="221"/>
    </row>
    <row r="605" spans="4:45" ht="15.75" customHeight="1">
      <c r="D605" s="24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220"/>
      <c r="AJ605" s="220"/>
      <c r="AK605" s="220"/>
      <c r="AL605" s="220"/>
      <c r="AM605" s="220"/>
      <c r="AN605" s="220"/>
      <c r="AO605" s="220"/>
      <c r="AP605" s="220"/>
      <c r="AQ605" s="221"/>
      <c r="AR605" s="221"/>
      <c r="AS605" s="221"/>
    </row>
    <row r="606" spans="4:45" ht="15.75" customHeight="1">
      <c r="D606" s="24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220"/>
      <c r="AJ606" s="220"/>
      <c r="AK606" s="220"/>
      <c r="AL606" s="220"/>
      <c r="AM606" s="220"/>
      <c r="AN606" s="220"/>
      <c r="AO606" s="220"/>
      <c r="AP606" s="220"/>
      <c r="AQ606" s="221"/>
      <c r="AR606" s="221"/>
      <c r="AS606" s="221"/>
    </row>
    <row r="607" spans="4:45" ht="15.75" customHeight="1">
      <c r="D607" s="24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220"/>
      <c r="AJ607" s="220"/>
      <c r="AK607" s="220"/>
      <c r="AL607" s="220"/>
      <c r="AM607" s="220"/>
      <c r="AN607" s="220"/>
      <c r="AO607" s="220"/>
      <c r="AP607" s="220"/>
      <c r="AQ607" s="221"/>
      <c r="AR607" s="221"/>
      <c r="AS607" s="221"/>
    </row>
    <row r="608" spans="4:45" ht="15.75" customHeight="1">
      <c r="D608" s="24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220"/>
      <c r="AJ608" s="220"/>
      <c r="AK608" s="220"/>
      <c r="AL608" s="220"/>
      <c r="AM608" s="220"/>
      <c r="AN608" s="220"/>
      <c r="AO608" s="220"/>
      <c r="AP608" s="220"/>
      <c r="AQ608" s="221"/>
      <c r="AR608" s="221"/>
      <c r="AS608" s="221"/>
    </row>
    <row r="609" spans="4:45" ht="15.75" customHeight="1">
      <c r="D609" s="24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220"/>
      <c r="AJ609" s="220"/>
      <c r="AK609" s="220"/>
      <c r="AL609" s="220"/>
      <c r="AM609" s="220"/>
      <c r="AN609" s="220"/>
      <c r="AO609" s="220"/>
      <c r="AP609" s="220"/>
      <c r="AQ609" s="221"/>
      <c r="AR609" s="221"/>
      <c r="AS609" s="221"/>
    </row>
    <row r="610" spans="4:45" ht="15.75" customHeight="1">
      <c r="D610" s="24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220"/>
      <c r="AJ610" s="220"/>
      <c r="AK610" s="220"/>
      <c r="AL610" s="220"/>
      <c r="AM610" s="220"/>
      <c r="AN610" s="220"/>
      <c r="AO610" s="220"/>
      <c r="AP610" s="220"/>
      <c r="AQ610" s="221"/>
      <c r="AR610" s="221"/>
      <c r="AS610" s="221"/>
    </row>
    <row r="611" spans="4:45" ht="15.75" customHeight="1">
      <c r="D611" s="24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220"/>
      <c r="AJ611" s="220"/>
      <c r="AK611" s="220"/>
      <c r="AL611" s="220"/>
      <c r="AM611" s="220"/>
      <c r="AN611" s="220"/>
      <c r="AO611" s="220"/>
      <c r="AP611" s="220"/>
      <c r="AQ611" s="221"/>
      <c r="AR611" s="221"/>
      <c r="AS611" s="221"/>
    </row>
    <row r="612" spans="4:45" ht="15.75" customHeight="1">
      <c r="D612" s="24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220"/>
      <c r="AJ612" s="220"/>
      <c r="AK612" s="220"/>
      <c r="AL612" s="220"/>
      <c r="AM612" s="220"/>
      <c r="AN612" s="220"/>
      <c r="AO612" s="220"/>
      <c r="AP612" s="220"/>
      <c r="AQ612" s="221"/>
      <c r="AR612" s="221"/>
      <c r="AS612" s="221"/>
    </row>
    <row r="613" spans="4:45" ht="15.75" customHeight="1">
      <c r="D613" s="24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220"/>
      <c r="AJ613" s="220"/>
      <c r="AK613" s="220"/>
      <c r="AL613" s="220"/>
      <c r="AM613" s="220"/>
      <c r="AN613" s="220"/>
      <c r="AO613" s="220"/>
      <c r="AP613" s="220"/>
      <c r="AQ613" s="221"/>
      <c r="AR613" s="221"/>
      <c r="AS613" s="221"/>
    </row>
  </sheetData>
  <pageMargins left="0.7" right="0.7" top="0.75" bottom="0.75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D0E9EA"/>
  </sheetPr>
  <dimension ref="A2:I1000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2.54296875" defaultRowHeight="15" customHeight="1"/>
  <cols>
    <col min="1" max="2" width="1.7265625" customWidth="1"/>
    <col min="3" max="3" width="45.7265625" customWidth="1"/>
    <col min="4" max="5" width="30.7265625" customWidth="1"/>
    <col min="6" max="7" width="8.54296875" customWidth="1"/>
    <col min="8" max="8" width="37.453125" customWidth="1"/>
    <col min="9" max="26" width="8.54296875" customWidth="1"/>
  </cols>
  <sheetData>
    <row r="2" spans="3:8" ht="4.5" customHeight="1"/>
    <row r="3" spans="3:8" ht="14.5">
      <c r="C3" s="17" t="s">
        <v>2055</v>
      </c>
    </row>
    <row r="4" spans="3:8" ht="14.5">
      <c r="C4" s="3" t="s">
        <v>23</v>
      </c>
    </row>
    <row r="5" spans="3:8" ht="14.5">
      <c r="C5" s="18"/>
      <c r="D5" s="18"/>
      <c r="E5" s="18"/>
    </row>
    <row r="6" spans="3:8" ht="14.5">
      <c r="C6" s="19" t="s">
        <v>2355</v>
      </c>
      <c r="D6" s="19" t="s">
        <v>2356</v>
      </c>
      <c r="E6" s="19" t="s">
        <v>2357</v>
      </c>
    </row>
    <row r="7" spans="3:8" ht="14.5">
      <c r="C7" s="3" t="s">
        <v>2126</v>
      </c>
      <c r="D7" s="3" t="s">
        <v>122</v>
      </c>
      <c r="E7" s="3" t="s">
        <v>33</v>
      </c>
      <c r="H7" s="3" t="s">
        <v>122</v>
      </c>
    </row>
    <row r="8" spans="3:8" ht="14.5">
      <c r="C8" s="3" t="s">
        <v>2127</v>
      </c>
      <c r="D8" s="3" t="s">
        <v>122</v>
      </c>
      <c r="E8" s="3" t="s">
        <v>33</v>
      </c>
      <c r="H8" s="3" t="s">
        <v>117</v>
      </c>
    </row>
    <row r="9" spans="3:8" ht="14.5">
      <c r="C9" s="3" t="s">
        <v>2128</v>
      </c>
      <c r="D9" s="3" t="s">
        <v>122</v>
      </c>
      <c r="E9" s="3" t="s">
        <v>33</v>
      </c>
      <c r="H9" s="3" t="s">
        <v>112</v>
      </c>
    </row>
    <row r="10" spans="3:8" ht="14.5">
      <c r="C10" s="3" t="s">
        <v>2129</v>
      </c>
      <c r="D10" s="3" t="s">
        <v>122</v>
      </c>
      <c r="E10" s="3" t="s">
        <v>33</v>
      </c>
      <c r="H10" s="3" t="s">
        <v>123</v>
      </c>
    </row>
    <row r="11" spans="3:8" ht="14.5">
      <c r="C11" s="3" t="s">
        <v>2130</v>
      </c>
      <c r="D11" s="3" t="s">
        <v>122</v>
      </c>
      <c r="E11" s="3" t="s">
        <v>33</v>
      </c>
      <c r="H11" s="3" t="s">
        <v>118</v>
      </c>
    </row>
    <row r="12" spans="3:8" ht="14.5">
      <c r="C12" s="3" t="s">
        <v>2131</v>
      </c>
      <c r="D12" s="3" t="s">
        <v>122</v>
      </c>
      <c r="E12" s="3" t="s">
        <v>33</v>
      </c>
      <c r="H12" s="3" t="s">
        <v>124</v>
      </c>
    </row>
    <row r="13" spans="3:8" ht="14.5">
      <c r="C13" s="3" t="s">
        <v>2132</v>
      </c>
      <c r="D13" s="3" t="s">
        <v>122</v>
      </c>
      <c r="E13" s="3" t="s">
        <v>33</v>
      </c>
      <c r="H13" s="3" t="s">
        <v>2176</v>
      </c>
    </row>
    <row r="14" spans="3:8" ht="14.5">
      <c r="C14" s="3" t="s">
        <v>2133</v>
      </c>
      <c r="D14" s="3" t="s">
        <v>122</v>
      </c>
      <c r="E14" s="3" t="s">
        <v>33</v>
      </c>
      <c r="H14" s="3" t="s">
        <v>126</v>
      </c>
    </row>
    <row r="15" spans="3:8" ht="14.5">
      <c r="C15" s="3" t="s">
        <v>2134</v>
      </c>
      <c r="D15" s="3" t="s">
        <v>122</v>
      </c>
      <c r="E15" s="3" t="s">
        <v>33</v>
      </c>
      <c r="H15" s="3" t="s">
        <v>120</v>
      </c>
    </row>
    <row r="16" spans="3:8" ht="14.5">
      <c r="C16" s="3" t="s">
        <v>2135</v>
      </c>
      <c r="D16" s="3" t="s">
        <v>122</v>
      </c>
      <c r="E16" s="3" t="s">
        <v>33</v>
      </c>
      <c r="H16" s="3" t="s">
        <v>127</v>
      </c>
    </row>
    <row r="17" spans="3:9" ht="14.5">
      <c r="C17" s="3" t="s">
        <v>2136</v>
      </c>
      <c r="D17" s="3" t="s">
        <v>122</v>
      </c>
      <c r="E17" s="3" t="s">
        <v>33</v>
      </c>
      <c r="H17" s="3" t="s">
        <v>129</v>
      </c>
    </row>
    <row r="18" spans="3:9" ht="14.5">
      <c r="C18" s="3" t="s">
        <v>117</v>
      </c>
      <c r="D18" s="3" t="s">
        <v>117</v>
      </c>
      <c r="E18" s="3" t="s">
        <v>33</v>
      </c>
      <c r="H18" s="3" t="s">
        <v>132</v>
      </c>
    </row>
    <row r="19" spans="3:9" ht="14.5">
      <c r="C19" s="3" t="s">
        <v>2171</v>
      </c>
      <c r="D19" s="3" t="s">
        <v>112</v>
      </c>
      <c r="E19" s="3" t="s">
        <v>33</v>
      </c>
      <c r="H19" s="3" t="s">
        <v>134</v>
      </c>
    </row>
    <row r="20" spans="3:9" ht="14.5">
      <c r="C20" s="3" t="s">
        <v>2172</v>
      </c>
      <c r="D20" s="3" t="s">
        <v>112</v>
      </c>
      <c r="E20" s="3" t="s">
        <v>33</v>
      </c>
      <c r="H20" s="3" t="s">
        <v>140</v>
      </c>
    </row>
    <row r="21" spans="3:9" ht="15.75" customHeight="1">
      <c r="C21" s="3" t="s">
        <v>123</v>
      </c>
      <c r="D21" s="3" t="s">
        <v>123</v>
      </c>
      <c r="E21" s="3" t="s">
        <v>33</v>
      </c>
      <c r="H21" s="3" t="s">
        <v>142</v>
      </c>
    </row>
    <row r="22" spans="3:9" ht="15.75" customHeight="1">
      <c r="C22" s="3" t="s">
        <v>2173</v>
      </c>
      <c r="D22" s="3" t="s">
        <v>118</v>
      </c>
      <c r="E22" s="3" t="s">
        <v>33</v>
      </c>
      <c r="H22" s="3" t="s">
        <v>146</v>
      </c>
      <c r="I22" s="3" t="s">
        <v>146</v>
      </c>
    </row>
    <row r="23" spans="3:9" ht="15.75" customHeight="1">
      <c r="C23" s="3" t="s">
        <v>2174</v>
      </c>
      <c r="D23" s="3" t="s">
        <v>118</v>
      </c>
      <c r="E23" s="3" t="s">
        <v>33</v>
      </c>
      <c r="H23" s="3" t="s">
        <v>149</v>
      </c>
      <c r="I23" s="3" t="s">
        <v>149</v>
      </c>
    </row>
    <row r="24" spans="3:9" ht="15.75" customHeight="1">
      <c r="C24" s="3" t="s">
        <v>2175</v>
      </c>
      <c r="D24" s="3" t="s">
        <v>118</v>
      </c>
      <c r="E24" s="3" t="s">
        <v>33</v>
      </c>
      <c r="H24" s="3" t="s">
        <v>150</v>
      </c>
      <c r="I24" s="3" t="s">
        <v>150</v>
      </c>
    </row>
    <row r="25" spans="3:9" ht="15.75" customHeight="1">
      <c r="C25" s="3" t="s">
        <v>124</v>
      </c>
      <c r="D25" s="3" t="s">
        <v>124</v>
      </c>
      <c r="E25" s="3" t="s">
        <v>33</v>
      </c>
      <c r="H25" s="3" t="s">
        <v>153</v>
      </c>
      <c r="I25" s="3" t="s">
        <v>153</v>
      </c>
    </row>
    <row r="26" spans="3:9" ht="15.75" customHeight="1">
      <c r="C26" s="3" t="s">
        <v>2176</v>
      </c>
      <c r="D26" s="3" t="s">
        <v>2176</v>
      </c>
      <c r="E26" s="3" t="s">
        <v>33</v>
      </c>
      <c r="H26" s="3" t="s">
        <v>2358</v>
      </c>
      <c r="I26" s="3" t="s">
        <v>2358</v>
      </c>
    </row>
    <row r="27" spans="3:9" ht="15.75" customHeight="1">
      <c r="C27" s="3" t="s">
        <v>126</v>
      </c>
      <c r="D27" s="3" t="s">
        <v>126</v>
      </c>
      <c r="E27" s="3" t="s">
        <v>33</v>
      </c>
      <c r="H27" s="3" t="s">
        <v>155</v>
      </c>
      <c r="I27" s="3" t="s">
        <v>155</v>
      </c>
    </row>
    <row r="28" spans="3:9" ht="15.75" customHeight="1">
      <c r="C28" s="3" t="s">
        <v>2177</v>
      </c>
      <c r="D28" s="3" t="s">
        <v>120</v>
      </c>
      <c r="E28" s="3" t="s">
        <v>33</v>
      </c>
      <c r="H28" s="3" t="s">
        <v>157</v>
      </c>
      <c r="I28" s="3" t="s">
        <v>157</v>
      </c>
    </row>
    <row r="29" spans="3:9" ht="15.75" customHeight="1">
      <c r="C29" s="3" t="s">
        <v>2178</v>
      </c>
      <c r="D29" s="3" t="s">
        <v>120</v>
      </c>
      <c r="E29" s="3" t="s">
        <v>33</v>
      </c>
      <c r="H29" s="3" t="s">
        <v>160</v>
      </c>
      <c r="I29" s="3" t="s">
        <v>160</v>
      </c>
    </row>
    <row r="30" spans="3:9" ht="15.75" customHeight="1">
      <c r="C30" s="3" t="s">
        <v>2179</v>
      </c>
      <c r="D30" s="3" t="s">
        <v>120</v>
      </c>
      <c r="E30" s="3" t="s">
        <v>33</v>
      </c>
      <c r="H30" s="3" t="s">
        <v>162</v>
      </c>
      <c r="I30" s="3" t="s">
        <v>162</v>
      </c>
    </row>
    <row r="31" spans="3:9" ht="15.75" customHeight="1">
      <c r="C31" s="3" t="s">
        <v>2180</v>
      </c>
      <c r="D31" s="3" t="s">
        <v>120</v>
      </c>
      <c r="E31" s="3" t="s">
        <v>33</v>
      </c>
      <c r="H31" s="3" t="s">
        <v>165</v>
      </c>
      <c r="I31" s="3" t="s">
        <v>165</v>
      </c>
    </row>
    <row r="32" spans="3:9" ht="15.75" customHeight="1">
      <c r="C32" s="3" t="s">
        <v>2181</v>
      </c>
      <c r="D32" s="3" t="s">
        <v>120</v>
      </c>
      <c r="E32" s="3" t="s">
        <v>33</v>
      </c>
      <c r="H32" s="3" t="s">
        <v>166</v>
      </c>
      <c r="I32" s="3" t="s">
        <v>166</v>
      </c>
    </row>
    <row r="33" spans="3:9" ht="15.75" customHeight="1">
      <c r="C33" s="3" t="s">
        <v>2182</v>
      </c>
      <c r="D33" s="3" t="s">
        <v>120</v>
      </c>
      <c r="E33" s="3" t="s">
        <v>33</v>
      </c>
      <c r="H33" s="3" t="s">
        <v>169</v>
      </c>
      <c r="I33" s="3" t="s">
        <v>169</v>
      </c>
    </row>
    <row r="34" spans="3:9" ht="15.75" customHeight="1">
      <c r="C34" s="3" t="s">
        <v>2183</v>
      </c>
      <c r="D34" s="3" t="s">
        <v>120</v>
      </c>
      <c r="E34" s="3" t="s">
        <v>33</v>
      </c>
      <c r="H34" s="3" t="s">
        <v>170</v>
      </c>
      <c r="I34" s="3" t="s">
        <v>170</v>
      </c>
    </row>
    <row r="35" spans="3:9" ht="15.75" customHeight="1">
      <c r="C35" s="3" t="s">
        <v>2184</v>
      </c>
      <c r="D35" s="3" t="s">
        <v>127</v>
      </c>
      <c r="E35" s="3" t="s">
        <v>33</v>
      </c>
      <c r="H35" s="3" t="s">
        <v>171</v>
      </c>
      <c r="I35" s="3" t="s">
        <v>171</v>
      </c>
    </row>
    <row r="36" spans="3:9" ht="15.75" customHeight="1">
      <c r="C36" s="3" t="s">
        <v>2185</v>
      </c>
      <c r="D36" s="3" t="s">
        <v>127</v>
      </c>
      <c r="E36" s="3" t="s">
        <v>33</v>
      </c>
      <c r="H36" s="3" t="s">
        <v>172</v>
      </c>
      <c r="I36" s="3" t="s">
        <v>172</v>
      </c>
    </row>
    <row r="37" spans="3:9" ht="15.75" customHeight="1">
      <c r="C37" s="3" t="s">
        <v>2186</v>
      </c>
      <c r="D37" s="3" t="s">
        <v>127</v>
      </c>
      <c r="E37" s="3" t="s">
        <v>33</v>
      </c>
      <c r="H37" s="3" t="s">
        <v>173</v>
      </c>
      <c r="I37" s="3" t="s">
        <v>173</v>
      </c>
    </row>
    <row r="38" spans="3:9" ht="15.75" customHeight="1">
      <c r="C38" s="3" t="s">
        <v>2187</v>
      </c>
      <c r="D38" s="3" t="s">
        <v>127</v>
      </c>
      <c r="E38" s="3" t="s">
        <v>33</v>
      </c>
      <c r="H38" s="3" t="s">
        <v>174</v>
      </c>
      <c r="I38" s="3" t="s">
        <v>174</v>
      </c>
    </row>
    <row r="39" spans="3:9" ht="15.75" customHeight="1">
      <c r="C39" s="3" t="s">
        <v>2188</v>
      </c>
      <c r="D39" s="3" t="s">
        <v>127</v>
      </c>
      <c r="E39" s="3" t="s">
        <v>33</v>
      </c>
      <c r="H39" s="3" t="s">
        <v>177</v>
      </c>
      <c r="I39" s="3" t="s">
        <v>177</v>
      </c>
    </row>
    <row r="40" spans="3:9" ht="15.75" customHeight="1">
      <c r="C40" s="3" t="s">
        <v>2189</v>
      </c>
      <c r="D40" s="3" t="s">
        <v>127</v>
      </c>
      <c r="E40" s="3" t="s">
        <v>33</v>
      </c>
      <c r="H40" s="3" t="s">
        <v>178</v>
      </c>
      <c r="I40" s="3" t="s">
        <v>178</v>
      </c>
    </row>
    <row r="41" spans="3:9" ht="15.75" customHeight="1">
      <c r="C41" s="3" t="s">
        <v>2190</v>
      </c>
      <c r="D41" s="3" t="s">
        <v>127</v>
      </c>
      <c r="E41" s="3" t="s">
        <v>33</v>
      </c>
      <c r="H41" s="3" t="s">
        <v>179</v>
      </c>
      <c r="I41" s="3" t="s">
        <v>179</v>
      </c>
    </row>
    <row r="42" spans="3:9" ht="15.75" customHeight="1">
      <c r="C42" s="3" t="s">
        <v>2191</v>
      </c>
      <c r="D42" s="3" t="s">
        <v>127</v>
      </c>
      <c r="E42" s="3" t="s">
        <v>33</v>
      </c>
      <c r="H42" s="3" t="s">
        <v>180</v>
      </c>
      <c r="I42" s="3" t="s">
        <v>180</v>
      </c>
    </row>
    <row r="43" spans="3:9" ht="15.75" customHeight="1">
      <c r="C43" s="3" t="s">
        <v>2192</v>
      </c>
      <c r="D43" s="3" t="s">
        <v>127</v>
      </c>
      <c r="E43" s="3" t="s">
        <v>33</v>
      </c>
      <c r="H43" s="3" t="s">
        <v>181</v>
      </c>
      <c r="I43" s="3" t="s">
        <v>181</v>
      </c>
    </row>
    <row r="44" spans="3:9" ht="15.75" customHeight="1">
      <c r="C44" s="3" t="s">
        <v>2193</v>
      </c>
      <c r="D44" s="3" t="s">
        <v>127</v>
      </c>
      <c r="E44" s="3" t="s">
        <v>33</v>
      </c>
      <c r="H44" s="3" t="s">
        <v>183</v>
      </c>
      <c r="I44" s="3" t="s">
        <v>183</v>
      </c>
    </row>
    <row r="45" spans="3:9" ht="15.75" customHeight="1">
      <c r="C45" s="3" t="s">
        <v>2194</v>
      </c>
      <c r="D45" s="3" t="s">
        <v>127</v>
      </c>
      <c r="E45" s="3" t="s">
        <v>33</v>
      </c>
      <c r="H45" s="3" t="s">
        <v>1269</v>
      </c>
      <c r="I45" s="3" t="s">
        <v>1269</v>
      </c>
    </row>
    <row r="46" spans="3:9" ht="15.75" customHeight="1">
      <c r="C46" s="3" t="s">
        <v>2195</v>
      </c>
      <c r="D46" s="3" t="s">
        <v>127</v>
      </c>
      <c r="E46" s="3" t="s">
        <v>33</v>
      </c>
      <c r="H46" s="3" t="s">
        <v>2359</v>
      </c>
      <c r="I46" s="3" t="s">
        <v>2359</v>
      </c>
    </row>
    <row r="47" spans="3:9" ht="15.75" customHeight="1">
      <c r="C47" s="3" t="s">
        <v>2198</v>
      </c>
      <c r="D47" s="3" t="s">
        <v>129</v>
      </c>
      <c r="E47" s="3" t="s">
        <v>128</v>
      </c>
      <c r="H47" s="3" t="s">
        <v>2360</v>
      </c>
      <c r="I47" s="3" t="s">
        <v>2360</v>
      </c>
    </row>
    <row r="48" spans="3:9" ht="15.75" customHeight="1">
      <c r="C48" s="3" t="s">
        <v>2199</v>
      </c>
      <c r="D48" s="3" t="s">
        <v>129</v>
      </c>
      <c r="E48" s="3" t="s">
        <v>128</v>
      </c>
      <c r="H48" s="3" t="s">
        <v>2361</v>
      </c>
      <c r="I48" s="3" t="s">
        <v>2361</v>
      </c>
    </row>
    <row r="49" spans="3:5" ht="15.75" customHeight="1">
      <c r="C49" s="3" t="s">
        <v>2200</v>
      </c>
      <c r="D49" s="3" t="s">
        <v>132</v>
      </c>
      <c r="E49" s="3" t="s">
        <v>128</v>
      </c>
    </row>
    <row r="50" spans="3:5" ht="15.75" customHeight="1">
      <c r="C50" s="3" t="s">
        <v>2201</v>
      </c>
      <c r="D50" s="3" t="s">
        <v>132</v>
      </c>
      <c r="E50" s="3" t="s">
        <v>128</v>
      </c>
    </row>
    <row r="51" spans="3:5" ht="15.75" customHeight="1">
      <c r="C51" s="3" t="s">
        <v>2202</v>
      </c>
      <c r="D51" s="3" t="s">
        <v>132</v>
      </c>
      <c r="E51" s="3" t="s">
        <v>128</v>
      </c>
    </row>
    <row r="52" spans="3:5" ht="15.75" customHeight="1">
      <c r="C52" s="3" t="s">
        <v>2203</v>
      </c>
      <c r="D52" s="3" t="s">
        <v>132</v>
      </c>
      <c r="E52" s="3" t="s">
        <v>128</v>
      </c>
    </row>
    <row r="53" spans="3:5" ht="15.75" customHeight="1">
      <c r="C53" s="3" t="s">
        <v>2204</v>
      </c>
      <c r="D53" s="3" t="s">
        <v>132</v>
      </c>
      <c r="E53" s="3" t="s">
        <v>128</v>
      </c>
    </row>
    <row r="54" spans="3:5" ht="15.75" customHeight="1">
      <c r="C54" s="3" t="s">
        <v>2205</v>
      </c>
      <c r="D54" s="3" t="s">
        <v>132</v>
      </c>
      <c r="E54" s="3" t="s">
        <v>128</v>
      </c>
    </row>
    <row r="55" spans="3:5" ht="15.75" customHeight="1">
      <c r="C55" s="3" t="s">
        <v>2206</v>
      </c>
      <c r="D55" s="3" t="s">
        <v>132</v>
      </c>
      <c r="E55" s="3" t="s">
        <v>128</v>
      </c>
    </row>
    <row r="56" spans="3:5" ht="15.75" customHeight="1">
      <c r="C56" s="3" t="s">
        <v>2207</v>
      </c>
      <c r="D56" s="3" t="s">
        <v>132</v>
      </c>
      <c r="E56" s="3" t="s">
        <v>128</v>
      </c>
    </row>
    <row r="57" spans="3:5" ht="15.75" customHeight="1">
      <c r="C57" s="3" t="s">
        <v>2208</v>
      </c>
      <c r="D57" s="3" t="s">
        <v>132</v>
      </c>
      <c r="E57" s="3" t="s">
        <v>128</v>
      </c>
    </row>
    <row r="58" spans="3:5" ht="15.75" customHeight="1">
      <c r="C58" s="3" t="s">
        <v>2209</v>
      </c>
      <c r="D58" s="3" t="s">
        <v>132</v>
      </c>
      <c r="E58" s="3" t="s">
        <v>128</v>
      </c>
    </row>
    <row r="59" spans="3:5" ht="15.75" customHeight="1">
      <c r="C59" s="3" t="s">
        <v>2210</v>
      </c>
      <c r="D59" s="3" t="s">
        <v>132</v>
      </c>
      <c r="E59" s="3" t="s">
        <v>128</v>
      </c>
    </row>
    <row r="60" spans="3:5" ht="15.75" customHeight="1">
      <c r="C60" s="3" t="s">
        <v>134</v>
      </c>
      <c r="D60" s="3" t="s">
        <v>134</v>
      </c>
      <c r="E60" s="3" t="s">
        <v>128</v>
      </c>
    </row>
    <row r="61" spans="3:5" ht="15.75" customHeight="1">
      <c r="C61" s="3" t="s">
        <v>2211</v>
      </c>
      <c r="D61" s="3" t="s">
        <v>140</v>
      </c>
      <c r="E61" s="3" t="s">
        <v>128</v>
      </c>
    </row>
    <row r="62" spans="3:5" ht="15.75" customHeight="1">
      <c r="C62" s="3" t="s">
        <v>2212</v>
      </c>
      <c r="D62" s="3" t="s">
        <v>140</v>
      </c>
      <c r="E62" s="3" t="s">
        <v>128</v>
      </c>
    </row>
    <row r="63" spans="3:5" ht="15.75" customHeight="1">
      <c r="C63" s="3" t="s">
        <v>2213</v>
      </c>
      <c r="D63" s="3" t="s">
        <v>142</v>
      </c>
      <c r="E63" s="3" t="s">
        <v>128</v>
      </c>
    </row>
    <row r="64" spans="3:5" ht="15.75" customHeight="1">
      <c r="C64" s="3" t="s">
        <v>2214</v>
      </c>
      <c r="D64" s="3" t="s">
        <v>142</v>
      </c>
      <c r="E64" s="3" t="s">
        <v>128</v>
      </c>
    </row>
    <row r="65" spans="3:5" ht="15.75" customHeight="1">
      <c r="C65" s="3" t="s">
        <v>2215</v>
      </c>
      <c r="D65" s="3" t="s">
        <v>142</v>
      </c>
      <c r="E65" s="3" t="s">
        <v>128</v>
      </c>
    </row>
    <row r="66" spans="3:5" ht="15.75" customHeight="1">
      <c r="C66" s="3" t="s">
        <v>2216</v>
      </c>
      <c r="D66" s="3" t="s">
        <v>142</v>
      </c>
      <c r="E66" s="3" t="s">
        <v>128</v>
      </c>
    </row>
    <row r="67" spans="3:5" ht="15.75" customHeight="1">
      <c r="C67" s="3" t="s">
        <v>2217</v>
      </c>
      <c r="D67" s="3" t="s">
        <v>142</v>
      </c>
      <c r="E67" s="3" t="s">
        <v>128</v>
      </c>
    </row>
    <row r="68" spans="3:5" ht="15.75" customHeight="1">
      <c r="C68" s="3" t="s">
        <v>2218</v>
      </c>
      <c r="D68" s="3" t="s">
        <v>140</v>
      </c>
      <c r="E68" s="3" t="s">
        <v>128</v>
      </c>
    </row>
    <row r="69" spans="3:5" ht="15.75" customHeight="1">
      <c r="C69" s="3" t="s">
        <v>2219</v>
      </c>
      <c r="D69" s="3" t="s">
        <v>140</v>
      </c>
      <c r="E69" s="3" t="s">
        <v>128</v>
      </c>
    </row>
    <row r="70" spans="3:5" ht="15.75" customHeight="1">
      <c r="C70" s="3" t="s">
        <v>2221</v>
      </c>
      <c r="D70" s="3" t="s">
        <v>146</v>
      </c>
      <c r="E70" s="3" t="s">
        <v>145</v>
      </c>
    </row>
    <row r="71" spans="3:5" ht="15.75" customHeight="1">
      <c r="C71" s="3" t="s">
        <v>2222</v>
      </c>
      <c r="D71" s="3" t="s">
        <v>146</v>
      </c>
      <c r="E71" s="3" t="s">
        <v>145</v>
      </c>
    </row>
    <row r="72" spans="3:5" ht="15.75" customHeight="1">
      <c r="C72" s="3" t="s">
        <v>2223</v>
      </c>
      <c r="D72" s="3" t="s">
        <v>149</v>
      </c>
      <c r="E72" s="3" t="s">
        <v>145</v>
      </c>
    </row>
    <row r="73" spans="3:5" ht="15.75" customHeight="1">
      <c r="C73" s="3" t="s">
        <v>2224</v>
      </c>
      <c r="D73" s="3" t="s">
        <v>149</v>
      </c>
      <c r="E73" s="3" t="s">
        <v>145</v>
      </c>
    </row>
    <row r="74" spans="3:5" ht="15.75" customHeight="1">
      <c r="C74" s="3" t="s">
        <v>2225</v>
      </c>
      <c r="D74" s="3" t="s">
        <v>149</v>
      </c>
      <c r="E74" s="3" t="s">
        <v>145</v>
      </c>
    </row>
    <row r="75" spans="3:5" ht="15.75" customHeight="1">
      <c r="C75" s="3" t="s">
        <v>2226</v>
      </c>
      <c r="D75" s="3" t="s">
        <v>150</v>
      </c>
      <c r="E75" s="3" t="s">
        <v>145</v>
      </c>
    </row>
    <row r="76" spans="3:5" ht="15.75" customHeight="1">
      <c r="C76" s="3" t="s">
        <v>2227</v>
      </c>
      <c r="D76" s="3" t="s">
        <v>150</v>
      </c>
      <c r="E76" s="3" t="s">
        <v>145</v>
      </c>
    </row>
    <row r="77" spans="3:5" ht="15.75" customHeight="1">
      <c r="C77" s="3" t="s">
        <v>2228</v>
      </c>
      <c r="D77" s="3" t="s">
        <v>150</v>
      </c>
      <c r="E77" s="3" t="s">
        <v>145</v>
      </c>
    </row>
    <row r="78" spans="3:5" ht="15.75" customHeight="1">
      <c r="C78" s="3" t="s">
        <v>2229</v>
      </c>
      <c r="D78" s="3" t="s">
        <v>150</v>
      </c>
      <c r="E78" s="3" t="s">
        <v>145</v>
      </c>
    </row>
    <row r="79" spans="3:5" ht="15.75" customHeight="1">
      <c r="C79" s="3" t="s">
        <v>2233</v>
      </c>
      <c r="D79" s="3" t="s">
        <v>150</v>
      </c>
      <c r="E79" s="3" t="s">
        <v>145</v>
      </c>
    </row>
    <row r="80" spans="3:5" ht="15.75" customHeight="1">
      <c r="C80" s="3" t="s">
        <v>2254</v>
      </c>
      <c r="D80" s="3" t="s">
        <v>153</v>
      </c>
      <c r="E80" s="3" t="s">
        <v>145</v>
      </c>
    </row>
    <row r="81" spans="3:5" ht="15.75" customHeight="1">
      <c r="C81" s="3" t="s">
        <v>2255</v>
      </c>
      <c r="D81" s="3" t="s">
        <v>153</v>
      </c>
      <c r="E81" s="3" t="s">
        <v>145</v>
      </c>
    </row>
    <row r="82" spans="3:5" ht="15.75" customHeight="1">
      <c r="C82" s="3" t="s">
        <v>2256</v>
      </c>
      <c r="D82" s="3" t="s">
        <v>153</v>
      </c>
      <c r="E82" s="3" t="s">
        <v>145</v>
      </c>
    </row>
    <row r="83" spans="3:5" ht="15.75" customHeight="1">
      <c r="C83" s="3" t="s">
        <v>2257</v>
      </c>
      <c r="D83" s="3" t="s">
        <v>153</v>
      </c>
      <c r="E83" s="3" t="s">
        <v>145</v>
      </c>
    </row>
    <row r="84" spans="3:5" ht="15.75" customHeight="1">
      <c r="C84" s="3" t="s">
        <v>2258</v>
      </c>
      <c r="D84" s="3" t="s">
        <v>153</v>
      </c>
      <c r="E84" s="3" t="s">
        <v>145</v>
      </c>
    </row>
    <row r="85" spans="3:5" ht="15.75" customHeight="1">
      <c r="C85" s="3" t="s">
        <v>2260</v>
      </c>
      <c r="D85" s="3" t="s">
        <v>153</v>
      </c>
      <c r="E85" s="3" t="s">
        <v>145</v>
      </c>
    </row>
    <row r="86" spans="3:5" ht="15.75" customHeight="1">
      <c r="C86" s="3" t="s">
        <v>2259</v>
      </c>
      <c r="D86" s="3" t="s">
        <v>2358</v>
      </c>
      <c r="E86" s="3" t="s">
        <v>145</v>
      </c>
    </row>
    <row r="87" spans="3:5" ht="15.75" customHeight="1">
      <c r="C87" s="3" t="s">
        <v>2249</v>
      </c>
      <c r="D87" s="3" t="s">
        <v>2358</v>
      </c>
      <c r="E87" s="3" t="s">
        <v>145</v>
      </c>
    </row>
    <row r="88" spans="3:5" ht="15.75" customHeight="1">
      <c r="C88" s="3" t="s">
        <v>2245</v>
      </c>
      <c r="D88" s="3" t="s">
        <v>2358</v>
      </c>
      <c r="E88" s="3" t="s">
        <v>145</v>
      </c>
    </row>
    <row r="89" spans="3:5" ht="15.75" customHeight="1">
      <c r="C89" s="3" t="s">
        <v>2230</v>
      </c>
      <c r="D89" s="3" t="s">
        <v>2358</v>
      </c>
      <c r="E89" s="3" t="s">
        <v>145</v>
      </c>
    </row>
    <row r="90" spans="3:5" ht="15.75" customHeight="1">
      <c r="C90" s="3" t="s">
        <v>2246</v>
      </c>
      <c r="D90" s="3" t="s">
        <v>2358</v>
      </c>
      <c r="E90" s="3" t="s">
        <v>145</v>
      </c>
    </row>
    <row r="91" spans="3:5" ht="15.75" customHeight="1">
      <c r="C91" s="3" t="s">
        <v>2231</v>
      </c>
      <c r="D91" s="3" t="s">
        <v>2358</v>
      </c>
      <c r="E91" s="3" t="s">
        <v>145</v>
      </c>
    </row>
    <row r="92" spans="3:5" ht="15.75" customHeight="1">
      <c r="C92" s="3" t="s">
        <v>2232</v>
      </c>
      <c r="D92" s="3" t="s">
        <v>2358</v>
      </c>
      <c r="E92" s="3" t="s">
        <v>145</v>
      </c>
    </row>
    <row r="93" spans="3:5" ht="15.75" customHeight="1">
      <c r="C93" s="3" t="s">
        <v>2239</v>
      </c>
      <c r="D93" s="3" t="s">
        <v>2358</v>
      </c>
      <c r="E93" s="3" t="s">
        <v>145</v>
      </c>
    </row>
    <row r="94" spans="3:5" ht="15.75" customHeight="1">
      <c r="C94" s="3" t="s">
        <v>2234</v>
      </c>
      <c r="D94" s="3" t="s">
        <v>155</v>
      </c>
      <c r="E94" s="3" t="s">
        <v>145</v>
      </c>
    </row>
    <row r="95" spans="3:5" ht="15.75" customHeight="1">
      <c r="C95" s="3" t="s">
        <v>2235</v>
      </c>
      <c r="D95" s="3" t="s">
        <v>155</v>
      </c>
      <c r="E95" s="3" t="s">
        <v>145</v>
      </c>
    </row>
    <row r="96" spans="3:5" ht="15.75" customHeight="1">
      <c r="C96" s="3" t="s">
        <v>2236</v>
      </c>
      <c r="D96" s="3" t="s">
        <v>155</v>
      </c>
      <c r="E96" s="3" t="s">
        <v>145</v>
      </c>
    </row>
    <row r="97" spans="3:5" ht="15.75" customHeight="1">
      <c r="C97" s="3" t="s">
        <v>2237</v>
      </c>
      <c r="D97" s="3" t="s">
        <v>155</v>
      </c>
      <c r="E97" s="3" t="s">
        <v>145</v>
      </c>
    </row>
    <row r="98" spans="3:5" ht="15.75" customHeight="1">
      <c r="C98" s="3" t="s">
        <v>2240</v>
      </c>
      <c r="D98" s="3" t="s">
        <v>155</v>
      </c>
      <c r="E98" s="3" t="s">
        <v>145</v>
      </c>
    </row>
    <row r="99" spans="3:5" ht="15.75" customHeight="1">
      <c r="C99" s="3" t="s">
        <v>2241</v>
      </c>
      <c r="D99" s="3" t="s">
        <v>155</v>
      </c>
      <c r="E99" s="3" t="s">
        <v>145</v>
      </c>
    </row>
    <row r="100" spans="3:5" ht="15.75" customHeight="1">
      <c r="C100" s="3" t="s">
        <v>2242</v>
      </c>
      <c r="D100" s="3" t="s">
        <v>155</v>
      </c>
      <c r="E100" s="3" t="s">
        <v>145</v>
      </c>
    </row>
    <row r="101" spans="3:5" ht="15.75" customHeight="1">
      <c r="C101" s="3" t="s">
        <v>2243</v>
      </c>
      <c r="D101" s="3" t="s">
        <v>155</v>
      </c>
      <c r="E101" s="3" t="s">
        <v>145</v>
      </c>
    </row>
    <row r="102" spans="3:5" ht="15.75" customHeight="1">
      <c r="C102" s="3" t="s">
        <v>2244</v>
      </c>
      <c r="D102" s="3" t="s">
        <v>155</v>
      </c>
      <c r="E102" s="3" t="s">
        <v>145</v>
      </c>
    </row>
    <row r="103" spans="3:5" ht="15.75" customHeight="1">
      <c r="C103" s="3" t="s">
        <v>2248</v>
      </c>
      <c r="D103" s="3" t="s">
        <v>157</v>
      </c>
      <c r="E103" s="3" t="s">
        <v>145</v>
      </c>
    </row>
    <row r="104" spans="3:5" ht="15.75" customHeight="1">
      <c r="C104" s="3" t="s">
        <v>2251</v>
      </c>
      <c r="D104" s="3" t="s">
        <v>157</v>
      </c>
      <c r="E104" s="3" t="s">
        <v>145</v>
      </c>
    </row>
    <row r="105" spans="3:5" ht="15.75" customHeight="1">
      <c r="C105" s="3" t="s">
        <v>2238</v>
      </c>
      <c r="D105" s="3" t="s">
        <v>157</v>
      </c>
      <c r="E105" s="3" t="s">
        <v>145</v>
      </c>
    </row>
    <row r="106" spans="3:5" ht="15.75" customHeight="1">
      <c r="C106" s="3" t="s">
        <v>2247</v>
      </c>
      <c r="D106" s="3" t="s">
        <v>157</v>
      </c>
      <c r="E106" s="3" t="s">
        <v>145</v>
      </c>
    </row>
    <row r="107" spans="3:5" ht="15.75" customHeight="1">
      <c r="C107" s="3" t="s">
        <v>2250</v>
      </c>
      <c r="D107" s="3" t="s">
        <v>157</v>
      </c>
      <c r="E107" s="3" t="s">
        <v>145</v>
      </c>
    </row>
    <row r="108" spans="3:5" ht="15.75" customHeight="1">
      <c r="C108" s="3" t="s">
        <v>2252</v>
      </c>
      <c r="D108" s="3" t="s">
        <v>157</v>
      </c>
      <c r="E108" s="3" t="s">
        <v>145</v>
      </c>
    </row>
    <row r="109" spans="3:5" ht="15.75" customHeight="1">
      <c r="C109" s="3" t="s">
        <v>2253</v>
      </c>
      <c r="D109" s="3" t="s">
        <v>157</v>
      </c>
      <c r="E109" s="3" t="s">
        <v>145</v>
      </c>
    </row>
    <row r="110" spans="3:5" ht="15.75" customHeight="1">
      <c r="C110" s="3" t="s">
        <v>2261</v>
      </c>
      <c r="D110" s="3" t="s">
        <v>160</v>
      </c>
      <c r="E110" s="3" t="s">
        <v>145</v>
      </c>
    </row>
    <row r="111" spans="3:5" ht="15.75" customHeight="1">
      <c r="C111" s="3" t="s">
        <v>2262</v>
      </c>
      <c r="D111" s="3" t="s">
        <v>160</v>
      </c>
      <c r="E111" s="3" t="s">
        <v>145</v>
      </c>
    </row>
    <row r="112" spans="3:5" ht="15.75" customHeight="1">
      <c r="C112" s="3" t="s">
        <v>2263</v>
      </c>
      <c r="D112" s="3" t="s">
        <v>160</v>
      </c>
      <c r="E112" s="3" t="s">
        <v>145</v>
      </c>
    </row>
    <row r="113" spans="3:5" ht="15.75" customHeight="1">
      <c r="C113" s="3" t="s">
        <v>2264</v>
      </c>
      <c r="D113" s="3" t="s">
        <v>160</v>
      </c>
      <c r="E113" s="3" t="s">
        <v>145</v>
      </c>
    </row>
    <row r="114" spans="3:5" ht="15.75" customHeight="1">
      <c r="C114" s="3" t="s">
        <v>2265</v>
      </c>
      <c r="D114" s="3" t="s">
        <v>160</v>
      </c>
      <c r="E114" s="3" t="s">
        <v>145</v>
      </c>
    </row>
    <row r="115" spans="3:5" ht="15.75" customHeight="1">
      <c r="C115" s="3" t="s">
        <v>2266</v>
      </c>
      <c r="D115" s="3" t="s">
        <v>160</v>
      </c>
      <c r="E115" s="3" t="s">
        <v>145</v>
      </c>
    </row>
    <row r="116" spans="3:5" ht="15.75" customHeight="1">
      <c r="C116" s="3" t="s">
        <v>2267</v>
      </c>
      <c r="D116" s="3" t="s">
        <v>160</v>
      </c>
      <c r="E116" s="3" t="s">
        <v>145</v>
      </c>
    </row>
    <row r="117" spans="3:5" ht="15.75" customHeight="1">
      <c r="C117" s="3" t="s">
        <v>2268</v>
      </c>
      <c r="D117" s="3" t="s">
        <v>160</v>
      </c>
      <c r="E117" s="3" t="s">
        <v>145</v>
      </c>
    </row>
    <row r="118" spans="3:5" ht="15.75" customHeight="1">
      <c r="C118" s="3" t="s">
        <v>2269</v>
      </c>
      <c r="D118" s="3" t="s">
        <v>162</v>
      </c>
      <c r="E118" s="3" t="s">
        <v>145</v>
      </c>
    </row>
    <row r="119" spans="3:5" ht="15.75" customHeight="1">
      <c r="C119" s="3" t="s">
        <v>2270</v>
      </c>
      <c r="D119" s="3" t="s">
        <v>162</v>
      </c>
      <c r="E119" s="3" t="s">
        <v>145</v>
      </c>
    </row>
    <row r="120" spans="3:5" ht="15.75" customHeight="1">
      <c r="C120" s="3" t="s">
        <v>2271</v>
      </c>
      <c r="D120" s="3" t="s">
        <v>162</v>
      </c>
      <c r="E120" s="3" t="s">
        <v>145</v>
      </c>
    </row>
    <row r="121" spans="3:5" ht="15.75" customHeight="1">
      <c r="C121" s="3" t="s">
        <v>2272</v>
      </c>
      <c r="D121" s="3" t="s">
        <v>162</v>
      </c>
      <c r="E121" s="3" t="s">
        <v>145</v>
      </c>
    </row>
    <row r="122" spans="3:5" ht="15.75" customHeight="1">
      <c r="C122" s="3" t="s">
        <v>2276</v>
      </c>
      <c r="D122" s="3" t="s">
        <v>165</v>
      </c>
      <c r="E122" s="3" t="s">
        <v>2362</v>
      </c>
    </row>
    <row r="123" spans="3:5" ht="15.75" customHeight="1">
      <c r="C123" s="3" t="s">
        <v>2277</v>
      </c>
      <c r="D123" s="3" t="s">
        <v>165</v>
      </c>
      <c r="E123" s="3" t="s">
        <v>2362</v>
      </c>
    </row>
    <row r="124" spans="3:5" ht="15.75" customHeight="1">
      <c r="C124" s="3" t="s">
        <v>2278</v>
      </c>
      <c r="D124" s="3" t="s">
        <v>165</v>
      </c>
      <c r="E124" s="3" t="s">
        <v>2362</v>
      </c>
    </row>
    <row r="125" spans="3:5" ht="15.75" customHeight="1">
      <c r="C125" s="3" t="s">
        <v>2279</v>
      </c>
      <c r="D125" s="3" t="s">
        <v>165</v>
      </c>
      <c r="E125" s="3" t="s">
        <v>2362</v>
      </c>
    </row>
    <row r="126" spans="3:5" ht="15.75" customHeight="1">
      <c r="C126" s="3" t="s">
        <v>2280</v>
      </c>
      <c r="D126" s="3" t="s">
        <v>166</v>
      </c>
      <c r="E126" s="3" t="s">
        <v>2363</v>
      </c>
    </row>
    <row r="127" spans="3:5" ht="15.75" customHeight="1">
      <c r="C127" s="3" t="s">
        <v>2281</v>
      </c>
      <c r="D127" s="3" t="s">
        <v>166</v>
      </c>
      <c r="E127" s="3" t="s">
        <v>2363</v>
      </c>
    </row>
    <row r="128" spans="3:5" ht="15.75" customHeight="1">
      <c r="C128" s="3" t="s">
        <v>2282</v>
      </c>
      <c r="D128" s="3" t="s">
        <v>166</v>
      </c>
      <c r="E128" s="3" t="s">
        <v>2363</v>
      </c>
    </row>
    <row r="129" spans="3:5" ht="15.75" customHeight="1">
      <c r="C129" s="3" t="s">
        <v>2283</v>
      </c>
      <c r="D129" s="3" t="s">
        <v>166</v>
      </c>
      <c r="E129" s="3" t="s">
        <v>2363</v>
      </c>
    </row>
    <row r="130" spans="3:5" ht="15.75" customHeight="1">
      <c r="C130" s="3" t="s">
        <v>2284</v>
      </c>
      <c r="D130" s="3" t="s">
        <v>166</v>
      </c>
      <c r="E130" s="3" t="s">
        <v>2363</v>
      </c>
    </row>
    <row r="131" spans="3:5" ht="15.75" customHeight="1">
      <c r="C131" s="3" t="s">
        <v>2286</v>
      </c>
      <c r="D131" s="3" t="s">
        <v>166</v>
      </c>
      <c r="E131" s="3" t="s">
        <v>2363</v>
      </c>
    </row>
    <row r="132" spans="3:5" ht="15.75" customHeight="1">
      <c r="C132" s="3" t="s">
        <v>2287</v>
      </c>
      <c r="D132" s="3" t="s">
        <v>169</v>
      </c>
      <c r="E132" s="3" t="s">
        <v>511</v>
      </c>
    </row>
    <row r="133" spans="3:5" ht="15.75" customHeight="1">
      <c r="C133" s="3" t="s">
        <v>2288</v>
      </c>
      <c r="D133" s="3" t="s">
        <v>169</v>
      </c>
      <c r="E133" s="3" t="s">
        <v>511</v>
      </c>
    </row>
    <row r="134" spans="3:5" ht="15.75" customHeight="1">
      <c r="C134" s="3" t="s">
        <v>2289</v>
      </c>
      <c r="D134" s="3" t="s">
        <v>169</v>
      </c>
      <c r="E134" s="3" t="s">
        <v>511</v>
      </c>
    </row>
    <row r="135" spans="3:5" ht="15.75" customHeight="1">
      <c r="C135" s="3" t="s">
        <v>2290</v>
      </c>
      <c r="D135" s="3" t="s">
        <v>169</v>
      </c>
      <c r="E135" s="3" t="s">
        <v>511</v>
      </c>
    </row>
    <row r="136" spans="3:5" ht="15.75" customHeight="1">
      <c r="C136" s="3" t="s">
        <v>2291</v>
      </c>
      <c r="D136" s="3" t="s">
        <v>169</v>
      </c>
      <c r="E136" s="3" t="s">
        <v>511</v>
      </c>
    </row>
    <row r="137" spans="3:5" ht="15.75" customHeight="1">
      <c r="C137" s="3" t="s">
        <v>2292</v>
      </c>
      <c r="D137" s="3" t="s">
        <v>170</v>
      </c>
      <c r="E137" s="3" t="s">
        <v>183</v>
      </c>
    </row>
    <row r="138" spans="3:5" ht="15.75" customHeight="1">
      <c r="C138" s="3" t="s">
        <v>2285</v>
      </c>
      <c r="D138" s="3" t="s">
        <v>170</v>
      </c>
      <c r="E138" s="3" t="s">
        <v>183</v>
      </c>
    </row>
    <row r="139" spans="3:5" ht="15.75" customHeight="1">
      <c r="C139" s="3" t="s">
        <v>1274</v>
      </c>
      <c r="D139" s="3" t="s">
        <v>170</v>
      </c>
      <c r="E139" s="3" t="s">
        <v>183</v>
      </c>
    </row>
    <row r="140" spans="3:5" ht="15.75" customHeight="1">
      <c r="C140" s="3" t="s">
        <v>2293</v>
      </c>
      <c r="D140" s="3" t="s">
        <v>170</v>
      </c>
      <c r="E140" s="3" t="s">
        <v>183</v>
      </c>
    </row>
    <row r="141" spans="3:5" ht="15.75" customHeight="1">
      <c r="C141" s="3" t="s">
        <v>2294</v>
      </c>
      <c r="D141" s="3" t="s">
        <v>171</v>
      </c>
      <c r="E141" s="3" t="s">
        <v>183</v>
      </c>
    </row>
    <row r="142" spans="3:5" ht="15.75" customHeight="1">
      <c r="C142" s="3" t="s">
        <v>2295</v>
      </c>
      <c r="D142" s="3" t="s">
        <v>171</v>
      </c>
      <c r="E142" s="3" t="s">
        <v>183</v>
      </c>
    </row>
    <row r="143" spans="3:5" ht="15.75" customHeight="1">
      <c r="C143" s="3" t="s">
        <v>2296</v>
      </c>
      <c r="D143" s="3" t="s">
        <v>172</v>
      </c>
      <c r="E143" s="3" t="s">
        <v>183</v>
      </c>
    </row>
    <row r="144" spans="3:5" ht="15.75" customHeight="1">
      <c r="C144" s="3" t="s">
        <v>2297</v>
      </c>
      <c r="D144" s="3" t="s">
        <v>172</v>
      </c>
      <c r="E144" s="3" t="s">
        <v>183</v>
      </c>
    </row>
    <row r="145" spans="3:5" ht="15.75" customHeight="1">
      <c r="C145" s="3" t="s">
        <v>2298</v>
      </c>
      <c r="D145" s="3" t="s">
        <v>172</v>
      </c>
      <c r="E145" s="3" t="s">
        <v>183</v>
      </c>
    </row>
    <row r="146" spans="3:5" ht="15.75" customHeight="1">
      <c r="C146" s="3" t="s">
        <v>354</v>
      </c>
      <c r="D146" s="3" t="s">
        <v>172</v>
      </c>
      <c r="E146" s="3" t="s">
        <v>183</v>
      </c>
    </row>
    <row r="147" spans="3:5" ht="15.75" customHeight="1">
      <c r="C147" s="3" t="s">
        <v>2299</v>
      </c>
      <c r="D147" s="3" t="s">
        <v>173</v>
      </c>
      <c r="E147" s="3" t="s">
        <v>183</v>
      </c>
    </row>
    <row r="148" spans="3:5" ht="15.75" customHeight="1">
      <c r="C148" s="3" t="s">
        <v>2300</v>
      </c>
      <c r="D148" s="3" t="s">
        <v>173</v>
      </c>
      <c r="E148" s="3" t="s">
        <v>183</v>
      </c>
    </row>
    <row r="149" spans="3:5" ht="15.75" customHeight="1">
      <c r="C149" s="3" t="s">
        <v>2301</v>
      </c>
      <c r="D149" s="3" t="s">
        <v>173</v>
      </c>
      <c r="E149" s="3" t="s">
        <v>183</v>
      </c>
    </row>
    <row r="150" spans="3:5" ht="15.75" customHeight="1">
      <c r="C150" s="3" t="s">
        <v>2302</v>
      </c>
      <c r="D150" s="3" t="s">
        <v>173</v>
      </c>
      <c r="E150" s="3" t="s">
        <v>183</v>
      </c>
    </row>
    <row r="151" spans="3:5" ht="15.75" customHeight="1">
      <c r="C151" s="3" t="s">
        <v>2303</v>
      </c>
      <c r="D151" s="3" t="s">
        <v>173</v>
      </c>
      <c r="E151" s="3" t="s">
        <v>183</v>
      </c>
    </row>
    <row r="152" spans="3:5" ht="15.75" customHeight="1">
      <c r="C152" s="3" t="s">
        <v>2304</v>
      </c>
      <c r="D152" s="3" t="s">
        <v>174</v>
      </c>
      <c r="E152" s="3" t="s">
        <v>2364</v>
      </c>
    </row>
    <row r="153" spans="3:5" ht="15.75" customHeight="1">
      <c r="C153" s="3" t="s">
        <v>2305</v>
      </c>
      <c r="D153" s="3" t="s">
        <v>174</v>
      </c>
      <c r="E153" s="3" t="s">
        <v>2364</v>
      </c>
    </row>
    <row r="154" spans="3:5" ht="15.75" customHeight="1">
      <c r="C154" s="3" t="s">
        <v>2306</v>
      </c>
      <c r="D154" s="3" t="s">
        <v>174</v>
      </c>
      <c r="E154" s="3" t="s">
        <v>2364</v>
      </c>
    </row>
    <row r="155" spans="3:5" ht="15.75" customHeight="1">
      <c r="C155" s="3" t="s">
        <v>2307</v>
      </c>
      <c r="D155" s="3" t="s">
        <v>174</v>
      </c>
      <c r="E155" s="3" t="s">
        <v>2364</v>
      </c>
    </row>
    <row r="156" spans="3:5" ht="15.75" customHeight="1">
      <c r="C156" s="3" t="s">
        <v>2308</v>
      </c>
      <c r="D156" s="3" t="s">
        <v>177</v>
      </c>
      <c r="E156" s="3" t="s">
        <v>183</v>
      </c>
    </row>
    <row r="157" spans="3:5" ht="15.75" customHeight="1">
      <c r="C157" s="3" t="s">
        <v>2309</v>
      </c>
      <c r="D157" s="3" t="s">
        <v>177</v>
      </c>
      <c r="E157" s="3" t="s">
        <v>183</v>
      </c>
    </row>
    <row r="158" spans="3:5" ht="15.75" customHeight="1">
      <c r="C158" s="3" t="s">
        <v>441</v>
      </c>
      <c r="D158" s="3" t="s">
        <v>178</v>
      </c>
      <c r="E158" s="3" t="s">
        <v>183</v>
      </c>
    </row>
    <row r="159" spans="3:5" ht="15.75" customHeight="1">
      <c r="C159" s="3" t="s">
        <v>2310</v>
      </c>
      <c r="D159" s="3" t="s">
        <v>178</v>
      </c>
      <c r="E159" s="3" t="s">
        <v>183</v>
      </c>
    </row>
    <row r="160" spans="3:5" ht="15.75" customHeight="1">
      <c r="C160" s="3" t="s">
        <v>178</v>
      </c>
      <c r="D160" s="3" t="s">
        <v>178</v>
      </c>
      <c r="E160" s="3" t="s">
        <v>183</v>
      </c>
    </row>
    <row r="161" spans="3:5" ht="15.75" customHeight="1">
      <c r="C161" s="3" t="s">
        <v>179</v>
      </c>
      <c r="D161" s="3" t="s">
        <v>179</v>
      </c>
      <c r="E161" s="3" t="s">
        <v>61</v>
      </c>
    </row>
    <row r="162" spans="3:5" ht="15.75" customHeight="1">
      <c r="C162" s="3" t="s">
        <v>180</v>
      </c>
      <c r="D162" s="3" t="s">
        <v>180</v>
      </c>
      <c r="E162" s="3" t="s">
        <v>183</v>
      </c>
    </row>
    <row r="163" spans="3:5" ht="15.75" customHeight="1">
      <c r="C163" s="3" t="s">
        <v>2311</v>
      </c>
      <c r="D163" s="3" t="s">
        <v>181</v>
      </c>
      <c r="E163" s="3" t="s">
        <v>183</v>
      </c>
    </row>
    <row r="164" spans="3:5" ht="15.75" customHeight="1">
      <c r="C164" s="3" t="s">
        <v>2312</v>
      </c>
      <c r="D164" s="3" t="s">
        <v>181</v>
      </c>
      <c r="E164" s="3" t="s">
        <v>183</v>
      </c>
    </row>
    <row r="165" spans="3:5" ht="15.75" customHeight="1">
      <c r="C165" s="3" t="s">
        <v>2313</v>
      </c>
      <c r="D165" s="3" t="s">
        <v>181</v>
      </c>
      <c r="E165" s="3" t="s">
        <v>183</v>
      </c>
    </row>
    <row r="166" spans="3:5" ht="15.75" customHeight="1">
      <c r="C166" s="3" t="s">
        <v>2314</v>
      </c>
      <c r="D166" s="3" t="s">
        <v>181</v>
      </c>
      <c r="E166" s="3" t="s">
        <v>183</v>
      </c>
    </row>
    <row r="167" spans="3:5" ht="15.75" customHeight="1">
      <c r="C167" s="3" t="s">
        <v>2315</v>
      </c>
      <c r="D167" s="3" t="s">
        <v>181</v>
      </c>
      <c r="E167" s="3" t="s">
        <v>183</v>
      </c>
    </row>
    <row r="168" spans="3:5" ht="15.75" customHeight="1">
      <c r="C168" s="3" t="s">
        <v>2316</v>
      </c>
      <c r="D168" s="3" t="s">
        <v>183</v>
      </c>
      <c r="E168" s="3" t="s">
        <v>183</v>
      </c>
    </row>
    <row r="169" spans="3:5" ht="15.75" customHeight="1">
      <c r="C169" s="3" t="s">
        <v>2317</v>
      </c>
      <c r="D169" s="3" t="s">
        <v>183</v>
      </c>
      <c r="E169" s="3" t="s">
        <v>183</v>
      </c>
    </row>
    <row r="170" spans="3:5" ht="15.75" customHeight="1">
      <c r="C170" s="3" t="s">
        <v>2318</v>
      </c>
      <c r="D170" s="3" t="s">
        <v>183</v>
      </c>
      <c r="E170" s="3" t="s">
        <v>183</v>
      </c>
    </row>
    <row r="171" spans="3:5" ht="15.75" customHeight="1">
      <c r="C171" s="3" t="s">
        <v>2319</v>
      </c>
      <c r="D171" s="3" t="s">
        <v>183</v>
      </c>
      <c r="E171" s="3" t="s">
        <v>183</v>
      </c>
    </row>
    <row r="172" spans="3:5" ht="15.75" customHeight="1">
      <c r="C172" s="3" t="s">
        <v>2320</v>
      </c>
      <c r="D172" s="3" t="s">
        <v>183</v>
      </c>
      <c r="E172" s="3" t="s">
        <v>183</v>
      </c>
    </row>
    <row r="173" spans="3:5" ht="15.75" customHeight="1">
      <c r="C173" s="3" t="s">
        <v>2321</v>
      </c>
      <c r="D173" s="3" t="s">
        <v>183</v>
      </c>
      <c r="E173" s="3" t="s">
        <v>183</v>
      </c>
    </row>
    <row r="174" spans="3:5" ht="15.75" customHeight="1">
      <c r="C174" s="3" t="s">
        <v>2322</v>
      </c>
      <c r="D174" s="3" t="s">
        <v>183</v>
      </c>
      <c r="E174" s="3" t="s">
        <v>183</v>
      </c>
    </row>
    <row r="175" spans="3:5" ht="15.75" customHeight="1">
      <c r="C175" s="3" t="s">
        <v>2323</v>
      </c>
      <c r="D175" s="3" t="s">
        <v>183</v>
      </c>
      <c r="E175" s="3" t="s">
        <v>183</v>
      </c>
    </row>
    <row r="176" spans="3:5" ht="15.75" customHeight="1">
      <c r="C176" s="3" t="s">
        <v>2324</v>
      </c>
      <c r="D176" s="3" t="s">
        <v>183</v>
      </c>
      <c r="E176" s="3" t="s">
        <v>183</v>
      </c>
    </row>
    <row r="177" spans="3:5" ht="15.75" customHeight="1">
      <c r="C177" s="3" t="s">
        <v>2325</v>
      </c>
      <c r="D177" s="3" t="s">
        <v>183</v>
      </c>
      <c r="E177" s="3" t="s">
        <v>183</v>
      </c>
    </row>
    <row r="178" spans="3:5" ht="15.75" customHeight="1">
      <c r="C178" s="3" t="s">
        <v>2326</v>
      </c>
      <c r="D178" s="3" t="s">
        <v>183</v>
      </c>
      <c r="E178" s="3" t="s">
        <v>183</v>
      </c>
    </row>
    <row r="179" spans="3:5" ht="15.75" customHeight="1">
      <c r="C179" s="3" t="s">
        <v>2327</v>
      </c>
      <c r="D179" s="3" t="s">
        <v>183</v>
      </c>
      <c r="E179" s="3" t="s">
        <v>183</v>
      </c>
    </row>
    <row r="180" spans="3:5" ht="15.75" customHeight="1">
      <c r="C180" s="3" t="s">
        <v>2328</v>
      </c>
      <c r="D180" s="3" t="s">
        <v>183</v>
      </c>
      <c r="E180" s="3" t="s">
        <v>183</v>
      </c>
    </row>
    <row r="181" spans="3:5" ht="15.75" customHeight="1">
      <c r="C181" s="3" t="s">
        <v>2365</v>
      </c>
      <c r="D181" s="3" t="s">
        <v>1269</v>
      </c>
      <c r="E181" s="3" t="s">
        <v>2366</v>
      </c>
    </row>
    <row r="182" spans="3:5" ht="15.75" customHeight="1">
      <c r="C182" s="3" t="s">
        <v>1270</v>
      </c>
      <c r="D182" s="3" t="s">
        <v>1269</v>
      </c>
      <c r="E182" s="3" t="s">
        <v>2366</v>
      </c>
    </row>
    <row r="183" spans="3:5" ht="15.75" customHeight="1">
      <c r="C183" s="3" t="s">
        <v>2367</v>
      </c>
      <c r="D183" s="3" t="s">
        <v>1269</v>
      </c>
      <c r="E183" s="3" t="s">
        <v>2366</v>
      </c>
    </row>
    <row r="184" spans="3:5" ht="15.75" customHeight="1">
      <c r="C184" s="3" t="s">
        <v>1263</v>
      </c>
      <c r="D184" s="3" t="s">
        <v>2359</v>
      </c>
      <c r="E184" s="3" t="s">
        <v>2368</v>
      </c>
    </row>
    <row r="185" spans="3:5" ht="15.75" customHeight="1">
      <c r="C185" s="3" t="s">
        <v>2369</v>
      </c>
      <c r="D185" s="3" t="s">
        <v>2359</v>
      </c>
      <c r="E185" s="3" t="s">
        <v>2368</v>
      </c>
    </row>
    <row r="186" spans="3:5" ht="15.75" customHeight="1">
      <c r="C186" s="3" t="s">
        <v>2370</v>
      </c>
      <c r="D186" s="3" t="s">
        <v>2360</v>
      </c>
      <c r="E186" s="3" t="s">
        <v>2371</v>
      </c>
    </row>
    <row r="187" spans="3:5" ht="15.75" customHeight="1">
      <c r="C187" s="3" t="s">
        <v>2053</v>
      </c>
      <c r="D187" s="3" t="s">
        <v>2360</v>
      </c>
      <c r="E187" s="3" t="s">
        <v>2371</v>
      </c>
    </row>
    <row r="188" spans="3:5" ht="15.75" customHeight="1">
      <c r="C188" s="3" t="s">
        <v>2372</v>
      </c>
      <c r="D188" s="3" t="s">
        <v>2361</v>
      </c>
      <c r="E188" s="3" t="s">
        <v>2373</v>
      </c>
    </row>
    <row r="189" spans="3:5" ht="15.75" customHeight="1"/>
    <row r="190" spans="3:5" ht="15.75" customHeight="1"/>
    <row r="191" spans="3:5" ht="15.75" customHeight="1"/>
    <row r="192" spans="3:5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>
      <c r="A224" s="3" t="s">
        <v>901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Z1000"/>
  <sheetViews>
    <sheetView showGridLines="0" workbookViewId="0"/>
  </sheetViews>
  <sheetFormatPr defaultColWidth="12.54296875" defaultRowHeight="15" customHeight="1"/>
  <cols>
    <col min="1" max="2" width="1.7265625" customWidth="1"/>
    <col min="3" max="3" width="20" customWidth="1"/>
    <col min="4" max="9" width="12.7265625" customWidth="1"/>
    <col min="10" max="26" width="8.54296875" customWidth="1"/>
  </cols>
  <sheetData>
    <row r="2" spans="1:6" ht="4.5" customHeight="1"/>
    <row r="3" spans="1:6" ht="14.5">
      <c r="A3" s="3"/>
      <c r="B3" s="3"/>
      <c r="C3" s="17" t="s">
        <v>14</v>
      </c>
      <c r="D3" s="3"/>
      <c r="E3" s="3"/>
      <c r="F3" s="3"/>
    </row>
    <row r="4" spans="1:6" ht="14.5">
      <c r="A4" s="3"/>
      <c r="B4" s="3"/>
      <c r="C4" s="3" t="s">
        <v>37</v>
      </c>
      <c r="D4" s="3"/>
      <c r="E4" s="3"/>
      <c r="F4" s="3"/>
    </row>
    <row r="5" spans="1:6" ht="14.5">
      <c r="C5" s="18"/>
      <c r="D5" s="18"/>
      <c r="E5" s="18"/>
      <c r="F5" s="18"/>
    </row>
    <row r="6" spans="1:6" ht="14.5">
      <c r="C6" s="516" t="s">
        <v>37</v>
      </c>
      <c r="D6" s="514"/>
      <c r="E6" s="514"/>
      <c r="F6" s="515"/>
    </row>
    <row r="7" spans="1:6" ht="4.5" customHeight="1">
      <c r="D7" s="457"/>
      <c r="E7" s="457"/>
      <c r="F7" s="457"/>
    </row>
    <row r="8" spans="1:6" ht="14.5">
      <c r="C8" s="513" t="s">
        <v>2374</v>
      </c>
      <c r="D8" s="514"/>
      <c r="E8" s="514"/>
      <c r="F8" s="515"/>
    </row>
    <row r="9" spans="1:6" ht="4.5" customHeight="1">
      <c r="D9" s="457"/>
    </row>
    <row r="10" spans="1:6" ht="14.5">
      <c r="C10" s="3" t="s">
        <v>2375</v>
      </c>
      <c r="D10" s="458">
        <v>46161</v>
      </c>
    </row>
    <row r="11" spans="1:6" ht="14.5">
      <c r="C11" s="3" t="s">
        <v>2376</v>
      </c>
      <c r="D11" s="459">
        <v>2024</v>
      </c>
    </row>
    <row r="12" spans="1:6" ht="14.5">
      <c r="C12" s="3" t="s">
        <v>2377</v>
      </c>
      <c r="D12" s="459">
        <v>2025</v>
      </c>
    </row>
    <row r="13" spans="1:6" ht="14.5">
      <c r="C13" s="3" t="s">
        <v>2378</v>
      </c>
      <c r="D13" s="459" t="s">
        <v>1248</v>
      </c>
    </row>
    <row r="14" spans="1:6" ht="14.5">
      <c r="C14" s="3" t="s">
        <v>20</v>
      </c>
      <c r="D14" s="459" t="s">
        <v>2379</v>
      </c>
    </row>
    <row r="15" spans="1:6" ht="14.5">
      <c r="C15" s="3" t="s">
        <v>21</v>
      </c>
      <c r="D15" s="459" t="s">
        <v>2380</v>
      </c>
    </row>
    <row r="16" spans="1:6" ht="14.5">
      <c r="C16" s="3" t="s">
        <v>22</v>
      </c>
      <c r="D16" s="459" t="s">
        <v>2381</v>
      </c>
    </row>
    <row r="17" spans="1:26" ht="14.5">
      <c r="D17" s="42"/>
    </row>
    <row r="18" spans="1:26" ht="14.5">
      <c r="C18" s="3" t="s">
        <v>2382</v>
      </c>
      <c r="D18" s="523" t="s">
        <v>2383</v>
      </c>
      <c r="E18" s="524"/>
      <c r="F18" s="525"/>
    </row>
    <row r="21" spans="1:26" ht="15.75" customHeight="1">
      <c r="C21" s="526" t="s">
        <v>235</v>
      </c>
      <c r="D21" s="514"/>
      <c r="E21" s="514"/>
      <c r="F21" s="515"/>
    </row>
    <row r="22" spans="1:26" ht="3.75" customHeight="1">
      <c r="C22" s="460"/>
      <c r="D22" s="460"/>
      <c r="E22" s="460"/>
      <c r="F22" s="460"/>
    </row>
    <row r="23" spans="1:26" ht="15.75" customHeight="1">
      <c r="C23" s="522" t="s">
        <v>2384</v>
      </c>
      <c r="D23" s="514"/>
      <c r="E23" s="514"/>
      <c r="F23" s="514"/>
      <c r="G23" s="514"/>
      <c r="H23" s="514"/>
      <c r="I23" s="515"/>
    </row>
    <row r="24" spans="1:26" ht="15.75" customHeight="1">
      <c r="C24" s="461"/>
      <c r="D24" s="462">
        <f>$D$11</f>
        <v>2024</v>
      </c>
      <c r="E24" s="462">
        <f>$D$12</f>
        <v>2025</v>
      </c>
      <c r="F24" s="462" t="s">
        <v>65</v>
      </c>
      <c r="G24" s="463">
        <v>1</v>
      </c>
      <c r="H24" s="463">
        <v>2</v>
      </c>
      <c r="I24" s="463">
        <v>3</v>
      </c>
    </row>
    <row r="25" spans="1:26" ht="3.75" customHeight="1">
      <c r="C25" s="460"/>
      <c r="D25" s="460"/>
      <c r="E25" s="460"/>
      <c r="F25" s="460"/>
      <c r="G25" s="460"/>
      <c r="H25" s="460"/>
      <c r="I25" s="460"/>
    </row>
    <row r="26" spans="1:26" ht="15.75" customHeight="1">
      <c r="C26" s="3" t="s">
        <v>2385</v>
      </c>
      <c r="D26" s="25">
        <f>'Revenue Analysis - Total'!D13</f>
        <v>153</v>
      </c>
      <c r="E26" s="25">
        <f>'Revenue Analysis - Total'!E13</f>
        <v>133</v>
      </c>
      <c r="F26" s="25">
        <f>'Revenue Analysis - Total'!F13</f>
        <v>131</v>
      </c>
      <c r="G26" s="25">
        <f>'Revenue Analysis - Total'!G13</f>
        <v>150</v>
      </c>
      <c r="H26" s="25">
        <f>'Revenue Analysis - Total'!H13</f>
        <v>160</v>
      </c>
      <c r="I26" s="25">
        <f>'Revenue Analysis - Total'!I13</f>
        <v>170</v>
      </c>
    </row>
    <row r="27" spans="1:26" ht="15.75" customHeight="1">
      <c r="C27" s="3" t="s">
        <v>2386</v>
      </c>
      <c r="D27" s="25">
        <f>SUMIFS('Adj. P&amp;L'!$35:$35,'Adj. P&amp;L'!$1:$1,D$24)</f>
        <v>153</v>
      </c>
      <c r="E27" s="25">
        <f>SUMIFS('Adj. P&amp;L'!$35:$35,'Adj. P&amp;L'!$1:$1,E$24)</f>
        <v>133</v>
      </c>
      <c r="F27" s="25">
        <f>SUMIFS('Adj. P&amp;L'!$35:$35,'Adj. P&amp;L'!$3:$3,F$24)</f>
        <v>131</v>
      </c>
      <c r="G27" s="25">
        <f>SUMIFS('Adj. P&amp;L'!$35:$35,'Adj. P&amp;L'!$3:$3,G$24)</f>
        <v>150</v>
      </c>
      <c r="H27" s="25">
        <f>SUMIFS('Adj. P&amp;L'!$35:$35,'Adj. P&amp;L'!$3:$3,H$24)</f>
        <v>160</v>
      </c>
      <c r="I27" s="25">
        <f>SUMIFS('Adj. P&amp;L'!$35:$35,'Adj. P&amp;L'!$3:$3,I$24)</f>
        <v>170</v>
      </c>
    </row>
    <row r="28" spans="1:26" ht="15.75" customHeight="1">
      <c r="C28" s="3" t="s">
        <v>2387</v>
      </c>
      <c r="D28" s="25">
        <f>'Adj. P&amp;L'!CA35</f>
        <v>153</v>
      </c>
      <c r="E28" s="25">
        <f>'Adj. P&amp;L'!CB35</f>
        <v>133</v>
      </c>
      <c r="F28" s="25">
        <f>'Adj. P&amp;L'!CC35</f>
        <v>131</v>
      </c>
      <c r="G28" s="25">
        <f>'Adj. P&amp;L'!CD35</f>
        <v>150</v>
      </c>
      <c r="H28" s="25">
        <f>'Adj. P&amp;L'!CE35</f>
        <v>160</v>
      </c>
      <c r="I28" s="25">
        <f>'Adj. P&amp;L'!CF35</f>
        <v>170</v>
      </c>
    </row>
    <row r="29" spans="1:26" ht="15.75" customHeight="1">
      <c r="C29" s="3" t="s">
        <v>2388</v>
      </c>
      <c r="D29" s="25">
        <f>'Events Summary'!L10</f>
        <v>153</v>
      </c>
      <c r="E29" s="25">
        <f>'Events Summary'!L11</f>
        <v>133</v>
      </c>
      <c r="F29" s="25">
        <f>'Events Summary'!L12</f>
        <v>131</v>
      </c>
      <c r="G29" s="25"/>
      <c r="H29" s="25"/>
      <c r="I29" s="25"/>
    </row>
    <row r="30" spans="1:26" ht="15.75" customHeight="1">
      <c r="D30" s="25"/>
      <c r="E30" s="25"/>
      <c r="F30" s="25"/>
      <c r="G30" s="25"/>
      <c r="H30" s="25"/>
      <c r="I30" s="25"/>
    </row>
    <row r="31" spans="1:26" ht="15.75" customHeight="1">
      <c r="A31" s="64"/>
      <c r="B31" s="64"/>
      <c r="C31" s="64" t="s">
        <v>392</v>
      </c>
      <c r="D31" s="64" t="b">
        <f t="shared" ref="D31:I31" si="0">AVERAGE(D26:D28)=D$26</f>
        <v>1</v>
      </c>
      <c r="E31" s="64" t="b">
        <f t="shared" si="0"/>
        <v>1</v>
      </c>
      <c r="F31" s="64" t="b">
        <f t="shared" si="0"/>
        <v>1</v>
      </c>
      <c r="G31" s="64" t="b">
        <f t="shared" si="0"/>
        <v>1</v>
      </c>
      <c r="H31" s="64" t="b">
        <f t="shared" si="0"/>
        <v>1</v>
      </c>
      <c r="I31" s="64" t="b">
        <f t="shared" si="0"/>
        <v>1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/>
    <row r="33" spans="1:26" ht="15.75" customHeight="1">
      <c r="C33" s="522" t="s">
        <v>9</v>
      </c>
      <c r="D33" s="514"/>
      <c r="E33" s="514"/>
      <c r="F33" s="514"/>
      <c r="G33" s="514"/>
      <c r="H33" s="514"/>
      <c r="I33" s="515"/>
    </row>
    <row r="34" spans="1:26" ht="15.75" customHeight="1">
      <c r="C34" s="461"/>
      <c r="D34" s="462">
        <f>$D$11</f>
        <v>2024</v>
      </c>
      <c r="E34" s="462">
        <f>$D$12</f>
        <v>2025</v>
      </c>
      <c r="F34" s="462" t="str">
        <f>$D$13</f>
        <v>LTM Apr-26</v>
      </c>
      <c r="G34" s="463">
        <v>1</v>
      </c>
      <c r="H34" s="463">
        <v>2</v>
      </c>
      <c r="I34" s="463">
        <v>3</v>
      </c>
    </row>
    <row r="35" spans="1:26" ht="3.75" customHeight="1">
      <c r="C35" s="460"/>
      <c r="D35" s="460"/>
      <c r="E35" s="460"/>
      <c r="F35" s="460"/>
      <c r="G35" s="460"/>
      <c r="H35" s="460"/>
      <c r="I35" s="460"/>
    </row>
    <row r="36" spans="1:26" ht="15.75" customHeight="1">
      <c r="C36" s="3" t="s">
        <v>2385</v>
      </c>
      <c r="D36" s="25">
        <f>'Revenue Analysis - Total'!D19+D41+D43+D42</f>
        <v>1358.0439899999999</v>
      </c>
      <c r="E36" s="25">
        <f>'Revenue Analysis - Total'!E19+E41+E43+E42</f>
        <v>1362.7884300000001</v>
      </c>
      <c r="F36" s="25">
        <f>'Revenue Analysis - Total'!F19+F41+F43+F42</f>
        <v>1326.67974</v>
      </c>
      <c r="G36" s="25">
        <f>'Revenue Analysis - Total'!G19+G41+G43+G42</f>
        <v>1963.4147011127134</v>
      </c>
      <c r="H36" s="25">
        <f>'Revenue Analysis - Total'!H19+H41+H43+H42</f>
        <v>2671.0730196319687</v>
      </c>
      <c r="I36" s="25">
        <f>'Revenue Analysis - Total'!I19+I41+I43+I42</f>
        <v>3799.3385160198577</v>
      </c>
    </row>
    <row r="37" spans="1:26" ht="15.75" customHeight="1">
      <c r="C37" s="3" t="s">
        <v>2386</v>
      </c>
      <c r="D37" s="25">
        <f>SUMIFS('Adj. P&amp;L'!$55:$55,'Adj. P&amp;L'!$1:$1,D$24)</f>
        <v>1358.0439900000001</v>
      </c>
      <c r="E37" s="25">
        <f>SUMIFS('Adj. P&amp;L'!$55:$55,'Adj. P&amp;L'!$1:$1,E$24)</f>
        <v>1362.7884299999996</v>
      </c>
      <c r="F37" s="25">
        <f>SUMIFS('Adj. P&amp;L'!$55:$55,'Adj. P&amp;L'!$3:$3,F$24)</f>
        <v>1326.6797399999998</v>
      </c>
      <c r="G37" s="25">
        <f>SUMIFS('Adj. P&amp;L'!$55:$55,'Adj. P&amp;L'!$3:$3,G$24)</f>
        <v>1963.4147011127134</v>
      </c>
      <c r="H37" s="25">
        <f>SUMIFS('Adj. P&amp;L'!$55:$55,'Adj. P&amp;L'!$3:$3,H$24)</f>
        <v>2671.0730196319696</v>
      </c>
      <c r="I37" s="25">
        <f>SUMIFS('Adj. P&amp;L'!$55:$55,'Adj. P&amp;L'!$3:$3,I$24)</f>
        <v>3799.3385160198577</v>
      </c>
    </row>
    <row r="38" spans="1:26" ht="15.75" customHeight="1">
      <c r="C38" s="3" t="s">
        <v>2387</v>
      </c>
      <c r="D38" s="25">
        <f>'Adj. P&amp;L'!CA55</f>
        <v>1358.0439899999999</v>
      </c>
      <c r="E38" s="25">
        <f>'Adj. P&amp;L'!CB55</f>
        <v>1362.7884300000001</v>
      </c>
      <c r="F38" s="25">
        <f>'Adj. P&amp;L'!CC55</f>
        <v>1326.67974</v>
      </c>
      <c r="G38" s="25">
        <f>'Adj. P&amp;L'!CD55</f>
        <v>1963.4147011127134</v>
      </c>
      <c r="H38" s="25">
        <f>'Adj. P&amp;L'!CE55</f>
        <v>2671.0730196319691</v>
      </c>
      <c r="I38" s="25">
        <f>'Adj. P&amp;L'!CF55</f>
        <v>3799.3385160198582</v>
      </c>
    </row>
    <row r="39" spans="1:26" ht="15.75" customHeight="1">
      <c r="A39" s="64"/>
      <c r="B39" s="64"/>
      <c r="C39" s="64" t="s">
        <v>392</v>
      </c>
      <c r="D39" s="64" t="b">
        <f t="shared" ref="D39:I39" si="1">AVERAGE(D36:D38)=D$36</f>
        <v>1</v>
      </c>
      <c r="E39" s="64" t="b">
        <f t="shared" si="1"/>
        <v>1</v>
      </c>
      <c r="F39" s="64" t="b">
        <f t="shared" si="1"/>
        <v>1</v>
      </c>
      <c r="G39" s="64" t="b">
        <f t="shared" si="1"/>
        <v>1</v>
      </c>
      <c r="H39" s="64" t="b">
        <f t="shared" si="1"/>
        <v>1</v>
      </c>
      <c r="I39" s="64" t="b">
        <f t="shared" si="1"/>
        <v>1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/>
    <row r="41" spans="1:26" ht="15.75" customHeight="1">
      <c r="C41" s="3" t="s">
        <v>2389</v>
      </c>
      <c r="D41" s="25">
        <f>SUMIFS('Adj. P&amp;L'!$45:$45,'Adj. P&amp;L'!$1:$1,D$24)</f>
        <v>235.79298999999997</v>
      </c>
      <c r="E41" s="25">
        <f>SUMIFS('Adj. P&amp;L'!$45:$45,'Adj. P&amp;L'!$1:$1,E$24)</f>
        <v>359.86643000000004</v>
      </c>
      <c r="F41" s="25">
        <f>SUMIFS('Adj. P&amp;L'!$45:$45,'Adj. P&amp;L'!$3:$3,F$24)</f>
        <v>325.50774000000001</v>
      </c>
      <c r="G41" s="25">
        <f>SUMIFS('Adj. P&amp;L'!$45:$45,'Adj. P&amp;L'!$3:$3,G$24)</f>
        <v>288.06999999999994</v>
      </c>
      <c r="H41" s="25">
        <f>SUMIFS('Adj. P&amp;L'!$45:$45,'Adj. P&amp;L'!$3:$3,H$24)</f>
        <v>71.64500000000001</v>
      </c>
      <c r="I41" s="25">
        <f>SUMIFS('Adj. P&amp;L'!$45:$45,'Adj. P&amp;L'!$3:$3,I$24)</f>
        <v>0</v>
      </c>
    </row>
    <row r="42" spans="1:26" ht="15.75" customHeight="1">
      <c r="C42" s="3" t="s">
        <v>2390</v>
      </c>
      <c r="D42" s="25">
        <f>SUMIFS('Adj. P&amp;L'!$44:$44,'Adj. P&amp;L'!$1:$1,D$24)</f>
        <v>33</v>
      </c>
      <c r="E42" s="25">
        <f>SUMIFS('Adj. P&amp;L'!$44:$44,'Adj. P&amp;L'!$1:$1,E$24)</f>
        <v>58.5</v>
      </c>
      <c r="F42" s="25">
        <f>SUMIFS('Adj. P&amp;L'!$44:$44,'Adj. P&amp;L'!$3:$3,F$24)</f>
        <v>67</v>
      </c>
      <c r="G42" s="25">
        <f>SUMIFS('Adj. P&amp;L'!$44:$44,'Adj. P&amp;L'!$3:$3,G$24)</f>
        <v>68.25</v>
      </c>
      <c r="H42" s="25">
        <f>SUMIFS('Adj. P&amp;L'!$44:$44,'Adj. P&amp;L'!$3:$3,H$24)</f>
        <v>70</v>
      </c>
      <c r="I42" s="25">
        <f>SUMIFS('Adj. P&amp;L'!$44:$44,'Adj. P&amp;L'!$3:$3,I$24)</f>
        <v>70</v>
      </c>
    </row>
    <row r="43" spans="1:26" ht="15.75" customHeight="1">
      <c r="C43" s="3" t="s">
        <v>2391</v>
      </c>
      <c r="D43" s="25">
        <f>SUMIFS('Adj. P&amp;L'!$51:$51,'Adj. P&amp;L'!$1:$1,D$24)</f>
        <v>38.901000000000003</v>
      </c>
      <c r="E43" s="25">
        <f>SUMIFS('Adj. P&amp;L'!$51:$51,'Adj. P&amp;L'!$1:$1,E$24)</f>
        <v>34.421999999999997</v>
      </c>
      <c r="F43" s="25">
        <f>SUMIFS('Adj. P&amp;L'!$51:$51,'Adj. P&amp;L'!$3:$3,F$24)</f>
        <v>34.421999999999997</v>
      </c>
      <c r="G43" s="25"/>
      <c r="H43" s="25"/>
      <c r="I43" s="25"/>
    </row>
    <row r="44" spans="1:26" ht="15.75" customHeight="1">
      <c r="C44" s="522" t="s">
        <v>13</v>
      </c>
      <c r="D44" s="514"/>
      <c r="E44" s="514"/>
      <c r="F44" s="514"/>
      <c r="G44" s="514"/>
      <c r="H44" s="514"/>
      <c r="I44" s="515"/>
    </row>
    <row r="45" spans="1:26" ht="15.75" customHeight="1">
      <c r="C45" s="461"/>
      <c r="D45" s="462">
        <f>$D$11</f>
        <v>2024</v>
      </c>
      <c r="E45" s="462">
        <f>$D$12</f>
        <v>2025</v>
      </c>
      <c r="F45" s="462" t="str">
        <f>$D$13</f>
        <v>LTM Apr-26</v>
      </c>
      <c r="G45" s="463">
        <v>1</v>
      </c>
      <c r="H45" s="463">
        <v>2</v>
      </c>
      <c r="I45" s="463">
        <v>3</v>
      </c>
    </row>
    <row r="46" spans="1:26" ht="3.75" customHeight="1">
      <c r="C46" s="460"/>
      <c r="D46" s="460"/>
      <c r="E46" s="460"/>
      <c r="F46" s="460"/>
      <c r="G46" s="460"/>
      <c r="H46" s="460"/>
      <c r="I46" s="460"/>
    </row>
    <row r="47" spans="1:26" ht="15.75" customHeight="1">
      <c r="C47" s="3" t="s">
        <v>2386</v>
      </c>
      <c r="D47" s="25">
        <f>SUMIFS('Adj. P&amp;L'!$111:$111,'Adj. P&amp;L'!$3:$3,D$24)</f>
        <v>0</v>
      </c>
      <c r="E47" s="25">
        <f>SUMIFS('Adj. P&amp;L'!$111:$111,'Adj. P&amp;L'!$3:$3,E$24)</f>
        <v>0</v>
      </c>
      <c r="F47" s="25">
        <f>SUMIFS('Adj. P&amp;L'!$111:$111,'Adj. P&amp;L'!$3:$3,F$24)</f>
        <v>559.60714666666661</v>
      </c>
      <c r="G47" s="25">
        <f>SUMIFS('Adj. P&amp;L'!$111:$111,'Adj. P&amp;L'!$3:$3,G$24)</f>
        <v>593.04724121464085</v>
      </c>
      <c r="H47" s="25">
        <f>SUMIFS('Adj. P&amp;L'!$111:$111,'Adj. P&amp;L'!$3:$3,H$24)</f>
        <v>807.83676705754101</v>
      </c>
      <c r="I47" s="25">
        <f>SUMIFS('Adj. P&amp;L'!$111:$111,'Adj. P&amp;L'!$3:$3,I$24)</f>
        <v>1220.2728820887494</v>
      </c>
    </row>
    <row r="48" spans="1:26" ht="15.75" customHeight="1">
      <c r="C48" s="3" t="s">
        <v>2387</v>
      </c>
      <c r="D48" s="25">
        <f>'Adj. P&amp;L'!CA111</f>
        <v>613.7260399999999</v>
      </c>
      <c r="E48" s="25">
        <f>'Adj. P&amp;L'!CB111</f>
        <v>567.31910999999991</v>
      </c>
      <c r="F48" s="25">
        <f>'Adj. P&amp;L'!CC111</f>
        <v>559.60714666666661</v>
      </c>
      <c r="G48" s="25">
        <f>'Adj. P&amp;L'!CD111</f>
        <v>593.04724121464074</v>
      </c>
      <c r="H48" s="25">
        <f>'Adj. P&amp;L'!CE111</f>
        <v>807.8367670575409</v>
      </c>
      <c r="I48" s="25">
        <f>'Adj. P&amp;L'!CF111</f>
        <v>1220.2728820887496</v>
      </c>
    </row>
    <row r="49" spans="1:26" ht="15.75" customHeight="1">
      <c r="A49" s="64"/>
      <c r="B49" s="64"/>
      <c r="C49" s="64" t="s">
        <v>392</v>
      </c>
      <c r="F49" s="64" t="b">
        <f t="shared" ref="F49:I49" si="2">AVERAGE(F47:F48)=F$47</f>
        <v>1</v>
      </c>
      <c r="G49" s="64" t="b">
        <f t="shared" si="2"/>
        <v>1</v>
      </c>
      <c r="H49" s="64" t="b">
        <f t="shared" si="2"/>
        <v>1</v>
      </c>
      <c r="I49" s="64" t="b">
        <f t="shared" si="2"/>
        <v>1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/>
    <row r="51" spans="1:26" ht="15.75" customHeight="1"/>
    <row r="52" spans="1:26" ht="15.75" customHeight="1"/>
    <row r="53" spans="1:26" ht="15.75" customHeight="1"/>
    <row r="54" spans="1:26" ht="15.75" customHeight="1"/>
    <row r="55" spans="1:26" ht="15.75" customHeight="1"/>
    <row r="56" spans="1:26" ht="15.75" customHeight="1"/>
    <row r="57" spans="1:26" ht="15.75" customHeight="1"/>
    <row r="58" spans="1:26" ht="15.75" customHeight="1"/>
    <row r="59" spans="1:26" ht="15.75" customHeight="1"/>
    <row r="60" spans="1:26" ht="15.75" customHeight="1"/>
    <row r="61" spans="1:26" ht="15.75" customHeight="1"/>
    <row r="62" spans="1:26" ht="15.75" customHeight="1"/>
    <row r="63" spans="1:26" ht="15.75" customHeight="1"/>
    <row r="64" spans="1:2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33:I33"/>
    <mergeCell ref="C44:I44"/>
    <mergeCell ref="C6:F6"/>
    <mergeCell ref="C8:F8"/>
    <mergeCell ref="D18:F18"/>
    <mergeCell ref="C21:F21"/>
    <mergeCell ref="C23:I23"/>
  </mergeCells>
  <conditionalFormatting sqref="D31:I31 D39:I39 F49:I49">
    <cfRule type="cellIs" dxfId="0" priority="1" operator="equal">
      <formula>"FALSE"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/>
  </sheetPr>
  <dimension ref="A1:AF1000"/>
  <sheetViews>
    <sheetView showGridLines="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F12" sqref="F12"/>
    </sheetView>
  </sheetViews>
  <sheetFormatPr defaultColWidth="12.54296875" defaultRowHeight="15" customHeight="1" outlineLevelCol="1"/>
  <cols>
    <col min="1" max="2" width="1.7265625" customWidth="1"/>
    <col min="3" max="4" width="31.1796875" customWidth="1"/>
    <col min="5" max="5" width="1.7265625" customWidth="1"/>
    <col min="6" max="6" width="10.7265625" customWidth="1"/>
    <col min="7" max="12" width="8.54296875" customWidth="1"/>
    <col min="13" max="31" width="9.1796875" customWidth="1" outlineLevel="1"/>
    <col min="32" max="32" width="9.1796875" customWidth="1"/>
  </cols>
  <sheetData>
    <row r="1" spans="1:32" ht="14.5">
      <c r="A1" s="3"/>
      <c r="B1" s="3"/>
      <c r="C1" s="3"/>
      <c r="D1" s="3"/>
      <c r="E1" s="3"/>
      <c r="F1" s="3"/>
    </row>
    <row r="2" spans="1:32" ht="4.5" customHeight="1">
      <c r="A2" s="3"/>
      <c r="B2" s="3"/>
      <c r="C2" s="3"/>
      <c r="D2" s="3"/>
      <c r="E2" s="3"/>
      <c r="F2" s="3"/>
    </row>
    <row r="3" spans="1:32" ht="14.5">
      <c r="A3" s="3"/>
      <c r="B3" s="3"/>
      <c r="C3" s="17" t="str">
        <f>Checks!$C$3</f>
        <v>Firefly Lane</v>
      </c>
      <c r="D3" s="17"/>
      <c r="E3" s="17"/>
      <c r="F3" s="3"/>
    </row>
    <row r="4" spans="1:32" ht="14.5">
      <c r="A4" s="3"/>
      <c r="B4" s="3"/>
      <c r="C4" s="464" t="s">
        <v>36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2" ht="14.5">
      <c r="A5" s="3"/>
      <c r="B5" s="3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spans="1:32" ht="14.5">
      <c r="A6" s="3"/>
      <c r="B6" s="3"/>
      <c r="C6" s="42" t="s">
        <v>2392</v>
      </c>
      <c r="D6" s="35">
        <v>0.03</v>
      </c>
      <c r="E6" s="465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</row>
    <row r="7" spans="1:32" ht="14.5">
      <c r="A7" s="3"/>
      <c r="B7" s="3"/>
      <c r="C7" s="42" t="s">
        <v>2393</v>
      </c>
      <c r="D7" s="466">
        <v>11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spans="1:32" ht="14.5">
      <c r="A8" s="3"/>
      <c r="B8" s="3"/>
      <c r="C8" s="42" t="s">
        <v>2394</v>
      </c>
      <c r="D8" s="467">
        <v>6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spans="1:32" ht="14.5">
      <c r="A9" s="3"/>
      <c r="B9" s="3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spans="1:32" ht="17.25" customHeight="1">
      <c r="A10" s="3"/>
      <c r="B10" s="3"/>
      <c r="C10" s="38" t="s">
        <v>42</v>
      </c>
      <c r="D10" s="38"/>
      <c r="E10" s="46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2" ht="17.25" customHeight="1">
      <c r="A11" s="3"/>
      <c r="B11" s="3"/>
      <c r="C11" s="38"/>
      <c r="D11" s="469" t="str">
        <f>"Cumulative for "&amp;D8&amp;" years"</f>
        <v>Cumulative for 6 years</v>
      </c>
      <c r="E11" s="468"/>
      <c r="F11" s="470">
        <v>0</v>
      </c>
      <c r="G11" s="470">
        <f t="shared" ref="G11:AE11" si="0">F11+1</f>
        <v>1</v>
      </c>
      <c r="H11" s="470">
        <f t="shared" si="0"/>
        <v>2</v>
      </c>
      <c r="I11" s="470">
        <f t="shared" si="0"/>
        <v>3</v>
      </c>
      <c r="J11" s="470">
        <f t="shared" si="0"/>
        <v>4</v>
      </c>
      <c r="K11" s="470">
        <f t="shared" si="0"/>
        <v>5</v>
      </c>
      <c r="L11" s="470">
        <f t="shared" si="0"/>
        <v>6</v>
      </c>
      <c r="M11" s="470">
        <f t="shared" si="0"/>
        <v>7</v>
      </c>
      <c r="N11" s="470">
        <f t="shared" si="0"/>
        <v>8</v>
      </c>
      <c r="O11" s="470">
        <f t="shared" si="0"/>
        <v>9</v>
      </c>
      <c r="P11" s="470">
        <f t="shared" si="0"/>
        <v>10</v>
      </c>
      <c r="Q11" s="470">
        <f t="shared" si="0"/>
        <v>11</v>
      </c>
      <c r="R11" s="470">
        <f t="shared" si="0"/>
        <v>12</v>
      </c>
      <c r="S11" s="470">
        <f t="shared" si="0"/>
        <v>13</v>
      </c>
      <c r="T11" s="470">
        <f t="shared" si="0"/>
        <v>14</v>
      </c>
      <c r="U11" s="470">
        <f t="shared" si="0"/>
        <v>15</v>
      </c>
      <c r="V11" s="470">
        <f t="shared" si="0"/>
        <v>16</v>
      </c>
      <c r="W11" s="470">
        <f t="shared" si="0"/>
        <v>17</v>
      </c>
      <c r="X11" s="470">
        <f t="shared" si="0"/>
        <v>18</v>
      </c>
      <c r="Y11" s="470">
        <f t="shared" si="0"/>
        <v>19</v>
      </c>
      <c r="Z11" s="470">
        <f t="shared" si="0"/>
        <v>20</v>
      </c>
      <c r="AA11" s="470">
        <f t="shared" si="0"/>
        <v>21</v>
      </c>
      <c r="AB11" s="470">
        <f t="shared" si="0"/>
        <v>22</v>
      </c>
      <c r="AC11" s="470">
        <f t="shared" si="0"/>
        <v>23</v>
      </c>
      <c r="AD11" s="470">
        <f t="shared" si="0"/>
        <v>24</v>
      </c>
      <c r="AE11" s="470">
        <f t="shared" si="0"/>
        <v>25</v>
      </c>
    </row>
    <row r="12" spans="1:32" ht="14.5">
      <c r="A12" s="3"/>
      <c r="B12" s="3"/>
      <c r="C12" s="3"/>
      <c r="D12" s="3"/>
      <c r="E12" s="3"/>
      <c r="F12" s="34"/>
    </row>
    <row r="13" spans="1:32" ht="14.5">
      <c r="A13" s="3"/>
      <c r="B13" s="3"/>
      <c r="C13" s="471" t="str">
        <f>Valuation!$D$13&amp;" at "&amp;TEXT(Valuation!$D$17,"$#,###")</f>
        <v>WholeCo at $3,600</v>
      </c>
      <c r="D13" s="472"/>
      <c r="E13" s="473"/>
      <c r="F13" s="472"/>
      <c r="G13" s="473"/>
      <c r="H13" s="473"/>
      <c r="I13" s="473"/>
      <c r="J13" s="473"/>
      <c r="K13" s="473"/>
      <c r="L13" s="473"/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</row>
    <row r="14" spans="1:32" ht="14.5">
      <c r="A14" s="3"/>
      <c r="B14" s="3"/>
      <c r="C14" s="33" t="s">
        <v>2395</v>
      </c>
      <c r="D14" s="33"/>
      <c r="E14" s="33"/>
      <c r="F14" s="7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</row>
    <row r="15" spans="1:32" ht="14.5">
      <c r="C15" s="3" t="s">
        <v>35</v>
      </c>
      <c r="D15" s="7">
        <f t="shared" ref="D15:D17" si="1">SUMIFS($F15:$AE15,$F$11:$AE$11,"&lt;="&amp;$D$8)</f>
        <v>6506.0505851464914</v>
      </c>
      <c r="E15" s="3"/>
      <c r="F15" s="7">
        <v>0</v>
      </c>
      <c r="G15" s="7">
        <f>'Adj. P&amp;L'!CD111</f>
        <v>593.04724121464074</v>
      </c>
      <c r="H15" s="7">
        <f>'Adj. P&amp;L'!CE111</f>
        <v>807.8367670575409</v>
      </c>
      <c r="I15" s="7">
        <f>'Adj. P&amp;L'!CF111</f>
        <v>1220.2728820887496</v>
      </c>
      <c r="J15" s="7">
        <f t="shared" ref="J15:AE15" si="2">I15*(1+$D$6)</f>
        <v>1256.8810685514122</v>
      </c>
      <c r="K15" s="7">
        <f t="shared" si="2"/>
        <v>1294.5875006079546</v>
      </c>
      <c r="L15" s="7">
        <f t="shared" si="2"/>
        <v>1333.4251256261932</v>
      </c>
      <c r="M15" s="7">
        <f t="shared" si="2"/>
        <v>1373.4278793949791</v>
      </c>
      <c r="N15" s="7">
        <f t="shared" si="2"/>
        <v>1414.6307157768285</v>
      </c>
      <c r="O15" s="7">
        <f t="shared" si="2"/>
        <v>1457.0696372501334</v>
      </c>
      <c r="P15" s="7">
        <f t="shared" si="2"/>
        <v>1500.7817263676375</v>
      </c>
      <c r="Q15" s="7">
        <f t="shared" si="2"/>
        <v>1545.8051781586666</v>
      </c>
      <c r="R15" s="7">
        <f t="shared" si="2"/>
        <v>1592.1793335034267</v>
      </c>
      <c r="S15" s="7">
        <f t="shared" si="2"/>
        <v>1639.9447135085295</v>
      </c>
      <c r="T15" s="7">
        <f t="shared" si="2"/>
        <v>1689.1430549137854</v>
      </c>
      <c r="U15" s="7">
        <f t="shared" si="2"/>
        <v>1739.817346561199</v>
      </c>
      <c r="V15" s="7">
        <f t="shared" si="2"/>
        <v>1792.0118669580349</v>
      </c>
      <c r="W15" s="7">
        <f t="shared" si="2"/>
        <v>1845.7722229667761</v>
      </c>
      <c r="X15" s="7">
        <f t="shared" si="2"/>
        <v>1901.1453896557794</v>
      </c>
      <c r="Y15" s="7">
        <f t="shared" si="2"/>
        <v>1958.1797513454528</v>
      </c>
      <c r="Z15" s="7">
        <f t="shared" si="2"/>
        <v>2016.9251438858164</v>
      </c>
      <c r="AA15" s="7">
        <f t="shared" si="2"/>
        <v>2077.4328982023908</v>
      </c>
      <c r="AB15" s="7">
        <f t="shared" si="2"/>
        <v>2139.7558851484628</v>
      </c>
      <c r="AC15" s="7">
        <f t="shared" si="2"/>
        <v>2203.9485617029168</v>
      </c>
      <c r="AD15" s="7">
        <f t="shared" si="2"/>
        <v>2270.0670185540043</v>
      </c>
      <c r="AE15" s="7">
        <f t="shared" si="2"/>
        <v>2338.1690291106247</v>
      </c>
    </row>
    <row r="16" spans="1:32" ht="14.5">
      <c r="C16" s="3" t="s">
        <v>2396</v>
      </c>
      <c r="D16" s="7">
        <f t="shared" si="1"/>
        <v>14667.676381888126</v>
      </c>
      <c r="E16" s="3"/>
      <c r="F16" s="7">
        <f t="shared" ref="F16:AE16" si="3">IF(F$11=$D$8,F15*$D$7,0)</f>
        <v>0</v>
      </c>
      <c r="G16" s="7">
        <f t="shared" si="3"/>
        <v>0</v>
      </c>
      <c r="H16" s="7">
        <f t="shared" si="3"/>
        <v>0</v>
      </c>
      <c r="I16" s="7">
        <f t="shared" si="3"/>
        <v>0</v>
      </c>
      <c r="J16" s="7">
        <f t="shared" si="3"/>
        <v>0</v>
      </c>
      <c r="K16" s="7">
        <f t="shared" si="3"/>
        <v>0</v>
      </c>
      <c r="L16" s="7">
        <f t="shared" si="3"/>
        <v>14667.676381888126</v>
      </c>
      <c r="M16" s="7">
        <f t="shared" si="3"/>
        <v>0</v>
      </c>
      <c r="N16" s="7">
        <f t="shared" si="3"/>
        <v>0</v>
      </c>
      <c r="O16" s="7">
        <f t="shared" si="3"/>
        <v>0</v>
      </c>
      <c r="P16" s="7">
        <f t="shared" si="3"/>
        <v>0</v>
      </c>
      <c r="Q16" s="7">
        <f t="shared" si="3"/>
        <v>0</v>
      </c>
      <c r="R16" s="7">
        <f t="shared" si="3"/>
        <v>0</v>
      </c>
      <c r="S16" s="7">
        <f t="shared" si="3"/>
        <v>0</v>
      </c>
      <c r="T16" s="7">
        <f t="shared" si="3"/>
        <v>0</v>
      </c>
      <c r="U16" s="7">
        <f t="shared" si="3"/>
        <v>0</v>
      </c>
      <c r="V16" s="7">
        <f t="shared" si="3"/>
        <v>0</v>
      </c>
      <c r="W16" s="7">
        <f t="shared" si="3"/>
        <v>0</v>
      </c>
      <c r="X16" s="7">
        <f t="shared" si="3"/>
        <v>0</v>
      </c>
      <c r="Y16" s="7">
        <f t="shared" si="3"/>
        <v>0</v>
      </c>
      <c r="Z16" s="7">
        <f t="shared" si="3"/>
        <v>0</v>
      </c>
      <c r="AA16" s="7">
        <f t="shared" si="3"/>
        <v>0</v>
      </c>
      <c r="AB16" s="7">
        <f t="shared" si="3"/>
        <v>0</v>
      </c>
      <c r="AC16" s="7">
        <f t="shared" si="3"/>
        <v>0</v>
      </c>
      <c r="AD16" s="7">
        <f t="shared" si="3"/>
        <v>0</v>
      </c>
      <c r="AE16" s="7">
        <f t="shared" si="3"/>
        <v>0</v>
      </c>
    </row>
    <row r="17" spans="1:32" ht="14.5">
      <c r="C17" s="18" t="s">
        <v>2397</v>
      </c>
      <c r="D17" s="474">
        <f t="shared" si="1"/>
        <v>21173.726967034618</v>
      </c>
      <c r="E17" s="3"/>
      <c r="F17" s="474">
        <f t="shared" ref="F17:AE17" si="4">SUM(F15:F16)</f>
        <v>0</v>
      </c>
      <c r="G17" s="474">
        <f t="shared" si="4"/>
        <v>593.04724121464074</v>
      </c>
      <c r="H17" s="474">
        <f t="shared" si="4"/>
        <v>807.8367670575409</v>
      </c>
      <c r="I17" s="474">
        <f t="shared" si="4"/>
        <v>1220.2728820887496</v>
      </c>
      <c r="J17" s="474">
        <f t="shared" si="4"/>
        <v>1256.8810685514122</v>
      </c>
      <c r="K17" s="474">
        <f t="shared" si="4"/>
        <v>1294.5875006079546</v>
      </c>
      <c r="L17" s="474">
        <f t="shared" si="4"/>
        <v>16001.101507514319</v>
      </c>
      <c r="M17" s="474">
        <f t="shared" si="4"/>
        <v>1373.4278793949791</v>
      </c>
      <c r="N17" s="474">
        <f t="shared" si="4"/>
        <v>1414.6307157768285</v>
      </c>
      <c r="O17" s="474">
        <f t="shared" si="4"/>
        <v>1457.0696372501334</v>
      </c>
      <c r="P17" s="474">
        <f t="shared" si="4"/>
        <v>1500.7817263676375</v>
      </c>
      <c r="Q17" s="474">
        <f t="shared" si="4"/>
        <v>1545.8051781586666</v>
      </c>
      <c r="R17" s="474">
        <f t="shared" si="4"/>
        <v>1592.1793335034267</v>
      </c>
      <c r="S17" s="474">
        <f t="shared" si="4"/>
        <v>1639.9447135085295</v>
      </c>
      <c r="T17" s="474">
        <f t="shared" si="4"/>
        <v>1689.1430549137854</v>
      </c>
      <c r="U17" s="474">
        <f t="shared" si="4"/>
        <v>1739.817346561199</v>
      </c>
      <c r="V17" s="474">
        <f t="shared" si="4"/>
        <v>1792.0118669580349</v>
      </c>
      <c r="W17" s="474">
        <f t="shared" si="4"/>
        <v>1845.7722229667761</v>
      </c>
      <c r="X17" s="474">
        <f t="shared" si="4"/>
        <v>1901.1453896557794</v>
      </c>
      <c r="Y17" s="474">
        <f t="shared" si="4"/>
        <v>1958.1797513454528</v>
      </c>
      <c r="Z17" s="474">
        <f t="shared" si="4"/>
        <v>2016.9251438858164</v>
      </c>
      <c r="AA17" s="474">
        <f t="shared" si="4"/>
        <v>2077.4328982023908</v>
      </c>
      <c r="AB17" s="474">
        <f t="shared" si="4"/>
        <v>2139.7558851484628</v>
      </c>
      <c r="AC17" s="474">
        <f t="shared" si="4"/>
        <v>2203.9485617029168</v>
      </c>
      <c r="AD17" s="474">
        <f t="shared" si="4"/>
        <v>2270.0670185540043</v>
      </c>
      <c r="AE17" s="474">
        <f t="shared" si="4"/>
        <v>2338.1690291106247</v>
      </c>
    </row>
    <row r="18" spans="1:32" ht="14.5">
      <c r="C18" s="3"/>
      <c r="D18" s="3"/>
      <c r="E18" s="3"/>
      <c r="F18" s="34"/>
    </row>
    <row r="19" spans="1:32" ht="14.5">
      <c r="C19" s="33" t="s">
        <v>2398</v>
      </c>
      <c r="D19" s="33"/>
      <c r="E19" s="33"/>
      <c r="F19" s="34"/>
    </row>
    <row r="20" spans="1:32" ht="14.5">
      <c r="C20" s="3" t="s">
        <v>2399</v>
      </c>
      <c r="D20" s="7">
        <f t="shared" ref="D20:D22" si="5">SUMIFS($F20:$AE20,$F$11:$AE$11,"&lt;="&amp;$D$8)</f>
        <v>3600</v>
      </c>
      <c r="E20" s="3"/>
      <c r="F20" s="86">
        <f>Valuation!$D$20</f>
        <v>3600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</row>
    <row r="21" spans="1:32" ht="15.75" customHeight="1">
      <c r="C21" s="3" t="s">
        <v>2400</v>
      </c>
      <c r="D21" s="7">
        <f t="shared" si="5"/>
        <v>0</v>
      </c>
      <c r="E21" s="3"/>
      <c r="F21" s="7">
        <v>0</v>
      </c>
      <c r="G21" s="86">
        <v>0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</row>
    <row r="22" spans="1:32" ht="15.75" customHeight="1">
      <c r="C22" s="18" t="s">
        <v>2401</v>
      </c>
      <c r="D22" s="474">
        <f t="shared" si="5"/>
        <v>3600</v>
      </c>
      <c r="E22" s="3"/>
      <c r="F22" s="474">
        <f t="shared" ref="F22:AE22" si="6">SUM(F20:F21)</f>
        <v>3600</v>
      </c>
      <c r="G22" s="474">
        <f t="shared" si="6"/>
        <v>0</v>
      </c>
      <c r="H22" s="474">
        <f t="shared" si="6"/>
        <v>0</v>
      </c>
      <c r="I22" s="474">
        <f t="shared" si="6"/>
        <v>0</v>
      </c>
      <c r="J22" s="474">
        <f t="shared" si="6"/>
        <v>0</v>
      </c>
      <c r="K22" s="474">
        <f t="shared" si="6"/>
        <v>0</v>
      </c>
      <c r="L22" s="474">
        <f t="shared" si="6"/>
        <v>0</v>
      </c>
      <c r="M22" s="474">
        <f t="shared" si="6"/>
        <v>0</v>
      </c>
      <c r="N22" s="474">
        <f t="shared" si="6"/>
        <v>0</v>
      </c>
      <c r="O22" s="474">
        <f t="shared" si="6"/>
        <v>0</v>
      </c>
      <c r="P22" s="474">
        <f t="shared" si="6"/>
        <v>0</v>
      </c>
      <c r="Q22" s="474">
        <f t="shared" si="6"/>
        <v>0</v>
      </c>
      <c r="R22" s="474">
        <f t="shared" si="6"/>
        <v>0</v>
      </c>
      <c r="S22" s="474">
        <f t="shared" si="6"/>
        <v>0</v>
      </c>
      <c r="T22" s="474">
        <f t="shared" si="6"/>
        <v>0</v>
      </c>
      <c r="U22" s="474">
        <f t="shared" si="6"/>
        <v>0</v>
      </c>
      <c r="V22" s="474">
        <f t="shared" si="6"/>
        <v>0</v>
      </c>
      <c r="W22" s="474">
        <f t="shared" si="6"/>
        <v>0</v>
      </c>
      <c r="X22" s="474">
        <f t="shared" si="6"/>
        <v>0</v>
      </c>
      <c r="Y22" s="474">
        <f t="shared" si="6"/>
        <v>0</v>
      </c>
      <c r="Z22" s="474">
        <f t="shared" si="6"/>
        <v>0</v>
      </c>
      <c r="AA22" s="474">
        <f t="shared" si="6"/>
        <v>0</v>
      </c>
      <c r="AB22" s="474">
        <f t="shared" si="6"/>
        <v>0</v>
      </c>
      <c r="AC22" s="474">
        <f t="shared" si="6"/>
        <v>0</v>
      </c>
      <c r="AD22" s="474">
        <f t="shared" si="6"/>
        <v>0</v>
      </c>
      <c r="AE22" s="474">
        <f t="shared" si="6"/>
        <v>0</v>
      </c>
    </row>
    <row r="23" spans="1:32" ht="15.75" customHeight="1">
      <c r="C23" s="3"/>
      <c r="D23" s="3"/>
      <c r="E23" s="3"/>
      <c r="F23" s="34"/>
    </row>
    <row r="24" spans="1:32" ht="15.75" customHeight="1">
      <c r="A24" s="17"/>
      <c r="B24" s="17"/>
      <c r="C24" s="475" t="s">
        <v>13</v>
      </c>
      <c r="D24" s="475"/>
      <c r="E24" s="475"/>
      <c r="F24" s="476">
        <f t="shared" ref="F24:AE24" si="7">F15-F21</f>
        <v>0</v>
      </c>
      <c r="G24" s="476">
        <f t="shared" si="7"/>
        <v>593.04724121464074</v>
      </c>
      <c r="H24" s="476">
        <f t="shared" si="7"/>
        <v>807.8367670575409</v>
      </c>
      <c r="I24" s="476">
        <f t="shared" si="7"/>
        <v>1220.2728820887496</v>
      </c>
      <c r="J24" s="476">
        <f t="shared" si="7"/>
        <v>1256.8810685514122</v>
      </c>
      <c r="K24" s="476">
        <f t="shared" si="7"/>
        <v>1294.5875006079546</v>
      </c>
      <c r="L24" s="476">
        <f t="shared" si="7"/>
        <v>1333.4251256261932</v>
      </c>
      <c r="M24" s="476">
        <f t="shared" si="7"/>
        <v>1373.4278793949791</v>
      </c>
      <c r="N24" s="476">
        <f t="shared" si="7"/>
        <v>1414.6307157768285</v>
      </c>
      <c r="O24" s="476">
        <f t="shared" si="7"/>
        <v>1457.0696372501334</v>
      </c>
      <c r="P24" s="476">
        <f t="shared" si="7"/>
        <v>1500.7817263676375</v>
      </c>
      <c r="Q24" s="476">
        <f t="shared" si="7"/>
        <v>1545.8051781586666</v>
      </c>
      <c r="R24" s="476">
        <f t="shared" si="7"/>
        <v>1592.1793335034267</v>
      </c>
      <c r="S24" s="476">
        <f t="shared" si="7"/>
        <v>1639.9447135085295</v>
      </c>
      <c r="T24" s="476">
        <f t="shared" si="7"/>
        <v>1689.1430549137854</v>
      </c>
      <c r="U24" s="476">
        <f t="shared" si="7"/>
        <v>1739.817346561199</v>
      </c>
      <c r="V24" s="476">
        <f t="shared" si="7"/>
        <v>1792.0118669580349</v>
      </c>
      <c r="W24" s="476">
        <f t="shared" si="7"/>
        <v>1845.7722229667761</v>
      </c>
      <c r="X24" s="476">
        <f t="shared" si="7"/>
        <v>1901.1453896557794</v>
      </c>
      <c r="Y24" s="476">
        <f t="shared" si="7"/>
        <v>1958.1797513454528</v>
      </c>
      <c r="Z24" s="476">
        <f t="shared" si="7"/>
        <v>2016.9251438858164</v>
      </c>
      <c r="AA24" s="476">
        <f t="shared" si="7"/>
        <v>2077.4328982023908</v>
      </c>
      <c r="AB24" s="476">
        <f t="shared" si="7"/>
        <v>2139.7558851484628</v>
      </c>
      <c r="AC24" s="476">
        <f t="shared" si="7"/>
        <v>2203.9485617029168</v>
      </c>
      <c r="AD24" s="476">
        <f t="shared" si="7"/>
        <v>2270.0670185540043</v>
      </c>
      <c r="AE24" s="476">
        <f t="shared" si="7"/>
        <v>2338.1690291106247</v>
      </c>
      <c r="AF24" s="17"/>
    </row>
    <row r="25" spans="1:32" ht="15.75" customHeight="1">
      <c r="C25" s="3"/>
      <c r="D25" s="3"/>
      <c r="E25" s="3"/>
      <c r="F25" s="34"/>
    </row>
    <row r="26" spans="1:32" ht="15.75" customHeight="1">
      <c r="A26" s="17"/>
      <c r="B26" s="17"/>
      <c r="C26" s="477" t="s">
        <v>2402</v>
      </c>
      <c r="D26" s="477"/>
      <c r="E26" s="477"/>
      <c r="F26" s="478">
        <f t="shared" ref="F26:AE26" si="8">F17-F22</f>
        <v>-3600</v>
      </c>
      <c r="G26" s="478">
        <f t="shared" si="8"/>
        <v>593.04724121464074</v>
      </c>
      <c r="H26" s="478">
        <f t="shared" si="8"/>
        <v>807.8367670575409</v>
      </c>
      <c r="I26" s="478">
        <f t="shared" si="8"/>
        <v>1220.2728820887496</v>
      </c>
      <c r="J26" s="478">
        <f t="shared" si="8"/>
        <v>1256.8810685514122</v>
      </c>
      <c r="K26" s="478">
        <f t="shared" si="8"/>
        <v>1294.5875006079546</v>
      </c>
      <c r="L26" s="478">
        <f t="shared" si="8"/>
        <v>16001.101507514319</v>
      </c>
      <c r="M26" s="478">
        <f t="shared" si="8"/>
        <v>1373.4278793949791</v>
      </c>
      <c r="N26" s="478">
        <f t="shared" si="8"/>
        <v>1414.6307157768285</v>
      </c>
      <c r="O26" s="478">
        <f t="shared" si="8"/>
        <v>1457.0696372501334</v>
      </c>
      <c r="P26" s="478">
        <f t="shared" si="8"/>
        <v>1500.7817263676375</v>
      </c>
      <c r="Q26" s="478">
        <f t="shared" si="8"/>
        <v>1545.8051781586666</v>
      </c>
      <c r="R26" s="478">
        <f t="shared" si="8"/>
        <v>1592.1793335034267</v>
      </c>
      <c r="S26" s="478">
        <f t="shared" si="8"/>
        <v>1639.9447135085295</v>
      </c>
      <c r="T26" s="478">
        <f t="shared" si="8"/>
        <v>1689.1430549137854</v>
      </c>
      <c r="U26" s="478">
        <f t="shared" si="8"/>
        <v>1739.817346561199</v>
      </c>
      <c r="V26" s="478">
        <f t="shared" si="8"/>
        <v>1792.0118669580349</v>
      </c>
      <c r="W26" s="478">
        <f t="shared" si="8"/>
        <v>1845.7722229667761</v>
      </c>
      <c r="X26" s="478">
        <f t="shared" si="8"/>
        <v>1901.1453896557794</v>
      </c>
      <c r="Y26" s="478">
        <f t="shared" si="8"/>
        <v>1958.1797513454528</v>
      </c>
      <c r="Z26" s="478">
        <f t="shared" si="8"/>
        <v>2016.9251438858164</v>
      </c>
      <c r="AA26" s="478">
        <f t="shared" si="8"/>
        <v>2077.4328982023908</v>
      </c>
      <c r="AB26" s="478">
        <f t="shared" si="8"/>
        <v>2139.7558851484628</v>
      </c>
      <c r="AC26" s="478">
        <f t="shared" si="8"/>
        <v>2203.9485617029168</v>
      </c>
      <c r="AD26" s="478">
        <f t="shared" si="8"/>
        <v>2270.0670185540043</v>
      </c>
      <c r="AE26" s="478">
        <f t="shared" si="8"/>
        <v>2338.1690291106247</v>
      </c>
      <c r="AF26" s="17"/>
    </row>
    <row r="27" spans="1:32" ht="15.75" customHeight="1">
      <c r="C27" s="3" t="s">
        <v>2403</v>
      </c>
      <c r="F27" s="7">
        <f t="shared" ref="F27:AE27" si="9">SUM($F26:F26)</f>
        <v>-3600</v>
      </c>
      <c r="G27" s="7">
        <f t="shared" si="9"/>
        <v>-3006.952758785359</v>
      </c>
      <c r="H27" s="7">
        <f t="shared" si="9"/>
        <v>-2199.1159917278183</v>
      </c>
      <c r="I27" s="7">
        <f t="shared" si="9"/>
        <v>-978.84310963906864</v>
      </c>
      <c r="J27" s="7">
        <f t="shared" si="9"/>
        <v>278.03795891234358</v>
      </c>
      <c r="K27" s="7">
        <f t="shared" si="9"/>
        <v>1572.6254595202981</v>
      </c>
      <c r="L27" s="7">
        <f t="shared" si="9"/>
        <v>17573.726967034618</v>
      </c>
      <c r="M27" s="7">
        <f t="shared" si="9"/>
        <v>18947.154846429596</v>
      </c>
      <c r="N27" s="7">
        <f t="shared" si="9"/>
        <v>20361.785562206423</v>
      </c>
      <c r="O27" s="7">
        <f t="shared" si="9"/>
        <v>21818.855199456557</v>
      </c>
      <c r="P27" s="7">
        <f t="shared" si="9"/>
        <v>23319.636925824194</v>
      </c>
      <c r="Q27" s="7">
        <f t="shared" si="9"/>
        <v>24865.442103982859</v>
      </c>
      <c r="R27" s="7">
        <f t="shared" si="9"/>
        <v>26457.621437486287</v>
      </c>
      <c r="S27" s="7">
        <f t="shared" si="9"/>
        <v>28097.566150994815</v>
      </c>
      <c r="T27" s="7">
        <f t="shared" si="9"/>
        <v>29786.709205908599</v>
      </c>
      <c r="U27" s="7">
        <f t="shared" si="9"/>
        <v>31526.526552469797</v>
      </c>
      <c r="V27" s="7">
        <f t="shared" si="9"/>
        <v>33318.53841942783</v>
      </c>
      <c r="W27" s="7">
        <f t="shared" si="9"/>
        <v>35164.310642394608</v>
      </c>
      <c r="X27" s="7">
        <f t="shared" si="9"/>
        <v>37065.456032050388</v>
      </c>
      <c r="Y27" s="7">
        <f t="shared" si="9"/>
        <v>39023.635783395839</v>
      </c>
      <c r="Z27" s="7">
        <f t="shared" si="9"/>
        <v>41040.560927281658</v>
      </c>
      <c r="AA27" s="7">
        <f t="shared" si="9"/>
        <v>43117.993825484053</v>
      </c>
      <c r="AB27" s="7">
        <f t="shared" si="9"/>
        <v>45257.749710632517</v>
      </c>
      <c r="AC27" s="7">
        <f t="shared" si="9"/>
        <v>47461.69827233543</v>
      </c>
      <c r="AD27" s="7">
        <f t="shared" si="9"/>
        <v>49731.765290889438</v>
      </c>
      <c r="AE27" s="7">
        <f t="shared" si="9"/>
        <v>52069.934320000066</v>
      </c>
    </row>
    <row r="28" spans="1:32" ht="15.75" customHeight="1">
      <c r="C28" s="3"/>
      <c r="D28" s="3"/>
      <c r="E28" s="3"/>
      <c r="F28" s="34"/>
    </row>
    <row r="29" spans="1:32" ht="15.75" customHeight="1">
      <c r="A29" s="17"/>
      <c r="B29" s="17"/>
      <c r="C29" s="475" t="s">
        <v>2404</v>
      </c>
      <c r="D29" s="475"/>
      <c r="E29" s="475"/>
      <c r="F29" s="479" t="str">
        <f t="shared" ref="F29:AE29" si="10">IFERROR(SUM($F20:F20)/F24,"NM")</f>
        <v>NM</v>
      </c>
      <c r="G29" s="479">
        <f t="shared" si="10"/>
        <v>6.0703427143960988</v>
      </c>
      <c r="H29" s="479">
        <f t="shared" si="10"/>
        <v>4.456345819852463</v>
      </c>
      <c r="I29" s="479">
        <f t="shared" si="10"/>
        <v>2.9501597985508412</v>
      </c>
      <c r="J29" s="479">
        <f t="shared" si="10"/>
        <v>2.8642328141270301</v>
      </c>
      <c r="K29" s="479">
        <f t="shared" si="10"/>
        <v>2.7808085574048835</v>
      </c>
      <c r="L29" s="479">
        <f t="shared" si="10"/>
        <v>2.6998141334027994</v>
      </c>
      <c r="M29" s="479">
        <f t="shared" si="10"/>
        <v>2.6211787702939802</v>
      </c>
      <c r="N29" s="479">
        <f t="shared" si="10"/>
        <v>2.5448337575669706</v>
      </c>
      <c r="O29" s="479">
        <f t="shared" si="10"/>
        <v>2.4707123859873503</v>
      </c>
      <c r="P29" s="479">
        <f t="shared" si="10"/>
        <v>2.3987498893081067</v>
      </c>
      <c r="Q29" s="479">
        <f t="shared" si="10"/>
        <v>2.3288833876777737</v>
      </c>
      <c r="R29" s="479">
        <f t="shared" si="10"/>
        <v>2.2610518326968676</v>
      </c>
      <c r="S29" s="479">
        <f t="shared" si="10"/>
        <v>2.1951959540746286</v>
      </c>
      <c r="T29" s="479">
        <f t="shared" si="10"/>
        <v>2.1312582078394455</v>
      </c>
      <c r="U29" s="479">
        <f t="shared" si="10"/>
        <v>2.069182726057714</v>
      </c>
      <c r="V29" s="479">
        <f t="shared" si="10"/>
        <v>2.0089152680171978</v>
      </c>
      <c r="W29" s="479">
        <f t="shared" si="10"/>
        <v>1.9504031728322309</v>
      </c>
      <c r="X29" s="479">
        <f t="shared" si="10"/>
        <v>1.8935953134293504</v>
      </c>
      <c r="Y29" s="479">
        <f t="shared" si="10"/>
        <v>1.8384420518731557</v>
      </c>
      <c r="Z29" s="479">
        <f t="shared" si="10"/>
        <v>1.784895195993355</v>
      </c>
      <c r="AA29" s="479">
        <f t="shared" si="10"/>
        <v>1.7329079572751021</v>
      </c>
      <c r="AB29" s="479">
        <f t="shared" si="10"/>
        <v>1.6824349099758271</v>
      </c>
      <c r="AC29" s="479">
        <f t="shared" si="10"/>
        <v>1.6334319514328417</v>
      </c>
      <c r="AD29" s="479">
        <f t="shared" si="10"/>
        <v>1.5858562635270308</v>
      </c>
      <c r="AE29" s="479">
        <f t="shared" si="10"/>
        <v>1.5396662752689616</v>
      </c>
      <c r="AF29" s="17"/>
    </row>
    <row r="30" spans="1:32" ht="15.75" customHeight="1"/>
    <row r="31" spans="1:32" ht="15.75" customHeight="1">
      <c r="C31" s="480" t="s">
        <v>70</v>
      </c>
      <c r="D31" s="481">
        <f>IFERROR(IRR(F26:L26),"NM ")</f>
        <v>0.4313828304663252</v>
      </c>
    </row>
    <row r="32" spans="1:32" ht="15" customHeight="1">
      <c r="C32" s="482" t="s">
        <v>71</v>
      </c>
      <c r="D32" s="483">
        <f>D17/D22</f>
        <v>5.8815908241762829</v>
      </c>
    </row>
    <row r="33" spans="1:32" ht="15.75" customHeight="1">
      <c r="A33" s="3"/>
      <c r="B33" s="3"/>
      <c r="C33" s="3"/>
      <c r="D33" s="3"/>
      <c r="E33" s="3"/>
      <c r="F33" s="34"/>
    </row>
    <row r="34" spans="1:32" ht="15.75" customHeight="1">
      <c r="A34" s="3"/>
      <c r="B34" s="3"/>
      <c r="C34" s="471" t="str">
        <f>Valuation!$E$13&amp;" at "&amp;TEXT(Valuation!$E$17,"$#,###")</f>
        <v>OpCo
w/ SLB at $3,600</v>
      </c>
      <c r="D34" s="472"/>
      <c r="E34" s="473"/>
      <c r="F34" s="472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</row>
    <row r="35" spans="1:32" ht="15.75" customHeight="1">
      <c r="A35" s="3"/>
      <c r="B35" s="3"/>
      <c r="C35" s="33" t="s">
        <v>2395</v>
      </c>
      <c r="D35" s="33"/>
      <c r="E35" s="33"/>
      <c r="F35" s="7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 ht="15.75" customHeight="1">
      <c r="C36" s="3" t="s">
        <v>35</v>
      </c>
      <c r="D36" s="7">
        <f t="shared" ref="D36:D38" si="11">SUMIFS($F36:$AE36,$F$11:$AE$11,"&lt;="&amp;$D$8)</f>
        <v>6506.0505851464914</v>
      </c>
      <c r="E36" s="3"/>
      <c r="F36" s="7">
        <v>0</v>
      </c>
      <c r="G36" s="7">
        <f t="shared" ref="G36:I36" si="12">G$15</f>
        <v>593.04724121464074</v>
      </c>
      <c r="H36" s="7">
        <f t="shared" si="12"/>
        <v>807.8367670575409</v>
      </c>
      <c r="I36" s="7">
        <f t="shared" si="12"/>
        <v>1220.2728820887496</v>
      </c>
      <c r="J36" s="7">
        <f t="shared" ref="J36:AE36" si="13">I36*(1+$D$6)</f>
        <v>1256.8810685514122</v>
      </c>
      <c r="K36" s="7">
        <f t="shared" si="13"/>
        <v>1294.5875006079546</v>
      </c>
      <c r="L36" s="7">
        <f t="shared" si="13"/>
        <v>1333.4251256261932</v>
      </c>
      <c r="M36" s="7">
        <f t="shared" si="13"/>
        <v>1373.4278793949791</v>
      </c>
      <c r="N36" s="7">
        <f t="shared" si="13"/>
        <v>1414.6307157768285</v>
      </c>
      <c r="O36" s="7">
        <f t="shared" si="13"/>
        <v>1457.0696372501334</v>
      </c>
      <c r="P36" s="7">
        <f t="shared" si="13"/>
        <v>1500.7817263676375</v>
      </c>
      <c r="Q36" s="7">
        <f t="shared" si="13"/>
        <v>1545.8051781586666</v>
      </c>
      <c r="R36" s="7">
        <f t="shared" si="13"/>
        <v>1592.1793335034267</v>
      </c>
      <c r="S36" s="7">
        <f t="shared" si="13"/>
        <v>1639.9447135085295</v>
      </c>
      <c r="T36" s="7">
        <f t="shared" si="13"/>
        <v>1689.1430549137854</v>
      </c>
      <c r="U36" s="7">
        <f t="shared" si="13"/>
        <v>1739.817346561199</v>
      </c>
      <c r="V36" s="7">
        <f t="shared" si="13"/>
        <v>1792.0118669580349</v>
      </c>
      <c r="W36" s="7">
        <f t="shared" si="13"/>
        <v>1845.7722229667761</v>
      </c>
      <c r="X36" s="7">
        <f t="shared" si="13"/>
        <v>1901.1453896557794</v>
      </c>
      <c r="Y36" s="7">
        <f t="shared" si="13"/>
        <v>1958.1797513454528</v>
      </c>
      <c r="Z36" s="7">
        <f t="shared" si="13"/>
        <v>2016.9251438858164</v>
      </c>
      <c r="AA36" s="7">
        <f t="shared" si="13"/>
        <v>2077.4328982023908</v>
      </c>
      <c r="AB36" s="7">
        <f t="shared" si="13"/>
        <v>2139.7558851484628</v>
      </c>
      <c r="AC36" s="7">
        <f t="shared" si="13"/>
        <v>2203.9485617029168</v>
      </c>
      <c r="AD36" s="7">
        <f t="shared" si="13"/>
        <v>2270.0670185540043</v>
      </c>
      <c r="AE36" s="7">
        <f t="shared" si="13"/>
        <v>2338.1690291106247</v>
      </c>
    </row>
    <row r="37" spans="1:32" ht="15.75" customHeight="1">
      <c r="C37" s="3" t="s">
        <v>2396</v>
      </c>
      <c r="D37" s="7">
        <f t="shared" si="11"/>
        <v>14667.676381888126</v>
      </c>
      <c r="E37" s="3"/>
      <c r="F37" s="7">
        <f t="shared" ref="F37:AE37" si="14">IF(F$11=$D$8,F36*$D$7,0)</f>
        <v>0</v>
      </c>
      <c r="G37" s="7">
        <f t="shared" si="14"/>
        <v>0</v>
      </c>
      <c r="H37" s="7">
        <f t="shared" si="14"/>
        <v>0</v>
      </c>
      <c r="I37" s="7">
        <f t="shared" si="14"/>
        <v>0</v>
      </c>
      <c r="J37" s="7">
        <f t="shared" si="14"/>
        <v>0</v>
      </c>
      <c r="K37" s="7">
        <f t="shared" si="14"/>
        <v>0</v>
      </c>
      <c r="L37" s="7">
        <f t="shared" si="14"/>
        <v>14667.676381888126</v>
      </c>
      <c r="M37" s="7">
        <f t="shared" si="14"/>
        <v>0</v>
      </c>
      <c r="N37" s="7">
        <f t="shared" si="14"/>
        <v>0</v>
      </c>
      <c r="O37" s="7">
        <f t="shared" si="14"/>
        <v>0</v>
      </c>
      <c r="P37" s="7">
        <f t="shared" si="14"/>
        <v>0</v>
      </c>
      <c r="Q37" s="7">
        <f t="shared" si="14"/>
        <v>0</v>
      </c>
      <c r="R37" s="7">
        <f t="shared" si="14"/>
        <v>0</v>
      </c>
      <c r="S37" s="7">
        <f t="shared" si="14"/>
        <v>0</v>
      </c>
      <c r="T37" s="7">
        <f t="shared" si="14"/>
        <v>0</v>
      </c>
      <c r="U37" s="7">
        <f t="shared" si="14"/>
        <v>0</v>
      </c>
      <c r="V37" s="7">
        <f t="shared" si="14"/>
        <v>0</v>
      </c>
      <c r="W37" s="7">
        <f t="shared" si="14"/>
        <v>0</v>
      </c>
      <c r="X37" s="7">
        <f t="shared" si="14"/>
        <v>0</v>
      </c>
      <c r="Y37" s="7">
        <f t="shared" si="14"/>
        <v>0</v>
      </c>
      <c r="Z37" s="7">
        <f t="shared" si="14"/>
        <v>0</v>
      </c>
      <c r="AA37" s="7">
        <f t="shared" si="14"/>
        <v>0</v>
      </c>
      <c r="AB37" s="7">
        <f t="shared" si="14"/>
        <v>0</v>
      </c>
      <c r="AC37" s="7">
        <f t="shared" si="14"/>
        <v>0</v>
      </c>
      <c r="AD37" s="7">
        <f t="shared" si="14"/>
        <v>0</v>
      </c>
      <c r="AE37" s="7">
        <f t="shared" si="14"/>
        <v>0</v>
      </c>
    </row>
    <row r="38" spans="1:32" ht="15.75" customHeight="1">
      <c r="C38" s="18" t="s">
        <v>2397</v>
      </c>
      <c r="D38" s="474">
        <f t="shared" si="11"/>
        <v>21173.726967034618</v>
      </c>
      <c r="E38" s="3"/>
      <c r="F38" s="474">
        <f t="shared" ref="F38:AE38" si="15">SUM(F36:F37)</f>
        <v>0</v>
      </c>
      <c r="G38" s="474">
        <f t="shared" si="15"/>
        <v>593.04724121464074</v>
      </c>
      <c r="H38" s="474">
        <f t="shared" si="15"/>
        <v>807.8367670575409</v>
      </c>
      <c r="I38" s="474">
        <f t="shared" si="15"/>
        <v>1220.2728820887496</v>
      </c>
      <c r="J38" s="474">
        <f t="shared" si="15"/>
        <v>1256.8810685514122</v>
      </c>
      <c r="K38" s="474">
        <f t="shared" si="15"/>
        <v>1294.5875006079546</v>
      </c>
      <c r="L38" s="474">
        <f t="shared" si="15"/>
        <v>16001.101507514319</v>
      </c>
      <c r="M38" s="474">
        <f t="shared" si="15"/>
        <v>1373.4278793949791</v>
      </c>
      <c r="N38" s="474">
        <f t="shared" si="15"/>
        <v>1414.6307157768285</v>
      </c>
      <c r="O38" s="474">
        <f t="shared" si="15"/>
        <v>1457.0696372501334</v>
      </c>
      <c r="P38" s="474">
        <f t="shared" si="15"/>
        <v>1500.7817263676375</v>
      </c>
      <c r="Q38" s="474">
        <f t="shared" si="15"/>
        <v>1545.8051781586666</v>
      </c>
      <c r="R38" s="474">
        <f t="shared" si="15"/>
        <v>1592.1793335034267</v>
      </c>
      <c r="S38" s="474">
        <f t="shared" si="15"/>
        <v>1639.9447135085295</v>
      </c>
      <c r="T38" s="474">
        <f t="shared" si="15"/>
        <v>1689.1430549137854</v>
      </c>
      <c r="U38" s="474">
        <f t="shared" si="15"/>
        <v>1739.817346561199</v>
      </c>
      <c r="V38" s="474">
        <f t="shared" si="15"/>
        <v>1792.0118669580349</v>
      </c>
      <c r="W38" s="474">
        <f t="shared" si="15"/>
        <v>1845.7722229667761</v>
      </c>
      <c r="X38" s="474">
        <f t="shared" si="15"/>
        <v>1901.1453896557794</v>
      </c>
      <c r="Y38" s="474">
        <f t="shared" si="15"/>
        <v>1958.1797513454528</v>
      </c>
      <c r="Z38" s="474">
        <f t="shared" si="15"/>
        <v>2016.9251438858164</v>
      </c>
      <c r="AA38" s="474">
        <f t="shared" si="15"/>
        <v>2077.4328982023908</v>
      </c>
      <c r="AB38" s="474">
        <f t="shared" si="15"/>
        <v>2139.7558851484628</v>
      </c>
      <c r="AC38" s="474">
        <f t="shared" si="15"/>
        <v>2203.9485617029168</v>
      </c>
      <c r="AD38" s="474">
        <f t="shared" si="15"/>
        <v>2270.0670185540043</v>
      </c>
      <c r="AE38" s="474">
        <f t="shared" si="15"/>
        <v>2338.1690291106247</v>
      </c>
    </row>
    <row r="39" spans="1:32" ht="15.75" customHeight="1">
      <c r="C39" s="3"/>
      <c r="D39" s="3"/>
      <c r="E39" s="3"/>
      <c r="F39" s="34"/>
    </row>
    <row r="40" spans="1:32" ht="15.75" customHeight="1">
      <c r="C40" s="33" t="s">
        <v>2398</v>
      </c>
      <c r="D40" s="33"/>
      <c r="E40" s="33"/>
      <c r="F40" s="34"/>
    </row>
    <row r="41" spans="1:32" ht="15.75" customHeight="1">
      <c r="C41" s="3" t="s">
        <v>2399</v>
      </c>
      <c r="D41" s="7">
        <f t="shared" ref="D41:D43" si="16">SUMIFS($F41:$AE41,$F$11:$AE$11,"&lt;="&amp;$D$8)</f>
        <v>1600</v>
      </c>
      <c r="E41" s="3"/>
      <c r="F41" s="86">
        <f>Valuation!$E$20</f>
        <v>1600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</row>
    <row r="42" spans="1:32" ht="15.75" customHeight="1">
      <c r="C42" s="3" t="s">
        <v>2366</v>
      </c>
      <c r="D42" s="7">
        <f t="shared" si="16"/>
        <v>864</v>
      </c>
      <c r="E42" s="3"/>
      <c r="F42" s="7">
        <v>0</v>
      </c>
      <c r="G42" s="86">
        <f>Valuation!$E$42</f>
        <v>144</v>
      </c>
      <c r="H42" s="86">
        <f>Valuation!$E$42</f>
        <v>144</v>
      </c>
      <c r="I42" s="86">
        <f>Valuation!$E$42</f>
        <v>144</v>
      </c>
      <c r="J42" s="86">
        <f>Valuation!$E$42</f>
        <v>144</v>
      </c>
      <c r="K42" s="86">
        <f>Valuation!$E$42</f>
        <v>144</v>
      </c>
      <c r="L42" s="86">
        <f>Valuation!$E$42</f>
        <v>144</v>
      </c>
      <c r="M42" s="86">
        <f>Valuation!$E$42</f>
        <v>144</v>
      </c>
      <c r="N42" s="86">
        <f>Valuation!$E$42</f>
        <v>144</v>
      </c>
      <c r="O42" s="86">
        <f>Valuation!$E$42</f>
        <v>144</v>
      </c>
      <c r="P42" s="86">
        <f>Valuation!$E$42</f>
        <v>144</v>
      </c>
      <c r="Q42" s="86">
        <f>Valuation!$E$42</f>
        <v>144</v>
      </c>
      <c r="R42" s="86">
        <f>Valuation!$E$42</f>
        <v>144</v>
      </c>
      <c r="S42" s="86">
        <f>Valuation!$E$42</f>
        <v>144</v>
      </c>
      <c r="T42" s="86">
        <f>Valuation!$E$42</f>
        <v>144</v>
      </c>
      <c r="U42" s="86">
        <f>Valuation!$E$42</f>
        <v>144</v>
      </c>
      <c r="V42" s="86">
        <f>Valuation!$E$42</f>
        <v>144</v>
      </c>
      <c r="W42" s="86">
        <f>Valuation!$E$42</f>
        <v>144</v>
      </c>
      <c r="X42" s="86">
        <f>Valuation!$E$42</f>
        <v>144</v>
      </c>
      <c r="Y42" s="86">
        <f>Valuation!$E$42</f>
        <v>144</v>
      </c>
      <c r="Z42" s="86">
        <f>Valuation!$E$42</f>
        <v>144</v>
      </c>
      <c r="AA42" s="86">
        <f>Valuation!$E$42</f>
        <v>144</v>
      </c>
      <c r="AB42" s="86">
        <f>Valuation!$E$42</f>
        <v>144</v>
      </c>
      <c r="AC42" s="86">
        <f>Valuation!$E$42</f>
        <v>144</v>
      </c>
      <c r="AD42" s="86">
        <f>Valuation!$E$42</f>
        <v>144</v>
      </c>
      <c r="AE42" s="86">
        <f>Valuation!$E$42</f>
        <v>144</v>
      </c>
    </row>
    <row r="43" spans="1:32" ht="15.75" customHeight="1">
      <c r="C43" s="18" t="s">
        <v>2401</v>
      </c>
      <c r="D43" s="474">
        <f t="shared" si="16"/>
        <v>2464</v>
      </c>
      <c r="E43" s="3"/>
      <c r="F43" s="474">
        <f t="shared" ref="F43:AE43" si="17">SUM(F41:F42)</f>
        <v>1600</v>
      </c>
      <c r="G43" s="474">
        <f t="shared" si="17"/>
        <v>144</v>
      </c>
      <c r="H43" s="474">
        <f t="shared" si="17"/>
        <v>144</v>
      </c>
      <c r="I43" s="474">
        <f t="shared" si="17"/>
        <v>144</v>
      </c>
      <c r="J43" s="474">
        <f t="shared" si="17"/>
        <v>144</v>
      </c>
      <c r="K43" s="474">
        <f t="shared" si="17"/>
        <v>144</v>
      </c>
      <c r="L43" s="474">
        <f t="shared" si="17"/>
        <v>144</v>
      </c>
      <c r="M43" s="474">
        <f t="shared" si="17"/>
        <v>144</v>
      </c>
      <c r="N43" s="474">
        <f t="shared" si="17"/>
        <v>144</v>
      </c>
      <c r="O43" s="474">
        <f t="shared" si="17"/>
        <v>144</v>
      </c>
      <c r="P43" s="474">
        <f t="shared" si="17"/>
        <v>144</v>
      </c>
      <c r="Q43" s="474">
        <f t="shared" si="17"/>
        <v>144</v>
      </c>
      <c r="R43" s="474">
        <f t="shared" si="17"/>
        <v>144</v>
      </c>
      <c r="S43" s="474">
        <f t="shared" si="17"/>
        <v>144</v>
      </c>
      <c r="T43" s="474">
        <f t="shared" si="17"/>
        <v>144</v>
      </c>
      <c r="U43" s="474">
        <f t="shared" si="17"/>
        <v>144</v>
      </c>
      <c r="V43" s="474">
        <f t="shared" si="17"/>
        <v>144</v>
      </c>
      <c r="W43" s="474">
        <f t="shared" si="17"/>
        <v>144</v>
      </c>
      <c r="X43" s="474">
        <f t="shared" si="17"/>
        <v>144</v>
      </c>
      <c r="Y43" s="474">
        <f t="shared" si="17"/>
        <v>144</v>
      </c>
      <c r="Z43" s="474">
        <f t="shared" si="17"/>
        <v>144</v>
      </c>
      <c r="AA43" s="474">
        <f t="shared" si="17"/>
        <v>144</v>
      </c>
      <c r="AB43" s="474">
        <f t="shared" si="17"/>
        <v>144</v>
      </c>
      <c r="AC43" s="474">
        <f t="shared" si="17"/>
        <v>144</v>
      </c>
      <c r="AD43" s="474">
        <f t="shared" si="17"/>
        <v>144</v>
      </c>
      <c r="AE43" s="474">
        <f t="shared" si="17"/>
        <v>144</v>
      </c>
    </row>
    <row r="44" spans="1:32" ht="15.75" customHeight="1">
      <c r="C44" s="3"/>
      <c r="D44" s="3"/>
      <c r="E44" s="3"/>
      <c r="F44" s="34"/>
    </row>
    <row r="45" spans="1:32" ht="15.75" customHeight="1">
      <c r="A45" s="17"/>
      <c r="B45" s="17"/>
      <c r="C45" s="475" t="s">
        <v>13</v>
      </c>
      <c r="D45" s="475"/>
      <c r="E45" s="475"/>
      <c r="F45" s="476">
        <f t="shared" ref="F45:AE45" si="18">F36-F42</f>
        <v>0</v>
      </c>
      <c r="G45" s="476">
        <f t="shared" si="18"/>
        <v>449.04724121464074</v>
      </c>
      <c r="H45" s="476">
        <f t="shared" si="18"/>
        <v>663.8367670575409</v>
      </c>
      <c r="I45" s="476">
        <f t="shared" si="18"/>
        <v>1076.2728820887496</v>
      </c>
      <c r="J45" s="476">
        <f t="shared" si="18"/>
        <v>1112.8810685514122</v>
      </c>
      <c r="K45" s="476">
        <f t="shared" si="18"/>
        <v>1150.5875006079546</v>
      </c>
      <c r="L45" s="476">
        <f t="shared" si="18"/>
        <v>1189.4251256261932</v>
      </c>
      <c r="M45" s="476">
        <f t="shared" si="18"/>
        <v>1229.4278793949791</v>
      </c>
      <c r="N45" s="476">
        <f t="shared" si="18"/>
        <v>1270.6307157768285</v>
      </c>
      <c r="O45" s="476">
        <f t="shared" si="18"/>
        <v>1313.0696372501334</v>
      </c>
      <c r="P45" s="476">
        <f t="shared" si="18"/>
        <v>1356.7817263676375</v>
      </c>
      <c r="Q45" s="476">
        <f t="shared" si="18"/>
        <v>1401.8051781586666</v>
      </c>
      <c r="R45" s="476">
        <f t="shared" si="18"/>
        <v>1448.1793335034267</v>
      </c>
      <c r="S45" s="476">
        <f t="shared" si="18"/>
        <v>1495.9447135085295</v>
      </c>
      <c r="T45" s="476">
        <f t="shared" si="18"/>
        <v>1545.1430549137854</v>
      </c>
      <c r="U45" s="476">
        <f t="shared" si="18"/>
        <v>1595.817346561199</v>
      </c>
      <c r="V45" s="476">
        <f t="shared" si="18"/>
        <v>1648.0118669580349</v>
      </c>
      <c r="W45" s="476">
        <f t="shared" si="18"/>
        <v>1701.7722229667761</v>
      </c>
      <c r="X45" s="476">
        <f t="shared" si="18"/>
        <v>1757.1453896557794</v>
      </c>
      <c r="Y45" s="476">
        <f t="shared" si="18"/>
        <v>1814.1797513454528</v>
      </c>
      <c r="Z45" s="476">
        <f t="shared" si="18"/>
        <v>1872.9251438858164</v>
      </c>
      <c r="AA45" s="476">
        <f t="shared" si="18"/>
        <v>1933.4328982023908</v>
      </c>
      <c r="AB45" s="476">
        <f t="shared" si="18"/>
        <v>1995.7558851484628</v>
      </c>
      <c r="AC45" s="476">
        <f t="shared" si="18"/>
        <v>2059.9485617029168</v>
      </c>
      <c r="AD45" s="476">
        <f t="shared" si="18"/>
        <v>2126.0670185540043</v>
      </c>
      <c r="AE45" s="476">
        <f t="shared" si="18"/>
        <v>2194.1690291106247</v>
      </c>
      <c r="AF45" s="17"/>
    </row>
    <row r="46" spans="1:32" ht="15.75" customHeight="1">
      <c r="C46" s="3"/>
      <c r="D46" s="3"/>
      <c r="E46" s="3"/>
      <c r="F46" s="34"/>
    </row>
    <row r="47" spans="1:32" ht="15.75" customHeight="1">
      <c r="A47" s="17"/>
      <c r="B47" s="17"/>
      <c r="C47" s="477" t="s">
        <v>2402</v>
      </c>
      <c r="D47" s="477"/>
      <c r="E47" s="477"/>
      <c r="F47" s="478">
        <f t="shared" ref="F47:AE47" si="19">F38-F43</f>
        <v>-1600</v>
      </c>
      <c r="G47" s="478">
        <f t="shared" si="19"/>
        <v>449.04724121464074</v>
      </c>
      <c r="H47" s="478">
        <f t="shared" si="19"/>
        <v>663.8367670575409</v>
      </c>
      <c r="I47" s="478">
        <f t="shared" si="19"/>
        <v>1076.2728820887496</v>
      </c>
      <c r="J47" s="478">
        <f t="shared" si="19"/>
        <v>1112.8810685514122</v>
      </c>
      <c r="K47" s="478">
        <f t="shared" si="19"/>
        <v>1150.5875006079546</v>
      </c>
      <c r="L47" s="478">
        <f t="shared" si="19"/>
        <v>15857.101507514319</v>
      </c>
      <c r="M47" s="478">
        <f t="shared" si="19"/>
        <v>1229.4278793949791</v>
      </c>
      <c r="N47" s="478">
        <f t="shared" si="19"/>
        <v>1270.6307157768285</v>
      </c>
      <c r="O47" s="478">
        <f t="shared" si="19"/>
        <v>1313.0696372501334</v>
      </c>
      <c r="P47" s="478">
        <f t="shared" si="19"/>
        <v>1356.7817263676375</v>
      </c>
      <c r="Q47" s="478">
        <f t="shared" si="19"/>
        <v>1401.8051781586666</v>
      </c>
      <c r="R47" s="478">
        <f t="shared" si="19"/>
        <v>1448.1793335034267</v>
      </c>
      <c r="S47" s="478">
        <f t="shared" si="19"/>
        <v>1495.9447135085295</v>
      </c>
      <c r="T47" s="478">
        <f t="shared" si="19"/>
        <v>1545.1430549137854</v>
      </c>
      <c r="U47" s="478">
        <f t="shared" si="19"/>
        <v>1595.817346561199</v>
      </c>
      <c r="V47" s="478">
        <f t="shared" si="19"/>
        <v>1648.0118669580349</v>
      </c>
      <c r="W47" s="478">
        <f t="shared" si="19"/>
        <v>1701.7722229667761</v>
      </c>
      <c r="X47" s="478">
        <f t="shared" si="19"/>
        <v>1757.1453896557794</v>
      </c>
      <c r="Y47" s="478">
        <f t="shared" si="19"/>
        <v>1814.1797513454528</v>
      </c>
      <c r="Z47" s="478">
        <f t="shared" si="19"/>
        <v>1872.9251438858164</v>
      </c>
      <c r="AA47" s="478">
        <f t="shared" si="19"/>
        <v>1933.4328982023908</v>
      </c>
      <c r="AB47" s="478">
        <f t="shared" si="19"/>
        <v>1995.7558851484628</v>
      </c>
      <c r="AC47" s="478">
        <f t="shared" si="19"/>
        <v>2059.9485617029168</v>
      </c>
      <c r="AD47" s="478">
        <f t="shared" si="19"/>
        <v>2126.0670185540043</v>
      </c>
      <c r="AE47" s="478">
        <f t="shared" si="19"/>
        <v>2194.1690291106247</v>
      </c>
      <c r="AF47" s="17"/>
    </row>
    <row r="48" spans="1:32" ht="15.75" customHeight="1">
      <c r="C48" s="3" t="s">
        <v>2403</v>
      </c>
      <c r="F48" s="7">
        <f t="shared" ref="F48:AE48" si="20">SUM($F47:F47)</f>
        <v>-1600</v>
      </c>
      <c r="G48" s="7">
        <f t="shared" si="20"/>
        <v>-1150.9527587853593</v>
      </c>
      <c r="H48" s="7">
        <f t="shared" si="20"/>
        <v>-487.11599172781837</v>
      </c>
      <c r="I48" s="7">
        <f t="shared" si="20"/>
        <v>589.15689036093124</v>
      </c>
      <c r="J48" s="7">
        <f t="shared" si="20"/>
        <v>1702.0379589123436</v>
      </c>
      <c r="K48" s="7">
        <f t="shared" si="20"/>
        <v>2852.6254595202981</v>
      </c>
      <c r="L48" s="7">
        <f t="shared" si="20"/>
        <v>18709.726967034618</v>
      </c>
      <c r="M48" s="7">
        <f t="shared" si="20"/>
        <v>19939.154846429596</v>
      </c>
      <c r="N48" s="7">
        <f t="shared" si="20"/>
        <v>21209.785562206423</v>
      </c>
      <c r="O48" s="7">
        <f t="shared" si="20"/>
        <v>22522.855199456557</v>
      </c>
      <c r="P48" s="7">
        <f t="shared" si="20"/>
        <v>23879.636925824194</v>
      </c>
      <c r="Q48" s="7">
        <f t="shared" si="20"/>
        <v>25281.442103982859</v>
      </c>
      <c r="R48" s="7">
        <f t="shared" si="20"/>
        <v>26729.621437486287</v>
      </c>
      <c r="S48" s="7">
        <f t="shared" si="20"/>
        <v>28225.566150994815</v>
      </c>
      <c r="T48" s="7">
        <f t="shared" si="20"/>
        <v>29770.709205908599</v>
      </c>
      <c r="U48" s="7">
        <f t="shared" si="20"/>
        <v>31366.526552469797</v>
      </c>
      <c r="V48" s="7">
        <f t="shared" si="20"/>
        <v>33014.53841942783</v>
      </c>
      <c r="W48" s="7">
        <f t="shared" si="20"/>
        <v>34716.310642394608</v>
      </c>
      <c r="X48" s="7">
        <f t="shared" si="20"/>
        <v>36473.456032050388</v>
      </c>
      <c r="Y48" s="7">
        <f t="shared" si="20"/>
        <v>38287.635783395839</v>
      </c>
      <c r="Z48" s="7">
        <f t="shared" si="20"/>
        <v>40160.560927281658</v>
      </c>
      <c r="AA48" s="7">
        <f t="shared" si="20"/>
        <v>42093.993825484053</v>
      </c>
      <c r="AB48" s="7">
        <f t="shared" si="20"/>
        <v>44089.749710632517</v>
      </c>
      <c r="AC48" s="7">
        <f t="shared" si="20"/>
        <v>46149.69827233543</v>
      </c>
      <c r="AD48" s="7">
        <f t="shared" si="20"/>
        <v>48275.765290889438</v>
      </c>
      <c r="AE48" s="7">
        <f t="shared" si="20"/>
        <v>50469.934320000066</v>
      </c>
    </row>
    <row r="49" spans="1:32" ht="15.75" customHeight="1">
      <c r="C49" s="3"/>
      <c r="D49" s="3"/>
      <c r="E49" s="3"/>
      <c r="F49" s="34"/>
    </row>
    <row r="50" spans="1:32" ht="15.75" customHeight="1">
      <c r="A50" s="17"/>
      <c r="B50" s="17"/>
      <c r="C50" s="475" t="s">
        <v>2404</v>
      </c>
      <c r="D50" s="475"/>
      <c r="E50" s="475"/>
      <c r="F50" s="479" t="str">
        <f t="shared" ref="F50:AE50" si="21">IFERROR(SUM($F41:F41)/F45,"NM")</f>
        <v>NM</v>
      </c>
      <c r="G50" s="479">
        <f t="shared" si="21"/>
        <v>3.5630994985563529</v>
      </c>
      <c r="H50" s="479">
        <f t="shared" si="21"/>
        <v>2.4102310679355807</v>
      </c>
      <c r="I50" s="479">
        <f t="shared" si="21"/>
        <v>1.4866118310951402</v>
      </c>
      <c r="J50" s="479">
        <f t="shared" si="21"/>
        <v>1.4377097833847141</v>
      </c>
      <c r="K50" s="479">
        <f t="shared" si="21"/>
        <v>1.3905939349719878</v>
      </c>
      <c r="L50" s="479">
        <f t="shared" si="21"/>
        <v>1.3451876587504006</v>
      </c>
      <c r="M50" s="479">
        <f t="shared" si="21"/>
        <v>1.3014183481729611</v>
      </c>
      <c r="N50" s="479">
        <f t="shared" si="21"/>
        <v>1.2592171589538541</v>
      </c>
      <c r="O50" s="479">
        <f t="shared" si="21"/>
        <v>1.2185187705282441</v>
      </c>
      <c r="P50" s="479">
        <f t="shared" si="21"/>
        <v>1.1792611655254999</v>
      </c>
      <c r="Q50" s="479">
        <f t="shared" si="21"/>
        <v>1.1413854256849523</v>
      </c>
      <c r="R50" s="479">
        <f t="shared" si="21"/>
        <v>1.1048355427979279</v>
      </c>
      <c r="S50" s="479">
        <f t="shared" si="21"/>
        <v>1.0695582433975273</v>
      </c>
      <c r="T50" s="479">
        <f t="shared" si="21"/>
        <v>1.0355028260404506</v>
      </c>
      <c r="U50" s="479">
        <f t="shared" si="21"/>
        <v>1.0026210101349093</v>
      </c>
      <c r="V50" s="479">
        <f t="shared" si="21"/>
        <v>0.97086679536679721</v>
      </c>
      <c r="W50" s="479">
        <f t="shared" si="21"/>
        <v>0.94019633086421406</v>
      </c>
      <c r="X50" s="479">
        <f t="shared" si="21"/>
        <v>0.91056779331927462</v>
      </c>
      <c r="Y50" s="479">
        <f t="shared" si="21"/>
        <v>0.88194127335694805</v>
      </c>
      <c r="Z50" s="479">
        <f t="shared" si="21"/>
        <v>0.85427866950434006</v>
      </c>
      <c r="AA50" s="479">
        <f t="shared" si="21"/>
        <v>0.82754358917115767</v>
      </c>
      <c r="AB50" s="479">
        <f t="shared" si="21"/>
        <v>0.80170125610376297</v>
      </c>
      <c r="AC50" s="479">
        <f t="shared" si="21"/>
        <v>0.7767184238218614</v>
      </c>
      <c r="AD50" s="479">
        <f t="shared" si="21"/>
        <v>0.7525632945889934</v>
      </c>
      <c r="AE50" s="479">
        <f t="shared" si="21"/>
        <v>0.72920544350611738</v>
      </c>
      <c r="AF50" s="17"/>
    </row>
    <row r="51" spans="1:32" ht="15.75" customHeight="1"/>
    <row r="52" spans="1:32" ht="15.75" customHeight="1">
      <c r="C52" s="480" t="s">
        <v>70</v>
      </c>
      <c r="D52" s="481">
        <f>IFERROR(IRR(F47:L47),"NM ")</f>
        <v>0.69572581783610854</v>
      </c>
    </row>
    <row r="53" spans="1:32" ht="15" customHeight="1">
      <c r="C53" s="482" t="s">
        <v>71</v>
      </c>
      <c r="D53" s="483">
        <f>D38/D43</f>
        <v>8.593233347010802</v>
      </c>
    </row>
    <row r="54" spans="1:32" ht="15.75" customHeight="1"/>
    <row r="55" spans="1:32" ht="15.75" customHeight="1"/>
    <row r="56" spans="1:32" ht="15.75" customHeight="1"/>
    <row r="57" spans="1:32" ht="15.75" customHeight="1"/>
    <row r="58" spans="1:32" ht="15.75" customHeight="1"/>
    <row r="59" spans="1:32" ht="15.75" customHeight="1"/>
    <row r="60" spans="1:32" ht="15.75" customHeight="1"/>
    <row r="61" spans="1:32" ht="15.75" customHeight="1"/>
    <row r="62" spans="1:32" ht="15.75" customHeight="1"/>
    <row r="63" spans="1:32" ht="15.75" customHeight="1"/>
    <row r="64" spans="1:3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295E-8BE9-4669-A17B-ED547BFF044A}">
  <sheetPr>
    <tabColor theme="8"/>
  </sheetPr>
  <dimension ref="A2:Q30"/>
  <sheetViews>
    <sheetView showGridLines="0" workbookViewId="0">
      <selection activeCell="C68" sqref="C68"/>
    </sheetView>
  </sheetViews>
  <sheetFormatPr defaultRowHeight="14.5" outlineLevelRow="1"/>
  <cols>
    <col min="1" max="2" width="1.7265625" customWidth="1"/>
    <col min="3" max="3" width="21.54296875" bestFit="1" customWidth="1"/>
    <col min="16" max="16" width="1.7265625" customWidth="1"/>
  </cols>
  <sheetData>
    <row r="2" spans="1:17">
      <c r="C2" s="17" t="s">
        <v>14</v>
      </c>
    </row>
    <row r="3" spans="1:17">
      <c r="C3" s="3" t="s">
        <v>23</v>
      </c>
    </row>
    <row r="4" spans="1:17"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5" spans="1:17">
      <c r="C5" s="490"/>
      <c r="D5" s="490" t="s">
        <v>82</v>
      </c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Q5" s="490"/>
    </row>
    <row r="6" spans="1:17">
      <c r="C6" s="490"/>
      <c r="D6" s="75">
        <v>46203</v>
      </c>
      <c r="E6" s="75">
        <v>46234</v>
      </c>
      <c r="F6" s="75">
        <v>46265</v>
      </c>
      <c r="G6" s="75">
        <v>46295</v>
      </c>
      <c r="H6" s="75">
        <v>46326</v>
      </c>
      <c r="I6" s="75">
        <v>46356</v>
      </c>
      <c r="J6" s="75">
        <v>46387</v>
      </c>
      <c r="K6" s="75">
        <v>46418</v>
      </c>
      <c r="L6" s="75">
        <v>46446</v>
      </c>
      <c r="M6" s="75">
        <v>46477</v>
      </c>
      <c r="N6" s="75">
        <v>46507</v>
      </c>
      <c r="O6" s="75">
        <v>46538</v>
      </c>
      <c r="Q6" s="75">
        <v>46538</v>
      </c>
    </row>
    <row r="7" spans="1:17" ht="5.15" customHeight="1">
      <c r="C7" s="56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Q7" s="84"/>
    </row>
    <row r="8" spans="1:17" hidden="1" outlineLevel="1">
      <c r="C8" s="492" t="s">
        <v>2406</v>
      </c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  <c r="P8" s="494"/>
      <c r="Q8" s="493"/>
    </row>
    <row r="9" spans="1:17" hidden="1" outlineLevel="1">
      <c r="C9" s="76" t="s">
        <v>76</v>
      </c>
      <c r="D9" s="80">
        <v>48.101265822784811</v>
      </c>
      <c r="E9" s="80">
        <v>67.341772151898738</v>
      </c>
      <c r="F9" s="80">
        <v>57.721518987341774</v>
      </c>
      <c r="G9" s="80">
        <v>38.481012658227847</v>
      </c>
      <c r="H9" s="80">
        <v>28.860759493670887</v>
      </c>
      <c r="I9" s="80">
        <v>33.670886075949369</v>
      </c>
      <c r="J9" s="80">
        <v>19.240506329113924</v>
      </c>
      <c r="K9" s="80">
        <v>52.911392405063282</v>
      </c>
      <c r="L9" s="80">
        <v>28.860759493670887</v>
      </c>
      <c r="M9" s="80">
        <v>43.291139240506332</v>
      </c>
      <c r="N9" s="80">
        <v>33.670886075949369</v>
      </c>
      <c r="O9" s="80">
        <v>33.670886075949369</v>
      </c>
      <c r="Q9" s="80">
        <f>SUM(D9:O9)</f>
        <v>485.82278481012668</v>
      </c>
    </row>
    <row r="10" spans="1:17" s="498" customFormat="1" ht="5.15" hidden="1" customHeight="1" outlineLevel="1">
      <c r="C10" s="499"/>
      <c r="D10" s="500"/>
      <c r="E10" s="500"/>
      <c r="F10" s="500"/>
      <c r="G10" s="500"/>
      <c r="H10" s="500"/>
      <c r="I10" s="500"/>
      <c r="J10" s="500"/>
      <c r="K10" s="500"/>
      <c r="L10" s="500"/>
      <c r="M10" s="500"/>
      <c r="N10" s="500"/>
      <c r="O10" s="500"/>
      <c r="Q10" s="500"/>
    </row>
    <row r="11" spans="1:17" hidden="1" outlineLevel="1">
      <c r="A11" s="42"/>
      <c r="B11" s="42"/>
      <c r="C11" s="56" t="s">
        <v>92</v>
      </c>
      <c r="D11" s="90">
        <f>D16/D9</f>
        <v>0.39500000000000002</v>
      </c>
      <c r="E11" s="90">
        <f t="shared" ref="E11:O11" si="0">E16/E9</f>
        <v>0.40093984962406015</v>
      </c>
      <c r="F11" s="90">
        <f t="shared" si="0"/>
        <v>0.39846491228070174</v>
      </c>
      <c r="G11" s="90">
        <f t="shared" si="0"/>
        <v>0.3898026315789474</v>
      </c>
      <c r="H11" s="90">
        <f t="shared" si="0"/>
        <v>0.38114035087719295</v>
      </c>
      <c r="I11" s="90">
        <f t="shared" si="0"/>
        <v>0.39500000000000007</v>
      </c>
      <c r="J11" s="90">
        <f t="shared" si="0"/>
        <v>0.41578947368421054</v>
      </c>
      <c r="K11" s="90">
        <f t="shared" si="0"/>
        <v>0.39688995215311013</v>
      </c>
      <c r="L11" s="90">
        <f t="shared" si="0"/>
        <v>0.38114035087719295</v>
      </c>
      <c r="M11" s="90">
        <f t="shared" si="0"/>
        <v>0.41578947368421049</v>
      </c>
      <c r="N11" s="90">
        <f t="shared" si="0"/>
        <v>0.41578947368421049</v>
      </c>
      <c r="O11" s="90">
        <f t="shared" si="0"/>
        <v>0.41578947368421049</v>
      </c>
      <c r="Q11" s="90">
        <f t="shared" ref="Q11" si="1">Q16/Q9</f>
        <v>0.40138092756644078</v>
      </c>
    </row>
    <row r="12" spans="1:17" s="498" customFormat="1" ht="5.15" hidden="1" customHeight="1" outlineLevel="1">
      <c r="C12" s="499"/>
      <c r="D12" s="500"/>
      <c r="E12" s="500"/>
      <c r="F12" s="500"/>
      <c r="G12" s="500"/>
      <c r="H12" s="500"/>
      <c r="I12" s="500"/>
      <c r="J12" s="500"/>
      <c r="K12" s="500"/>
      <c r="L12" s="500"/>
      <c r="M12" s="500"/>
      <c r="N12" s="500"/>
      <c r="O12" s="500"/>
      <c r="Q12" s="500"/>
    </row>
    <row r="13" spans="1:17" hidden="1" outlineLevel="1">
      <c r="C13" s="8" t="s">
        <v>93</v>
      </c>
      <c r="D13" s="25">
        <v>5</v>
      </c>
      <c r="E13" s="25">
        <v>7</v>
      </c>
      <c r="F13" s="25">
        <v>6</v>
      </c>
      <c r="G13" s="25">
        <v>4</v>
      </c>
      <c r="H13" s="25">
        <v>3</v>
      </c>
      <c r="I13" s="25">
        <v>4</v>
      </c>
      <c r="J13" s="25">
        <v>2</v>
      </c>
      <c r="K13" s="25">
        <v>6</v>
      </c>
      <c r="L13" s="25">
        <v>3</v>
      </c>
      <c r="M13" s="25">
        <v>5</v>
      </c>
      <c r="N13" s="25">
        <v>4</v>
      </c>
      <c r="O13" s="25">
        <v>4</v>
      </c>
      <c r="Q13" s="25">
        <f t="shared" ref="Q13:Q15" si="2">SUM(D13:O13)</f>
        <v>53</v>
      </c>
    </row>
    <row r="14" spans="1:17" hidden="1" outlineLevel="1">
      <c r="C14" s="8" t="s">
        <v>94</v>
      </c>
      <c r="D14" s="25">
        <v>10</v>
      </c>
      <c r="E14" s="25">
        <v>14</v>
      </c>
      <c r="F14" s="25">
        <v>12</v>
      </c>
      <c r="G14" s="25">
        <v>8</v>
      </c>
      <c r="H14" s="25">
        <v>6</v>
      </c>
      <c r="I14" s="25">
        <v>7</v>
      </c>
      <c r="J14" s="25">
        <v>4</v>
      </c>
      <c r="K14" s="25">
        <v>11</v>
      </c>
      <c r="L14" s="25">
        <v>6</v>
      </c>
      <c r="M14" s="25">
        <v>9</v>
      </c>
      <c r="N14" s="25">
        <v>7</v>
      </c>
      <c r="O14" s="25">
        <v>7</v>
      </c>
      <c r="Q14" s="25">
        <f t="shared" si="2"/>
        <v>101</v>
      </c>
    </row>
    <row r="15" spans="1:17" hidden="1" outlineLevel="1">
      <c r="C15" s="8" t="s">
        <v>95</v>
      </c>
      <c r="D15" s="25">
        <v>4</v>
      </c>
      <c r="E15" s="25">
        <v>6</v>
      </c>
      <c r="F15" s="25">
        <v>5</v>
      </c>
      <c r="G15" s="25">
        <v>3</v>
      </c>
      <c r="H15" s="25">
        <v>2</v>
      </c>
      <c r="I15" s="25">
        <v>3</v>
      </c>
      <c r="J15" s="25">
        <v>2</v>
      </c>
      <c r="K15" s="25">
        <v>4</v>
      </c>
      <c r="L15" s="25">
        <v>2</v>
      </c>
      <c r="M15" s="25">
        <v>4</v>
      </c>
      <c r="N15" s="25">
        <v>3</v>
      </c>
      <c r="O15" s="25">
        <v>3</v>
      </c>
      <c r="Q15" s="25">
        <f t="shared" si="2"/>
        <v>41</v>
      </c>
    </row>
    <row r="16" spans="1:17" hidden="1" outlineLevel="1">
      <c r="C16" s="100" t="s">
        <v>29</v>
      </c>
      <c r="D16" s="102">
        <f>SUM(D13:D15)</f>
        <v>19</v>
      </c>
      <c r="E16" s="102">
        <f t="shared" ref="E16:Q16" si="3">SUM(E13:E15)</f>
        <v>27</v>
      </c>
      <c r="F16" s="102">
        <f t="shared" si="3"/>
        <v>23</v>
      </c>
      <c r="G16" s="102">
        <f t="shared" si="3"/>
        <v>15</v>
      </c>
      <c r="H16" s="102">
        <f t="shared" si="3"/>
        <v>11</v>
      </c>
      <c r="I16" s="102">
        <v>13.300000000000002</v>
      </c>
      <c r="J16" s="102">
        <f t="shared" si="3"/>
        <v>8</v>
      </c>
      <c r="K16" s="102">
        <f t="shared" si="3"/>
        <v>21</v>
      </c>
      <c r="L16" s="102">
        <f t="shared" si="3"/>
        <v>11</v>
      </c>
      <c r="M16" s="102">
        <f t="shared" si="3"/>
        <v>18</v>
      </c>
      <c r="N16" s="102">
        <f t="shared" si="3"/>
        <v>14</v>
      </c>
      <c r="O16" s="102">
        <f t="shared" si="3"/>
        <v>14</v>
      </c>
      <c r="Q16" s="102">
        <f t="shared" si="3"/>
        <v>195</v>
      </c>
    </row>
    <row r="17" spans="1:17" hidden="1" outlineLevel="1">
      <c r="C17" s="105" t="s">
        <v>97</v>
      </c>
    </row>
    <row r="18" spans="1:17" hidden="1" outlineLevel="1" collapsed="1"/>
    <row r="19" spans="1:17" hidden="1" outlineLevel="1">
      <c r="C19" s="495" t="s">
        <v>2407</v>
      </c>
      <c r="D19" s="496"/>
      <c r="E19" s="496"/>
      <c r="F19" s="496"/>
      <c r="G19" s="496"/>
      <c r="H19" s="496"/>
      <c r="I19" s="496"/>
      <c r="J19" s="496"/>
      <c r="K19" s="496"/>
      <c r="L19" s="496"/>
      <c r="M19" s="496"/>
      <c r="N19" s="496"/>
      <c r="O19" s="496"/>
      <c r="P19" s="497"/>
      <c r="Q19" s="496"/>
    </row>
    <row r="20" spans="1:17" collapsed="1">
      <c r="C20" s="76" t="s">
        <v>76</v>
      </c>
      <c r="D20" s="80">
        <v>48.101265822784811</v>
      </c>
      <c r="E20" s="80">
        <v>67.341772151898738</v>
      </c>
      <c r="F20" s="80">
        <v>57.721518987341774</v>
      </c>
      <c r="G20" s="80">
        <v>38.481012658227847</v>
      </c>
      <c r="H20" s="80">
        <v>28.860759493670887</v>
      </c>
      <c r="I20" s="80">
        <v>33.670886075949369</v>
      </c>
      <c r="J20" s="80">
        <v>19.240506329113924</v>
      </c>
      <c r="K20" s="80">
        <v>52.911392405063282</v>
      </c>
      <c r="L20" s="80">
        <v>28.860759493670887</v>
      </c>
      <c r="M20" s="80">
        <v>43.291139240506332</v>
      </c>
      <c r="N20" s="80">
        <v>33.670886075949369</v>
      </c>
      <c r="O20" s="80">
        <v>33.670886075949369</v>
      </c>
      <c r="Q20" s="80">
        <f>SUM(D20:O20)</f>
        <v>485.82278481012668</v>
      </c>
    </row>
    <row r="21" spans="1:17" ht="5.15" customHeight="1">
      <c r="C21" s="56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Q21" s="84"/>
    </row>
    <row r="22" spans="1:17">
      <c r="A22" s="42"/>
      <c r="B22" s="42"/>
      <c r="C22" s="56" t="s">
        <v>92</v>
      </c>
      <c r="D22" s="90">
        <f>D27/D20</f>
        <v>0.31184210526315786</v>
      </c>
      <c r="E22" s="90">
        <f t="shared" ref="E22:O22" si="4">E27/E20</f>
        <v>0.35639097744360898</v>
      </c>
      <c r="F22" s="90">
        <f t="shared" si="4"/>
        <v>0.3638157894736842</v>
      </c>
      <c r="G22" s="90">
        <f t="shared" si="4"/>
        <v>0.41578947368421054</v>
      </c>
      <c r="H22" s="90">
        <f t="shared" si="4"/>
        <v>0.41578947368421049</v>
      </c>
      <c r="I22" s="90">
        <f t="shared" si="4"/>
        <v>0.47518796992481199</v>
      </c>
      <c r="J22" s="90">
        <f t="shared" si="4"/>
        <v>0.57171052631578945</v>
      </c>
      <c r="K22" s="90">
        <f t="shared" si="4"/>
        <v>0.39688995215311013</v>
      </c>
      <c r="L22" s="90">
        <f t="shared" si="4"/>
        <v>0.38114035087719295</v>
      </c>
      <c r="M22" s="90">
        <f t="shared" si="4"/>
        <v>0.39269005847953214</v>
      </c>
      <c r="N22" s="90">
        <f t="shared" si="4"/>
        <v>0.38609022556390976</v>
      </c>
      <c r="O22" s="90">
        <f t="shared" si="4"/>
        <v>0.38609022556390976</v>
      </c>
      <c r="Q22" s="90">
        <f t="shared" ref="Q22" si="5">Q27/Q20</f>
        <v>0.39108910891089099</v>
      </c>
    </row>
    <row r="23" spans="1:17" ht="5.15" customHeight="1">
      <c r="C23" s="56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Q23" s="84"/>
    </row>
    <row r="24" spans="1:17">
      <c r="C24" s="8" t="s">
        <v>93</v>
      </c>
      <c r="D24" s="504">
        <v>4</v>
      </c>
      <c r="E24" s="504">
        <v>6</v>
      </c>
      <c r="F24" s="504">
        <v>5</v>
      </c>
      <c r="G24" s="504">
        <v>5</v>
      </c>
      <c r="H24" s="504">
        <v>3</v>
      </c>
      <c r="I24" s="504">
        <v>4</v>
      </c>
      <c r="J24" s="504">
        <v>2</v>
      </c>
      <c r="K24" s="25">
        <v>6</v>
      </c>
      <c r="L24" s="25">
        <v>3</v>
      </c>
      <c r="M24" s="25">
        <v>5</v>
      </c>
      <c r="N24" s="25">
        <v>3</v>
      </c>
      <c r="O24" s="25">
        <v>4</v>
      </c>
      <c r="Q24" s="25">
        <f t="shared" ref="Q24:Q26" si="6">SUM(D24:O24)</f>
        <v>50</v>
      </c>
    </row>
    <row r="25" spans="1:17">
      <c r="C25" s="8" t="s">
        <v>94</v>
      </c>
      <c r="D25" s="504">
        <v>8</v>
      </c>
      <c r="E25" s="504">
        <v>13</v>
      </c>
      <c r="F25" s="504">
        <v>11</v>
      </c>
      <c r="G25" s="504">
        <v>8</v>
      </c>
      <c r="H25" s="504">
        <v>6</v>
      </c>
      <c r="I25" s="504">
        <v>9</v>
      </c>
      <c r="J25" s="504">
        <v>6</v>
      </c>
      <c r="K25" s="25">
        <v>11</v>
      </c>
      <c r="L25" s="25">
        <v>6</v>
      </c>
      <c r="M25" s="25">
        <v>9</v>
      </c>
      <c r="N25" s="25">
        <v>7</v>
      </c>
      <c r="O25" s="25">
        <v>6</v>
      </c>
      <c r="Q25" s="25">
        <f t="shared" si="6"/>
        <v>100</v>
      </c>
    </row>
    <row r="26" spans="1:17">
      <c r="C26" s="8" t="s">
        <v>95</v>
      </c>
      <c r="D26" s="504">
        <v>3</v>
      </c>
      <c r="E26" s="504">
        <v>5</v>
      </c>
      <c r="F26" s="504">
        <v>5</v>
      </c>
      <c r="G26" s="504">
        <v>3</v>
      </c>
      <c r="H26" s="504">
        <v>3</v>
      </c>
      <c r="I26" s="504">
        <v>3</v>
      </c>
      <c r="J26" s="504">
        <v>3</v>
      </c>
      <c r="K26" s="25">
        <v>4</v>
      </c>
      <c r="L26" s="25">
        <v>2</v>
      </c>
      <c r="M26" s="25">
        <v>3</v>
      </c>
      <c r="N26" s="25">
        <v>3</v>
      </c>
      <c r="O26" s="25">
        <v>3</v>
      </c>
      <c r="Q26" s="25">
        <f t="shared" si="6"/>
        <v>40</v>
      </c>
    </row>
    <row r="27" spans="1:17">
      <c r="C27" s="100" t="s">
        <v>29</v>
      </c>
      <c r="D27" s="503">
        <f>SUM(D24:D26)</f>
        <v>15</v>
      </c>
      <c r="E27" s="503">
        <f t="shared" ref="E27:O27" si="7">SUM(E24:E26)</f>
        <v>24</v>
      </c>
      <c r="F27" s="503">
        <f t="shared" si="7"/>
        <v>21</v>
      </c>
      <c r="G27" s="503">
        <f t="shared" si="7"/>
        <v>16</v>
      </c>
      <c r="H27" s="503">
        <f t="shared" si="7"/>
        <v>12</v>
      </c>
      <c r="I27" s="503">
        <f t="shared" si="7"/>
        <v>16</v>
      </c>
      <c r="J27" s="503">
        <f t="shared" si="7"/>
        <v>11</v>
      </c>
      <c r="K27" s="102">
        <f t="shared" si="7"/>
        <v>21</v>
      </c>
      <c r="L27" s="102">
        <f t="shared" si="7"/>
        <v>11</v>
      </c>
      <c r="M27" s="102">
        <f t="shared" si="7"/>
        <v>17</v>
      </c>
      <c r="N27" s="102">
        <f t="shared" si="7"/>
        <v>13</v>
      </c>
      <c r="O27" s="102">
        <f t="shared" si="7"/>
        <v>13</v>
      </c>
      <c r="Q27" s="102">
        <f t="shared" ref="Q27" si="8">SUM(Q24:Q26)</f>
        <v>190</v>
      </c>
    </row>
    <row r="28" spans="1:17">
      <c r="C28" s="105" t="s">
        <v>97</v>
      </c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</row>
    <row r="29" spans="1:17">
      <c r="D29">
        <v>16</v>
      </c>
      <c r="E29">
        <v>24</v>
      </c>
      <c r="F29">
        <v>21</v>
      </c>
      <c r="G29">
        <v>16</v>
      </c>
      <c r="H29">
        <v>12</v>
      </c>
      <c r="I29">
        <v>16</v>
      </c>
      <c r="J29">
        <v>11</v>
      </c>
      <c r="K29" s="501"/>
      <c r="L29" s="501"/>
      <c r="M29" s="501"/>
      <c r="N29" s="501"/>
      <c r="O29" s="501"/>
    </row>
    <row r="30" spans="1:17">
      <c r="D30" s="502">
        <f>D27-D29</f>
        <v>-1</v>
      </c>
      <c r="E30" s="502">
        <f t="shared" ref="E30:J30" si="9">E27-E29</f>
        <v>0</v>
      </c>
      <c r="F30" s="502">
        <f t="shared" si="9"/>
        <v>0</v>
      </c>
      <c r="G30" s="502">
        <f t="shared" si="9"/>
        <v>0</v>
      </c>
      <c r="H30" s="502">
        <f t="shared" si="9"/>
        <v>0</v>
      </c>
      <c r="I30" s="502">
        <f t="shared" si="9"/>
        <v>0</v>
      </c>
      <c r="J30" s="502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M&amp;A Reporting Slide - Old</vt:lpstr>
      <vt:lpstr>M&amp;A Reporting - New</vt:lpstr>
      <vt:lpstr>Valuation</vt:lpstr>
      <vt:lpstr>Sales &amp; Marketing Summary</vt:lpstr>
      <vt:lpstr>Adj. P&amp;L</vt:lpstr>
      <vt:lpstr>Revenue Analysis - Total</vt:lpstr>
      <vt:lpstr>Revenue Analysis - Barn</vt:lpstr>
      <vt:lpstr>Revenue Analysis - Chapel</vt:lpstr>
      <vt:lpstr>Events Summary</vt:lpstr>
      <vt:lpstr>Date Booked Summary</vt:lpstr>
      <vt:lpstr>Venue Specific--&gt;</vt:lpstr>
      <vt:lpstr>Go-Forward Payroll</vt:lpstr>
      <vt:lpstr>2024 Addbacks</vt:lpstr>
      <vt:lpstr>2025 Addbacks</vt:lpstr>
      <vt:lpstr>2026 Addbacks</vt:lpstr>
      <vt:lpstr>Leads &amp; Tours</vt:lpstr>
      <vt:lpstr>Averages</vt:lpstr>
      <vt:lpstr>All Inclusive Margin</vt:lpstr>
      <vt:lpstr>Future Events</vt:lpstr>
      <vt:lpstr>24-25 events</vt:lpstr>
      <vt:lpstr>Monthly P&amp;L</vt:lpstr>
      <vt:lpstr>2025 FY P&amp;L</vt:lpstr>
      <vt:lpstr>2026 P&amp;L</vt:lpstr>
      <vt:lpstr>WH--&gt;</vt:lpstr>
      <vt:lpstr>WH Rev &amp; Events Data</vt:lpstr>
      <vt:lpstr>FY25 By Venue Financials</vt:lpstr>
      <vt:lpstr>Monthly Events per venue</vt:lpstr>
      <vt:lpstr>P&amp;L Categories</vt:lpstr>
      <vt:lpstr>Checks</vt:lpstr>
      <vt:lpstr>Cash Flow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 Erturkuner</dc:creator>
  <cp:lastModifiedBy>Cate Erturkuner</cp:lastModifiedBy>
  <dcterms:created xsi:type="dcterms:W3CDTF">2025-05-17T14:18:14Z</dcterms:created>
  <dcterms:modified xsi:type="dcterms:W3CDTF">2026-09-05T17:55:03Z</dcterms:modified>
</cp:coreProperties>
</file>