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tiff" ContentType="image/tiff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k\OneDrive\01-项目\2025-蒙西水泥\项目报告\"/>
    </mc:Choice>
  </mc:AlternateContent>
  <bookViews>
    <workbookView windowWidth="27945" windowHeight="12375" activeTab="1"/>
  </bookViews>
  <sheets>
    <sheet name="封面" sheetId="8" r:id="rId1"/>
    <sheet name="总表" sheetId="1" r:id="rId2"/>
    <sheet name="粉煤灰" sheetId="2" r:id="rId3"/>
    <sheet name="煤矸石" sheetId="6" r:id="rId4"/>
    <sheet name="脱硫石膏" sheetId="5" r:id="rId5"/>
    <sheet name="石灰石" sheetId="4" r:id="rId6"/>
    <sheet name="电石渣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<sst xmlns="http://schemas.openxmlformats.org/spreadsheetml/2006/main" count="157" uniqueCount="78">
  <si>
    <t>原料数据集</t>
  </si>
  <si>
    <t>委托单位         蒙西公司</t>
  </si>
  <si>
    <t>完成单位         内蒙古工业大学</t>
  </si>
  <si>
    <t>制表日期：  2025年 10月 10日</t>
  </si>
  <si>
    <t>成   分   分   析</t>
  </si>
  <si>
    <t>备注</t>
  </si>
  <si>
    <t>SiO2</t>
  </si>
  <si>
    <t>Al2O3</t>
  </si>
  <si>
    <t>CaO</t>
  </si>
  <si>
    <t>Fe2O3</t>
  </si>
  <si>
    <t>MgO</t>
  </si>
  <si>
    <t>SO3</t>
  </si>
  <si>
    <t>烧失2</t>
  </si>
  <si>
    <t>烧失1</t>
  </si>
  <si>
    <t>total</t>
  </si>
  <si>
    <t>有效钙(wt.%)</t>
  </si>
  <si>
    <t>CaCO3</t>
  </si>
  <si>
    <t>碳酸钙镁</t>
  </si>
  <si>
    <t>Ca(OH)2</t>
  </si>
  <si>
    <t>CaSO4</t>
  </si>
  <si>
    <t>0.5水硫酸钙</t>
  </si>
  <si>
    <t>二水硫酸钙</t>
  </si>
  <si>
    <t>高岭土（Al2Si2O5(OH)4）</t>
  </si>
  <si>
    <t>氧化铝</t>
  </si>
  <si>
    <t>莫来石</t>
  </si>
  <si>
    <t>石英</t>
  </si>
  <si>
    <t>非晶</t>
  </si>
  <si>
    <t>分子量</t>
  </si>
  <si>
    <t>煤矸石</t>
  </si>
  <si>
    <t>粉煤灰</t>
  </si>
  <si>
    <t>石灰石</t>
  </si>
  <si>
    <t>脱硫石膏</t>
  </si>
  <si>
    <t>电石渣</t>
  </si>
  <si>
    <t>注：烧失2为CO2，烧失1为H2O</t>
  </si>
  <si>
    <t>基数为：煤矸石10g，粉煤灰20g，石灰石60g，电石渣6g，脱硫石膏4g</t>
  </si>
  <si>
    <t>生料</t>
  </si>
  <si>
    <t>摩尔比</t>
  </si>
  <si>
    <t>需求量</t>
  </si>
  <si>
    <t>限定条件</t>
  </si>
  <si>
    <t>x</t>
  </si>
  <si>
    <t>0.98~1.02</t>
  </si>
  <si>
    <t>y</t>
  </si>
  <si>
    <t>1.96~2.04</t>
  </si>
  <si>
    <t>煤矸石：粉煤灰=1：2(附近无规律值)</t>
  </si>
  <si>
    <t>z</t>
  </si>
  <si>
    <t>w</t>
  </si>
  <si>
    <t>AlO/4=S</t>
  </si>
  <si>
    <t>V</t>
  </si>
  <si>
    <t>5~15</t>
  </si>
  <si>
    <t>CaO/(12/7Al2O3+2SiO2)=1.03</t>
  </si>
  <si>
    <t>配方总计</t>
  </si>
  <si>
    <t>加入克数</t>
  </si>
  <si>
    <t>质量百分比</t>
  </si>
  <si>
    <t>以上配方各元素的质量百分比</t>
  </si>
  <si>
    <t>C2S</t>
  </si>
  <si>
    <t>7Al2O3</t>
  </si>
  <si>
    <t>S</t>
  </si>
  <si>
    <t>成分比例</t>
  </si>
  <si>
    <t>Ca/Al</t>
  </si>
  <si>
    <t>氧化钙需求量</t>
  </si>
  <si>
    <t>钙富裕量</t>
  </si>
  <si>
    <t>Ca/(2Si+12/7Al)</t>
  </si>
  <si>
    <r>
      <rPr>
        <sz val="16"/>
        <color theme="1"/>
        <rFont val="仿宋"/>
        <charset val="134"/>
      </rPr>
      <t>成</t>
    </r>
    <r>
      <rPr>
        <sz val="16"/>
        <color theme="1"/>
        <rFont val="Times New Roman"/>
        <charset val="134"/>
      </rPr>
      <t xml:space="preserve">   </t>
    </r>
    <r>
      <rPr>
        <sz val="16"/>
        <color theme="1"/>
        <rFont val="仿宋"/>
        <charset val="134"/>
      </rPr>
      <t>分</t>
    </r>
    <r>
      <rPr>
        <sz val="16"/>
        <color theme="1"/>
        <rFont val="Times New Roman"/>
        <charset val="134"/>
      </rPr>
      <t xml:space="preserve">   </t>
    </r>
    <r>
      <rPr>
        <sz val="16"/>
        <color theme="1"/>
        <rFont val="仿宋"/>
        <charset val="134"/>
      </rPr>
      <t>分</t>
    </r>
    <r>
      <rPr>
        <sz val="16"/>
        <color theme="1"/>
        <rFont val="Times New Roman"/>
        <charset val="134"/>
      </rPr>
      <t xml:space="preserve">   </t>
    </r>
    <r>
      <rPr>
        <sz val="16"/>
        <color theme="1"/>
        <rFont val="仿宋"/>
        <charset val="134"/>
      </rPr>
      <t>析</t>
    </r>
  </si>
  <si>
    <r>
      <rPr>
        <sz val="16"/>
        <color theme="1"/>
        <rFont val="仿宋"/>
        <charset val="134"/>
      </rPr>
      <t>备注</t>
    </r>
  </si>
  <si>
    <r>
      <rPr>
        <sz val="16"/>
        <color theme="1"/>
        <rFont val="仿宋"/>
        <charset val="134"/>
      </rPr>
      <t>莫来石</t>
    </r>
  </si>
  <si>
    <r>
      <rPr>
        <sz val="16"/>
        <color theme="1"/>
        <rFont val="仿宋"/>
        <charset val="134"/>
      </rPr>
      <t>非晶</t>
    </r>
  </si>
  <si>
    <r>
      <rPr>
        <sz val="16"/>
        <color theme="1"/>
        <rFont val="仿宋"/>
        <charset val="134"/>
      </rPr>
      <t>分子量</t>
    </r>
  </si>
  <si>
    <r>
      <rPr>
        <sz val="16"/>
        <color theme="1"/>
        <rFont val="仿宋"/>
        <charset val="134"/>
      </rPr>
      <t>粉煤灰</t>
    </r>
  </si>
  <si>
    <r>
      <rPr>
        <sz val="14"/>
        <color theme="1"/>
        <rFont val="宋体"/>
        <charset val="134"/>
      </rPr>
      <t>成</t>
    </r>
    <r>
      <rPr>
        <sz val="14"/>
        <color theme="1"/>
        <rFont val="Times New Roman"/>
        <charset val="134"/>
      </rPr>
      <t xml:space="preserve">   </t>
    </r>
    <r>
      <rPr>
        <sz val="14"/>
        <color theme="1"/>
        <rFont val="宋体"/>
        <charset val="134"/>
      </rPr>
      <t>分</t>
    </r>
    <r>
      <rPr>
        <sz val="14"/>
        <color theme="1"/>
        <rFont val="Times New Roman"/>
        <charset val="134"/>
      </rPr>
      <t xml:space="preserve">   </t>
    </r>
    <r>
      <rPr>
        <sz val="14"/>
        <color theme="1"/>
        <rFont val="宋体"/>
        <charset val="134"/>
      </rPr>
      <t>分</t>
    </r>
    <r>
      <rPr>
        <sz val="14"/>
        <color theme="1"/>
        <rFont val="Times New Roman"/>
        <charset val="134"/>
      </rPr>
      <t xml:space="preserve">   </t>
    </r>
    <r>
      <rPr>
        <sz val="14"/>
        <color theme="1"/>
        <rFont val="宋体"/>
        <charset val="134"/>
      </rPr>
      <t>析</t>
    </r>
  </si>
  <si>
    <r>
      <rPr>
        <sz val="14"/>
        <color theme="1"/>
        <rFont val="宋体"/>
        <charset val="134"/>
      </rPr>
      <t>备注</t>
    </r>
  </si>
  <si>
    <t>高岭土</t>
  </si>
  <si>
    <r>
      <rPr>
        <sz val="14"/>
        <color theme="1"/>
        <rFont val="宋体"/>
        <charset val="134"/>
      </rPr>
      <t>石英</t>
    </r>
  </si>
  <si>
    <r>
      <rPr>
        <sz val="14"/>
        <color theme="1"/>
        <rFont val="宋体"/>
        <charset val="134"/>
      </rPr>
      <t>分子量</t>
    </r>
  </si>
  <si>
    <r>
      <rPr>
        <sz val="14"/>
        <color theme="1"/>
        <rFont val="宋体"/>
        <charset val="134"/>
      </rPr>
      <t>煤矸石</t>
    </r>
  </si>
  <si>
    <r>
      <rPr>
        <sz val="14"/>
        <color theme="1"/>
        <rFont val="宋体"/>
        <charset val="134"/>
      </rPr>
      <t>半水硫酸钙</t>
    </r>
  </si>
  <si>
    <r>
      <rPr>
        <sz val="14"/>
        <color theme="1"/>
        <rFont val="宋体"/>
        <charset val="134"/>
      </rPr>
      <t>脱硫石膏</t>
    </r>
  </si>
  <si>
    <r>
      <rPr>
        <sz val="14"/>
        <color theme="1"/>
        <rFont val="宋体"/>
        <charset val="134"/>
      </rPr>
      <t>石灰石</t>
    </r>
  </si>
  <si>
    <r>
      <rPr>
        <sz val="14"/>
        <color theme="1"/>
        <rFont val="宋体"/>
        <charset val="134"/>
      </rPr>
      <t>电石渣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</si>
</sst>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等线"/>
      <charset val="134"/>
      <scheme val="minor"/>
    </font>
    <font>
      <sz val="14"/>
      <color theme="1"/>
      <name val="Times New Roman"/>
      <charset val="134"/>
    </font>
    <font>
      <sz val="16"/>
      <color theme="1"/>
      <name val="等线"/>
      <charset val="134"/>
      <scheme val="minor"/>
    </font>
    <font>
      <sz val="14"/>
      <color theme="1"/>
      <name val="宋体"/>
      <charset val="134"/>
    </font>
    <font>
      <sz val="16"/>
      <color theme="1"/>
      <name val="Times New Roman"/>
      <charset val="134"/>
    </font>
    <font>
      <sz val="16"/>
      <color theme="1"/>
      <name val="仿宋"/>
      <charset val="134"/>
    </font>
    <font>
      <sz val="2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rgb="FF00B0F0"/>
      <name val="Times New Roman"/>
      <charset val="134"/>
    </font>
    <font>
      <sz val="16"/>
      <color rgb="FF00B0F0"/>
      <name val="等线"/>
      <charset val="134"/>
      <scheme val="minor"/>
    </font>
    <font>
      <sz val="11"/>
      <color rgb="FF00B0F0"/>
      <name val="等线"/>
      <charset val="134"/>
      <scheme val="minor"/>
    </font>
    <font>
      <sz val="18"/>
      <color theme="1"/>
      <name val="等线"/>
      <charset val="134"/>
      <scheme val="minor"/>
    </font>
    <font>
      <sz val="9"/>
      <color rgb="FF000000"/>
      <name val="Times New Roman"/>
      <charset val="134"/>
    </font>
    <font>
      <sz val="18"/>
      <color theme="1"/>
      <name val="宋体"/>
      <charset val="134"/>
    </font>
    <font>
      <sz val="12"/>
      <color theme="1"/>
      <name val="Times New Roman"/>
      <charset val="134"/>
    </font>
    <font>
      <b/>
      <sz val="36"/>
      <name val="宋体"/>
      <charset val="134"/>
    </font>
    <font>
      <sz val="12"/>
      <name val="宋体"/>
      <charset val="134"/>
    </font>
    <font>
      <sz val="16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6" applyNumberFormat="0" applyAlignment="0" applyProtection="0">
      <alignment vertical="center"/>
    </xf>
    <xf numFmtId="0" fontId="27" fillId="9" borderId="7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9" fillId="10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76" fontId="13" fillId="6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justify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tiff"/><Relationship Id="rId1" Type="http://schemas.openxmlformats.org/officeDocument/2006/relationships/image" Target="../media/image4.tif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tiff"/><Relationship Id="rId1" Type="http://schemas.openxmlformats.org/officeDocument/2006/relationships/image" Target="../media/image7.tif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tiff"/><Relationship Id="rId1" Type="http://schemas.openxmlformats.org/officeDocument/2006/relationships/image" Target="../media/image10.tif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tiff"/><Relationship Id="rId1" Type="http://schemas.openxmlformats.org/officeDocument/2006/relationships/image" Target="../media/image8.tif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763905</xdr:colOff>
      <xdr:row>6</xdr:row>
      <xdr:rowOff>100965</xdr:rowOff>
    </xdr:from>
    <xdr:to>
      <xdr:col>4</xdr:col>
      <xdr:colOff>40005</xdr:colOff>
      <xdr:row>12</xdr:row>
      <xdr:rowOff>118745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3905" y="1644015"/>
          <a:ext cx="2229485" cy="15608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325755</xdr:colOff>
      <xdr:row>6</xdr:row>
      <xdr:rowOff>91440</xdr:rowOff>
    </xdr:from>
    <xdr:to>
      <xdr:col>7</xdr:col>
      <xdr:colOff>461010</xdr:colOff>
      <xdr:row>12</xdr:row>
      <xdr:rowOff>103505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79140" y="1634490"/>
          <a:ext cx="2165985" cy="155511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518160</xdr:colOff>
          <xdr:row>4</xdr:row>
          <xdr:rowOff>175260</xdr:rowOff>
        </xdr:from>
        <xdr:to>
          <xdr:col>14</xdr:col>
          <xdr:colOff>678180</xdr:colOff>
          <xdr:row>15</xdr:row>
          <xdr:rowOff>228600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856095" y="1203960"/>
              <a:ext cx="3756660" cy="28822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373380</xdr:colOff>
      <xdr:row>6</xdr:row>
      <xdr:rowOff>175260</xdr:rowOff>
    </xdr:from>
    <xdr:to>
      <xdr:col>4</xdr:col>
      <xdr:colOff>470535</xdr:colOff>
      <xdr:row>13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50290" y="1632585"/>
          <a:ext cx="2221865" cy="1606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203835</xdr:colOff>
      <xdr:row>6</xdr:row>
      <xdr:rowOff>167640</xdr:rowOff>
    </xdr:from>
    <xdr:to>
      <xdr:col>8</xdr:col>
      <xdr:colOff>230505</xdr:colOff>
      <xdr:row>13</xdr:row>
      <xdr:rowOff>107950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91255" y="1624965"/>
          <a:ext cx="2151380" cy="160718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632460</xdr:colOff>
          <xdr:row>5</xdr:row>
          <xdr:rowOff>68580</xdr:rowOff>
        </xdr:from>
        <xdr:to>
          <xdr:col>15</xdr:col>
          <xdr:colOff>182880</xdr:colOff>
          <xdr:row>17</xdr:row>
          <xdr:rowOff>0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7099300" y="1287780"/>
              <a:ext cx="4340860" cy="278892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436245</xdr:colOff>
      <xdr:row>8</xdr:row>
      <xdr:rowOff>66675</xdr:rowOff>
    </xdr:from>
    <xdr:to>
      <xdr:col>5</xdr:col>
      <xdr:colOff>573405</xdr:colOff>
      <xdr:row>15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8955" y="1990725"/>
          <a:ext cx="2228215" cy="1619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137160</xdr:colOff>
      <xdr:row>8</xdr:row>
      <xdr:rowOff>87630</xdr:rowOff>
    </xdr:from>
    <xdr:to>
      <xdr:col>9</xdr:col>
      <xdr:colOff>93345</xdr:colOff>
      <xdr:row>15</xdr:row>
      <xdr:rowOff>40005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6725" y="2011680"/>
          <a:ext cx="2216150" cy="161925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259080</xdr:colOff>
          <xdr:row>5</xdr:row>
          <xdr:rowOff>121920</xdr:rowOff>
        </xdr:from>
        <xdr:to>
          <xdr:col>15</xdr:col>
          <xdr:colOff>647700</xdr:colOff>
          <xdr:row>17</xdr:row>
          <xdr:rowOff>137160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7352665" y="1331595"/>
              <a:ext cx="3782060" cy="28727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184785</xdr:colOff>
      <xdr:row>6</xdr:row>
      <xdr:rowOff>121920</xdr:rowOff>
    </xdr:from>
    <xdr:to>
      <xdr:col>5</xdr:col>
      <xdr:colOff>339090</xdr:colOff>
      <xdr:row>13</xdr:row>
      <xdr:rowOff>120015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47495" y="1569720"/>
          <a:ext cx="2245360" cy="16649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135255</xdr:colOff>
      <xdr:row>6</xdr:row>
      <xdr:rowOff>139065</xdr:rowOff>
    </xdr:from>
    <xdr:to>
      <xdr:col>9</xdr:col>
      <xdr:colOff>129540</xdr:colOff>
      <xdr:row>13</xdr:row>
      <xdr:rowOff>135890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4820" y="1586865"/>
          <a:ext cx="2220595" cy="16637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160020</xdr:colOff>
          <xdr:row>5</xdr:row>
          <xdr:rowOff>45720</xdr:rowOff>
        </xdr:from>
        <xdr:to>
          <xdr:col>15</xdr:col>
          <xdr:colOff>541020</xdr:colOff>
          <xdr:row>16</xdr:row>
          <xdr:rowOff>175260</xdr:rowOff>
        </xdr:to>
        <xdr:sp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7380605" y="1255395"/>
              <a:ext cx="3783330" cy="274891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481965</xdr:colOff>
      <xdr:row>8</xdr:row>
      <xdr:rowOff>60960</xdr:rowOff>
    </xdr:from>
    <xdr:to>
      <xdr:col>6</xdr:col>
      <xdr:colOff>544830</xdr:colOff>
      <xdr:row>15</xdr:row>
      <xdr:rowOff>13335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30475" y="1994535"/>
          <a:ext cx="2153920" cy="1619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289560</xdr:colOff>
      <xdr:row>8</xdr:row>
      <xdr:rowOff>66675</xdr:rowOff>
    </xdr:from>
    <xdr:to>
      <xdr:col>10</xdr:col>
      <xdr:colOff>5715</xdr:colOff>
      <xdr:row>15</xdr:row>
      <xdr:rowOff>20955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4925" y="2000250"/>
          <a:ext cx="2145030" cy="162115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373380</xdr:colOff>
          <xdr:row>6</xdr:row>
          <xdr:rowOff>45720</xdr:rowOff>
        </xdr:from>
        <xdr:to>
          <xdr:col>17</xdr:col>
          <xdr:colOff>76200</xdr:colOff>
          <xdr:row>18</xdr:row>
          <xdr:rowOff>0</xdr:rowOff>
        </xdr:to>
        <xdr:sp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8304530" y="1503045"/>
              <a:ext cx="3782060" cy="28117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e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image" Target="../media/image12.emf"/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image" Target="../media/image14.emf"/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G19" sqref="G19"/>
    </sheetView>
  </sheetViews>
  <sheetFormatPr defaultColWidth="9" defaultRowHeight="14.25" outlineLevelCol="7"/>
  <sheetData>
    <row r="1" spans="1:8">
      <c r="A1" s="33" t="s">
        <v>0</v>
      </c>
      <c r="B1" s="33"/>
      <c r="C1" s="33"/>
      <c r="D1" s="33"/>
      <c r="E1" s="33"/>
      <c r="F1" s="33"/>
      <c r="G1" s="33"/>
      <c r="H1" s="33"/>
    </row>
    <row r="2" spans="1:8">
      <c r="A2" s="33"/>
      <c r="B2" s="33"/>
      <c r="C2" s="33"/>
      <c r="D2" s="33"/>
      <c r="E2" s="33"/>
      <c r="F2" s="33"/>
      <c r="G2" s="33"/>
      <c r="H2" s="33"/>
    </row>
    <row r="3" spans="1:8">
      <c r="A3" s="33"/>
      <c r="B3" s="33"/>
      <c r="C3" s="33"/>
      <c r="D3" s="33"/>
      <c r="E3" s="33"/>
      <c r="F3" s="33"/>
      <c r="G3" s="33"/>
      <c r="H3" s="33"/>
    </row>
    <row r="4" spans="1:8">
      <c r="A4" s="34"/>
      <c r="B4" s="34"/>
      <c r="C4" s="34"/>
      <c r="D4" s="34"/>
      <c r="E4" s="34"/>
      <c r="F4" s="34"/>
      <c r="G4" s="34"/>
      <c r="H4" s="34"/>
    </row>
    <row r="5" spans="1:8">
      <c r="A5" s="34"/>
      <c r="B5" s="34"/>
      <c r="C5" s="34"/>
      <c r="D5" s="34"/>
      <c r="E5" s="34"/>
      <c r="F5" s="34"/>
      <c r="G5" s="34"/>
      <c r="H5" s="34"/>
    </row>
    <row r="6" spans="1:8">
      <c r="A6" s="34"/>
      <c r="B6" s="34"/>
      <c r="C6" s="34"/>
      <c r="D6" s="34"/>
      <c r="E6" s="34"/>
      <c r="F6" s="34"/>
      <c r="G6" s="34"/>
      <c r="H6" s="34"/>
    </row>
    <row r="7" spans="1:8">
      <c r="A7" s="34"/>
      <c r="B7" s="34"/>
      <c r="C7" s="34"/>
      <c r="D7" s="34"/>
      <c r="E7" s="34"/>
      <c r="F7" s="34"/>
      <c r="G7" s="34"/>
      <c r="H7" s="34"/>
    </row>
    <row r="8" spans="1:8">
      <c r="A8" s="34"/>
      <c r="B8" s="34"/>
      <c r="C8" s="34"/>
      <c r="D8" s="34"/>
      <c r="E8" s="34"/>
      <c r="F8" s="34"/>
      <c r="G8" s="34"/>
      <c r="H8" s="34"/>
    </row>
    <row r="9" spans="1:8">
      <c r="A9" s="34"/>
      <c r="B9" s="34"/>
      <c r="C9" s="34"/>
      <c r="D9" s="34"/>
      <c r="E9" s="34"/>
      <c r="F9" s="34"/>
      <c r="G9" s="34"/>
      <c r="H9" s="34"/>
    </row>
    <row r="10" spans="1:8">
      <c r="A10" s="34"/>
      <c r="B10" s="34"/>
      <c r="C10" s="34"/>
      <c r="D10" s="34"/>
      <c r="E10" s="34"/>
      <c r="F10" s="34"/>
      <c r="G10" s="34"/>
      <c r="H10" s="34"/>
    </row>
    <row r="11" spans="1:8">
      <c r="A11" s="34"/>
      <c r="B11" s="34"/>
      <c r="C11" s="34"/>
      <c r="D11" s="34"/>
      <c r="E11" s="34"/>
      <c r="F11" s="34"/>
      <c r="G11" s="34"/>
      <c r="H11" s="34"/>
    </row>
    <row r="12" ht="20.25" spans="1:8">
      <c r="A12" s="34"/>
      <c r="B12" s="35" t="s">
        <v>1</v>
      </c>
      <c r="C12" s="34"/>
      <c r="D12" s="35"/>
      <c r="E12" s="35"/>
      <c r="F12" s="35"/>
      <c r="G12" s="35"/>
      <c r="H12" s="35"/>
    </row>
    <row r="13" ht="20.25" spans="1:8">
      <c r="A13" s="34"/>
      <c r="B13" s="35" t="s">
        <v>2</v>
      </c>
      <c r="C13" s="34"/>
      <c r="D13" s="35"/>
      <c r="E13" s="35"/>
      <c r="F13" s="35"/>
      <c r="G13" s="35"/>
      <c r="H13" s="35"/>
    </row>
    <row r="14" ht="20.25" spans="1:8">
      <c r="A14" s="34"/>
      <c r="B14" s="35"/>
      <c r="C14" s="34"/>
      <c r="D14" s="35"/>
      <c r="E14" s="35"/>
      <c r="F14" s="35"/>
      <c r="G14" s="35"/>
      <c r="H14" s="35"/>
    </row>
    <row r="15" ht="20.25" spans="1:8">
      <c r="A15" s="34"/>
      <c r="B15" s="35"/>
      <c r="C15" s="34"/>
      <c r="D15" s="35"/>
      <c r="E15" s="35"/>
      <c r="F15" s="35"/>
      <c r="G15" s="35"/>
      <c r="H15" s="35"/>
    </row>
    <row r="16" ht="20.25" spans="1:8">
      <c r="A16" s="34"/>
      <c r="B16" s="35"/>
      <c r="C16" s="34"/>
      <c r="D16" s="35"/>
      <c r="E16" s="35"/>
      <c r="F16" s="35"/>
      <c r="G16" s="35"/>
      <c r="H16" s="35"/>
    </row>
    <row r="17" ht="20.25" spans="1:8">
      <c r="A17" s="34"/>
      <c r="B17" s="35"/>
      <c r="C17" s="34"/>
      <c r="D17" s="35"/>
      <c r="E17" s="35"/>
      <c r="F17" s="35"/>
      <c r="G17" s="35"/>
      <c r="H17" s="35"/>
    </row>
    <row r="18" ht="20.25" spans="1:8">
      <c r="A18" s="34"/>
      <c r="B18" s="35"/>
      <c r="C18" s="35"/>
      <c r="D18" s="35"/>
      <c r="E18" s="35"/>
      <c r="F18" s="35"/>
      <c r="G18" s="35"/>
      <c r="H18" s="35"/>
    </row>
    <row r="19" ht="20.25" spans="1:8">
      <c r="A19" s="34"/>
      <c r="B19" s="35"/>
      <c r="C19" s="35"/>
      <c r="D19" s="35"/>
      <c r="E19" s="35"/>
      <c r="F19" s="35"/>
      <c r="G19" s="35"/>
      <c r="H19" s="35"/>
    </row>
    <row r="20" ht="20.25" spans="1:8">
      <c r="A20" s="34"/>
      <c r="B20" s="35"/>
      <c r="C20" s="35"/>
      <c r="D20" s="35"/>
      <c r="E20" s="35"/>
      <c r="F20" s="35"/>
      <c r="G20" s="35"/>
      <c r="H20" s="35"/>
    </row>
    <row r="21" ht="20.25" spans="1:8">
      <c r="A21" s="34"/>
      <c r="B21" s="35"/>
      <c r="C21" s="35"/>
      <c r="D21" s="35"/>
      <c r="E21" s="35"/>
      <c r="F21" s="35"/>
      <c r="G21" s="35"/>
      <c r="H21" s="35"/>
    </row>
    <row r="22" ht="20.25" spans="1:8">
      <c r="A22" s="34"/>
      <c r="B22" s="35"/>
      <c r="C22" s="35"/>
      <c r="D22" s="35"/>
      <c r="E22" s="35"/>
      <c r="F22" s="35"/>
      <c r="G22" s="35"/>
      <c r="H22" s="35"/>
    </row>
    <row r="23" ht="20.25" spans="1:8">
      <c r="A23" s="34"/>
      <c r="B23" s="35"/>
      <c r="C23" s="35"/>
      <c r="D23" s="35"/>
      <c r="E23" s="35"/>
      <c r="F23" s="35"/>
      <c r="G23" s="35"/>
      <c r="H23" s="35"/>
    </row>
    <row r="24" ht="20.25" spans="1:8">
      <c r="A24" s="34"/>
      <c r="B24" s="35"/>
      <c r="C24" s="35"/>
      <c r="D24" s="35"/>
      <c r="E24" s="35"/>
      <c r="F24" s="35"/>
      <c r="G24" s="35"/>
      <c r="H24" s="35"/>
    </row>
    <row r="25" ht="20.25" spans="1:8">
      <c r="A25" s="34"/>
      <c r="B25" s="35"/>
      <c r="C25" s="35" t="s">
        <v>3</v>
      </c>
      <c r="D25" s="35"/>
      <c r="E25" s="35"/>
      <c r="F25" s="35"/>
      <c r="G25" s="35"/>
      <c r="H25" s="35"/>
    </row>
    <row r="26" ht="20.25" spans="1:8">
      <c r="A26" s="34"/>
      <c r="B26" s="35"/>
      <c r="C26" s="35"/>
      <c r="D26" s="35"/>
      <c r="E26" s="35"/>
      <c r="F26" s="35"/>
      <c r="G26" s="35"/>
      <c r="H26" s="35"/>
    </row>
    <row r="27" ht="20.25" spans="1:8">
      <c r="A27" s="34"/>
      <c r="B27" s="35"/>
      <c r="C27" s="35"/>
      <c r="D27" s="35"/>
      <c r="E27" s="35"/>
      <c r="F27" s="35"/>
      <c r="G27" s="35"/>
      <c r="H27" s="35"/>
    </row>
  </sheetData>
  <mergeCells count="7">
    <mergeCell ref="B12:H12"/>
    <mergeCell ref="B13:H13"/>
    <mergeCell ref="B14:H14"/>
    <mergeCell ref="B15:H15"/>
    <mergeCell ref="B16:H16"/>
    <mergeCell ref="B17:H17"/>
    <mergeCell ref="A1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1"/>
  <sheetViews>
    <sheetView tabSelected="1" zoomScale="80" zoomScaleNormal="80" workbookViewId="0">
      <pane xSplit="1" topLeftCell="B1" activePane="topRight" state="frozen"/>
      <selection/>
      <selection pane="topRight" activeCell="G24" sqref="G24"/>
    </sheetView>
  </sheetViews>
  <sheetFormatPr defaultColWidth="9" defaultRowHeight="14.25"/>
  <cols>
    <col min="1" max="2" width="20.8833333333333" style="11" customWidth="1"/>
    <col min="3" max="10" width="14.4416666666667" style="11" customWidth="1"/>
    <col min="11" max="11" width="18.4416666666667" style="11" customWidth="1"/>
    <col min="12" max="17" width="14.4416666666667" style="11" customWidth="1"/>
    <col min="18" max="18" width="18.4416666666667" style="11" customWidth="1"/>
    <col min="19" max="19" width="18.2166666666667" style="11" customWidth="1"/>
    <col min="20" max="20" width="36" customWidth="1"/>
    <col min="21" max="21" width="19.6666666666667" customWidth="1"/>
    <col min="22" max="22" width="15.4416666666667" customWidth="1"/>
    <col min="24" max="24" width="10" customWidth="1"/>
  </cols>
  <sheetData>
    <row r="1" ht="36" customHeight="1" spans="1:26">
      <c r="B1" s="12" t="s">
        <v>4</v>
      </c>
      <c r="C1" s="12"/>
      <c r="D1" s="12"/>
      <c r="E1" s="12"/>
      <c r="F1" s="12"/>
      <c r="G1" s="12"/>
      <c r="H1" s="12"/>
      <c r="I1" s="12"/>
      <c r="J1" s="12"/>
      <c r="K1" s="12"/>
      <c r="L1" s="13" t="s">
        <v>5</v>
      </c>
    </row>
    <row r="2" ht="30" customHeight="1" spans="1:26">
      <c r="A2" s="3"/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/>
      <c r="M2" s="3" t="s">
        <v>16</v>
      </c>
      <c r="N2" s="3" t="s">
        <v>17</v>
      </c>
      <c r="O2" s="3" t="s">
        <v>18</v>
      </c>
      <c r="P2" s="3" t="s">
        <v>11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/>
      <c r="Z2" s="3"/>
    </row>
    <row r="3" ht="30" customHeight="1" spans="1:26">
      <c r="A3" s="3" t="s">
        <v>27</v>
      </c>
      <c r="B3" s="3">
        <v>60</v>
      </c>
      <c r="C3" s="3">
        <v>102</v>
      </c>
      <c r="D3" s="3">
        <v>56</v>
      </c>
      <c r="E3" s="3">
        <v>160</v>
      </c>
      <c r="F3" s="3">
        <v>40</v>
      </c>
      <c r="G3" s="3">
        <v>80</v>
      </c>
      <c r="H3" s="3">
        <v>44</v>
      </c>
      <c r="I3" s="3">
        <v>18</v>
      </c>
      <c r="J3" s="3"/>
      <c r="K3" s="3"/>
      <c r="L3" s="3"/>
      <c r="M3" s="3">
        <v>100</v>
      </c>
      <c r="N3" s="3">
        <v>184.4</v>
      </c>
      <c r="O3" s="3">
        <v>74.1</v>
      </c>
      <c r="P3" s="3">
        <v>80</v>
      </c>
      <c r="Q3" s="3">
        <v>136.1</v>
      </c>
      <c r="R3" s="3">
        <v>145.2</v>
      </c>
      <c r="S3" s="3">
        <v>172.2</v>
      </c>
      <c r="T3" s="3">
        <v>258.2</v>
      </c>
      <c r="U3" s="3"/>
      <c r="V3" s="3"/>
      <c r="W3" s="3">
        <v>60</v>
      </c>
      <c r="X3" s="3"/>
      <c r="Y3" s="3"/>
      <c r="Z3" s="3"/>
    </row>
    <row r="4" ht="30" customHeight="1" spans="1:26">
      <c r="A4" s="3" t="s">
        <v>28</v>
      </c>
      <c r="B4" s="14">
        <v>42.71</v>
      </c>
      <c r="C4" s="14">
        <v>30.01</v>
      </c>
      <c r="D4" s="14">
        <v>0.59</v>
      </c>
      <c r="E4" s="14">
        <v>4.48</v>
      </c>
      <c r="F4" s="14">
        <v>0.18</v>
      </c>
      <c r="G4" s="15">
        <f>D4/$D$3*$G$3</f>
        <v>0.842857142857143</v>
      </c>
      <c r="H4" s="16">
        <f>E4/$D$3*$H$3</f>
        <v>3.52</v>
      </c>
      <c r="I4" s="16">
        <f>B4/B3/2*I3*2</f>
        <v>12.813</v>
      </c>
      <c r="J4" s="16">
        <f>SUM(B4:I4)</f>
        <v>95.1458571428572</v>
      </c>
      <c r="K4" s="3"/>
      <c r="L4" s="3"/>
      <c r="M4" s="3"/>
      <c r="N4" s="3"/>
      <c r="O4" s="3"/>
      <c r="P4" s="3"/>
      <c r="Q4" s="3"/>
      <c r="R4" s="3"/>
      <c r="S4" s="3">
        <v>2.1</v>
      </c>
      <c r="T4" s="3">
        <v>51.4</v>
      </c>
      <c r="U4" s="3"/>
      <c r="V4" s="3"/>
      <c r="W4" s="3">
        <v>4.9</v>
      </c>
      <c r="X4" s="3">
        <v>43.7</v>
      </c>
    </row>
    <row r="5" ht="30" customHeight="1" spans="1:26">
      <c r="A5" s="3" t="s">
        <v>29</v>
      </c>
      <c r="B5" s="17">
        <v>36.37</v>
      </c>
      <c r="C5" s="17">
        <v>45.8</v>
      </c>
      <c r="D5" s="17">
        <v>5.1</v>
      </c>
      <c r="E5" s="17">
        <v>4.19</v>
      </c>
      <c r="F5" s="17">
        <v>0.32</v>
      </c>
      <c r="G5" s="15">
        <f>S5/S3*G3</f>
        <v>0.933797909407665</v>
      </c>
      <c r="H5" s="16">
        <f t="shared" ref="H5:H6" si="0">D5/$D$3*$H$3</f>
        <v>4.00714285714286</v>
      </c>
      <c r="I5" s="16"/>
      <c r="J5" s="16">
        <f>SUM(B5:I5)</f>
        <v>96.7209407665505</v>
      </c>
      <c r="K5" s="3"/>
      <c r="L5" s="3"/>
      <c r="M5" s="3"/>
      <c r="N5" s="3"/>
      <c r="O5" s="3"/>
      <c r="P5" s="3"/>
      <c r="Q5" s="3"/>
      <c r="R5" s="3"/>
      <c r="S5" s="3">
        <v>2.01</v>
      </c>
      <c r="T5" s="3"/>
      <c r="U5" s="3">
        <v>4.67</v>
      </c>
      <c r="V5" s="16">
        <f>C5/C3/3*2*B5+C5</f>
        <v>56.6872287581699</v>
      </c>
      <c r="W5" s="3"/>
      <c r="X5" s="16">
        <f>100-V5-U5-S5-4.4</f>
        <v>32.2327712418301</v>
      </c>
    </row>
    <row r="6" ht="30" customHeight="1" spans="1:26">
      <c r="A6" s="3" t="s">
        <v>30</v>
      </c>
      <c r="B6" s="17">
        <v>3.21</v>
      </c>
      <c r="C6" s="17">
        <v>0.77</v>
      </c>
      <c r="D6" s="18">
        <v>52.34</v>
      </c>
      <c r="E6" s="17">
        <v>0.14</v>
      </c>
      <c r="F6" s="17">
        <v>1.14</v>
      </c>
      <c r="G6" s="19"/>
      <c r="H6" s="16">
        <f t="shared" si="0"/>
        <v>41.1242857142857</v>
      </c>
      <c r="I6" s="16"/>
      <c r="J6" s="16">
        <f>SUM(B6:I6)</f>
        <v>98.7242857142857</v>
      </c>
      <c r="K6" s="3">
        <f>(D6/$D$3-B6/$B$3*2-C6/$C$3/7*12)*60</f>
        <v>48.8821008403361</v>
      </c>
      <c r="M6" s="3">
        <v>82.8</v>
      </c>
      <c r="N6" s="3">
        <v>17.2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ht="30" customHeight="1" spans="1:26">
      <c r="A7" s="3" t="s">
        <v>31</v>
      </c>
      <c r="B7" s="17">
        <v>2.15</v>
      </c>
      <c r="C7" s="17">
        <v>0.73</v>
      </c>
      <c r="D7" s="17">
        <v>38.09</v>
      </c>
      <c r="E7" s="17">
        <v>0.12</v>
      </c>
      <c r="F7" s="17">
        <v>0.29</v>
      </c>
      <c r="G7" s="15">
        <f>D7/$D$3*$G$3</f>
        <v>54.4142857142857</v>
      </c>
      <c r="H7" s="16"/>
      <c r="I7" s="16">
        <v>4.12</v>
      </c>
      <c r="J7" s="16">
        <f>SUM(B7:I7)</f>
        <v>99.9142857142857</v>
      </c>
      <c r="K7" s="3">
        <f>(D7/$D$3-B7/$B$3*2-C7/$C$3/7*12)*60</f>
        <v>35.7745798319328</v>
      </c>
      <c r="L7" s="3"/>
      <c r="M7" s="3"/>
      <c r="N7" s="3"/>
      <c r="O7" s="3"/>
      <c r="P7" s="3"/>
      <c r="Q7" s="3"/>
      <c r="R7" s="3">
        <v>100</v>
      </c>
      <c r="S7" s="3"/>
      <c r="T7" s="3"/>
      <c r="U7" s="3"/>
      <c r="V7" s="3"/>
      <c r="W7" s="3"/>
      <c r="X7" s="3"/>
    </row>
    <row r="8" ht="30" customHeight="1" spans="1:26">
      <c r="A8" s="3" t="s">
        <v>32</v>
      </c>
      <c r="B8" s="20">
        <v>3.85</v>
      </c>
      <c r="C8" s="20">
        <v>1.34</v>
      </c>
      <c r="D8" s="21">
        <v>64.05</v>
      </c>
      <c r="E8" s="20">
        <v>0.24</v>
      </c>
      <c r="F8" s="20">
        <v>1.8</v>
      </c>
      <c r="G8" s="15"/>
      <c r="H8" s="16">
        <f>D8/$D$3*$H$3*M8/100</f>
        <v>7.800375</v>
      </c>
      <c r="I8" s="16">
        <f>D8/$D$3*$I$3*0.845</f>
        <v>17.3964375</v>
      </c>
      <c r="J8" s="16">
        <f>SUM(B8:I8)</f>
        <v>96.4768125</v>
      </c>
      <c r="K8" s="3">
        <f>(D8/$D$3-B8/$B$3*2-C8/$C$3/7*12)*60</f>
        <v>59.5737394957983</v>
      </c>
      <c r="L8" s="3"/>
      <c r="M8" s="3">
        <v>15.5</v>
      </c>
      <c r="N8" s="3"/>
      <c r="O8" s="3">
        <v>84.5</v>
      </c>
      <c r="P8" s="3"/>
      <c r="Q8" s="3"/>
      <c r="R8" s="3"/>
      <c r="S8" s="3"/>
      <c r="T8" s="3"/>
      <c r="U8" s="3"/>
      <c r="V8" s="3"/>
      <c r="W8" s="3"/>
      <c r="X8" s="3"/>
    </row>
    <row r="9" ht="23.25" spans="1:26">
      <c r="A9" s="3"/>
      <c r="B9" s="3" t="s">
        <v>33</v>
      </c>
      <c r="C9" s="3"/>
      <c r="D9" s="3"/>
      <c r="E9" s="3"/>
      <c r="F9" s="3"/>
      <c r="G9" s="3"/>
      <c r="H9" s="3"/>
      <c r="I9" s="3"/>
      <c r="J9" s="3"/>
      <c r="L9" s="3"/>
      <c r="M9" s="22">
        <f>D3/M3</f>
        <v>0.56</v>
      </c>
      <c r="N9" s="3"/>
      <c r="O9" s="3">
        <f>D3/O3</f>
        <v>0.755735492577598</v>
      </c>
      <c r="P9" s="3"/>
      <c r="Q9" s="3"/>
      <c r="R9" s="3">
        <f>D3/R3</f>
        <v>0.385674931129477</v>
      </c>
      <c r="S9" s="3">
        <f>D3/S3</f>
        <v>0.32520325203252</v>
      </c>
      <c r="T9" s="23"/>
      <c r="U9" s="23"/>
      <c r="V9" s="23"/>
      <c r="W9" s="23"/>
    </row>
    <row r="10" ht="20.25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3"/>
      <c r="U10" s="23"/>
      <c r="V10" s="23"/>
      <c r="W10" s="23"/>
    </row>
    <row r="11" ht="20.25" spans="1:26">
      <c r="A11" s="3"/>
      <c r="B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3"/>
      <c r="U11" s="23"/>
      <c r="V11" s="23"/>
      <c r="W11" s="23"/>
    </row>
    <row r="12" ht="20.25" spans="1:26">
      <c r="A12" s="3"/>
      <c r="B12" s="3" t="s">
        <v>34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3"/>
      <c r="U12" s="23"/>
      <c r="V12" s="23"/>
      <c r="W12" s="23"/>
    </row>
    <row r="13" ht="20.25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23"/>
      <c r="U13" s="23"/>
      <c r="V13" s="23"/>
      <c r="W13" s="23"/>
    </row>
    <row r="14" ht="20.25" spans="1:26">
      <c r="A14" s="3" t="s">
        <v>35</v>
      </c>
      <c r="B14" s="3">
        <f>(10*B4+20*B5+60*B6+6*B8+4*B7)/100</f>
        <v>13.788</v>
      </c>
      <c r="C14" s="3">
        <f t="shared" ref="C14:J14" si="1">(10*C4+20*C5+60*C6+6*C8+4*C7)/100</f>
        <v>12.7326</v>
      </c>
      <c r="D14" s="3">
        <f t="shared" si="1"/>
        <v>37.8496</v>
      </c>
      <c r="E14" s="3">
        <f t="shared" si="1"/>
        <v>1.3892</v>
      </c>
      <c r="F14" s="3">
        <f t="shared" si="1"/>
        <v>0.8856</v>
      </c>
      <c r="G14" s="3">
        <f t="shared" si="1"/>
        <v>2.44761672473868</v>
      </c>
      <c r="H14" s="3">
        <f t="shared" si="1"/>
        <v>26.2960225</v>
      </c>
      <c r="I14" s="3">
        <f t="shared" si="1"/>
        <v>2.48988625</v>
      </c>
      <c r="J14" s="3">
        <f t="shared" si="1"/>
        <v>97.8785254747387</v>
      </c>
      <c r="K14" s="3"/>
      <c r="L14" s="3"/>
      <c r="M14" s="3"/>
      <c r="N14" s="3"/>
      <c r="O14" s="3"/>
      <c r="P14" s="3"/>
      <c r="Q14" s="3"/>
      <c r="R14" s="3"/>
      <c r="S14" s="3"/>
      <c r="T14" s="23"/>
      <c r="U14" s="23"/>
      <c r="V14" s="23"/>
      <c r="W14" s="23"/>
    </row>
    <row r="15" ht="20.25" spans="1:26">
      <c r="A15" s="3" t="s">
        <v>36</v>
      </c>
      <c r="B15" s="3">
        <f>B14/B3</f>
        <v>0.2298</v>
      </c>
      <c r="C15" s="3">
        <f t="shared" ref="C15:J15" si="2">C14/C3</f>
        <v>0.124829411764706</v>
      </c>
      <c r="D15" s="3">
        <f t="shared" si="2"/>
        <v>0.675885714285714</v>
      </c>
      <c r="E15" s="3">
        <f t="shared" si="2"/>
        <v>0.0086825</v>
      </c>
      <c r="F15" s="3">
        <f t="shared" si="2"/>
        <v>0.02214</v>
      </c>
      <c r="G15" s="3">
        <f t="shared" si="2"/>
        <v>0.0305952090592335</v>
      </c>
      <c r="H15" s="3">
        <f t="shared" si="2"/>
        <v>0.597636875</v>
      </c>
      <c r="I15" s="3">
        <f t="shared" si="2"/>
        <v>0.138327013888889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23"/>
      <c r="U15" s="23"/>
      <c r="V15" s="23"/>
      <c r="W15" s="23"/>
    </row>
    <row r="16" ht="20.25" spans="1:26">
      <c r="A16" s="3" t="s">
        <v>37</v>
      </c>
      <c r="B16" s="3">
        <f>B15*2</f>
        <v>0.4596</v>
      </c>
      <c r="C16" s="3">
        <f>C15/7*12</f>
        <v>0.213993277310924</v>
      </c>
      <c r="D16" s="3">
        <f>B16+C16</f>
        <v>0.673593277310924</v>
      </c>
      <c r="E16" s="3"/>
      <c r="F16" s="3"/>
      <c r="G16" s="3">
        <f>C15/3</f>
        <v>0.0416098039215686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3"/>
      <c r="U16" s="23"/>
      <c r="V16" s="23"/>
      <c r="W16" s="23"/>
    </row>
    <row r="17" ht="20.25" spans="1:23">
      <c r="A17" s="3"/>
      <c r="B17" s="3"/>
      <c r="C17" s="3"/>
      <c r="D17" s="3"/>
      <c r="E17" s="3"/>
      <c r="F17" s="3"/>
      <c r="G17" s="3">
        <f>C15/G15</f>
        <v>4.080031338339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23"/>
      <c r="U17" s="23"/>
      <c r="V17" s="23"/>
      <c r="W17" s="23"/>
    </row>
    <row r="18" ht="20.25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3"/>
      <c r="U18" s="23"/>
      <c r="V18" s="23"/>
      <c r="W18" s="23"/>
    </row>
    <row r="19" ht="20.25" spans="1:23">
      <c r="A19" s="3"/>
      <c r="B19" s="3"/>
      <c r="C19" s="3"/>
      <c r="D19" s="3"/>
      <c r="E19" s="3" t="s">
        <v>38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3"/>
      <c r="U19" s="23"/>
      <c r="V19" s="23"/>
      <c r="W19" s="23"/>
    </row>
    <row r="20" ht="20.25" spans="1:23">
      <c r="A20" s="3" t="s">
        <v>28</v>
      </c>
      <c r="B20" s="24">
        <v>10.5</v>
      </c>
      <c r="C20" s="3" t="s">
        <v>39</v>
      </c>
      <c r="D20" s="3"/>
      <c r="E20" s="3" t="s">
        <v>40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3"/>
      <c r="U20" s="23"/>
      <c r="V20" s="23"/>
      <c r="W20" s="23"/>
    </row>
    <row r="21" ht="20.25" spans="1:23">
      <c r="A21" s="3" t="s">
        <v>29</v>
      </c>
      <c r="B21" s="24">
        <v>20.5</v>
      </c>
      <c r="C21" s="3" t="s">
        <v>41</v>
      </c>
      <c r="D21" s="3"/>
      <c r="E21" s="3" t="s">
        <v>42</v>
      </c>
      <c r="F21" s="3"/>
      <c r="G21" s="25" t="s">
        <v>43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23"/>
      <c r="U21" s="23"/>
      <c r="V21" s="23"/>
      <c r="W21" s="23"/>
    </row>
    <row r="22" ht="20.25" spans="1:23">
      <c r="A22" s="3" t="s">
        <v>30</v>
      </c>
      <c r="B22" s="24">
        <v>59</v>
      </c>
      <c r="C22" s="3" t="s">
        <v>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23"/>
      <c r="U22" s="23"/>
      <c r="V22" s="23"/>
      <c r="W22" s="23"/>
    </row>
    <row r="23" ht="20.25" spans="1:23">
      <c r="A23" s="3" t="s">
        <v>31</v>
      </c>
      <c r="B23" s="24">
        <v>4</v>
      </c>
      <c r="C23" s="3" t="s">
        <v>45</v>
      </c>
      <c r="D23" s="3"/>
      <c r="E23" s="3" t="s">
        <v>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3"/>
      <c r="U23" s="23"/>
      <c r="V23" s="23"/>
      <c r="W23" s="23"/>
    </row>
    <row r="24" ht="20.25" spans="1:23">
      <c r="A24" s="3" t="s">
        <v>32</v>
      </c>
      <c r="B24" s="26">
        <v>6</v>
      </c>
      <c r="C24" s="3" t="s">
        <v>47</v>
      </c>
      <c r="D24" s="3"/>
      <c r="E24" s="3" t="s">
        <v>48</v>
      </c>
      <c r="F24" s="3"/>
      <c r="G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3"/>
      <c r="U24" s="23"/>
      <c r="V24" s="23"/>
      <c r="W24" s="23"/>
    </row>
    <row r="25" ht="20.25" spans="1:23">
      <c r="A25" s="3"/>
      <c r="B25" s="3"/>
      <c r="C25" s="3"/>
      <c r="D25" s="3"/>
      <c r="E25" s="3" t="s">
        <v>36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23"/>
      <c r="U25" s="23"/>
      <c r="V25" s="23"/>
      <c r="W25" s="23"/>
    </row>
    <row r="26" ht="20.25" spans="1:23">
      <c r="A26" s="3"/>
      <c r="B26" s="3"/>
      <c r="C26" s="3"/>
      <c r="D26" s="3"/>
      <c r="E26" s="3" t="s">
        <v>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3"/>
      <c r="U26" s="23"/>
      <c r="V26" s="23"/>
      <c r="W26" s="23"/>
    </row>
    <row r="27" ht="20.25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3"/>
      <c r="U27" s="23"/>
      <c r="V27" s="23"/>
      <c r="W27" s="23"/>
    </row>
    <row r="28" ht="20.25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23"/>
      <c r="U28" s="23"/>
      <c r="V28" s="23"/>
      <c r="W28" s="23"/>
    </row>
    <row r="29" ht="20.25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3"/>
      <c r="U29" s="23"/>
      <c r="V29" s="23"/>
      <c r="W29" s="23"/>
    </row>
    <row r="30" ht="20.25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3"/>
      <c r="U30" s="23"/>
      <c r="V30" s="23"/>
      <c r="W30" s="23"/>
    </row>
    <row r="31" ht="20.25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23"/>
      <c r="U31" s="23"/>
      <c r="V31" s="23"/>
      <c r="W31" s="23"/>
    </row>
    <row r="32" ht="20.25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23"/>
      <c r="U32" s="23"/>
      <c r="V32" s="23"/>
      <c r="W32" s="23"/>
    </row>
    <row r="33" ht="20.25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23"/>
      <c r="U33" s="23"/>
      <c r="V33" s="23"/>
      <c r="W33" s="23"/>
    </row>
    <row r="34" ht="20.25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23"/>
      <c r="U34" s="23"/>
      <c r="V34" s="23"/>
      <c r="W34" s="23"/>
    </row>
    <row r="35" ht="20.2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23"/>
      <c r="U35" s="23"/>
      <c r="V35" s="23"/>
      <c r="W35" s="23"/>
    </row>
    <row r="36" ht="20.25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3"/>
      <c r="U36" s="23"/>
      <c r="V36" s="23"/>
      <c r="W36" s="23"/>
    </row>
    <row r="37" ht="20.25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23"/>
      <c r="U37" s="23"/>
      <c r="V37" s="23"/>
      <c r="W37" s="23"/>
    </row>
    <row r="38" ht="20.25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23"/>
      <c r="U38" s="23"/>
      <c r="V38" s="23"/>
      <c r="W38" s="23"/>
    </row>
    <row r="39" ht="20.25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23"/>
      <c r="U39" s="23"/>
      <c r="V39" s="23"/>
      <c r="W39" s="23"/>
    </row>
    <row r="40" ht="20.25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23"/>
      <c r="U40" s="23"/>
      <c r="V40" s="23"/>
      <c r="W40" s="23"/>
    </row>
    <row r="41" ht="20.25" spans="1:23">
      <c r="A41" s="3"/>
      <c r="B41" s="27" t="s">
        <v>50</v>
      </c>
      <c r="C41" s="27"/>
      <c r="D41" s="27"/>
      <c r="E41" s="27"/>
      <c r="F41" s="27"/>
      <c r="G41" s="27"/>
      <c r="H41" s="27"/>
      <c r="I41" s="27"/>
      <c r="J41" s="27"/>
      <c r="K41" s="3"/>
      <c r="L41" s="3"/>
      <c r="M41" s="3"/>
      <c r="N41" s="3"/>
      <c r="O41" s="3"/>
      <c r="P41" s="3"/>
      <c r="Q41" s="3"/>
      <c r="R41" s="3"/>
      <c r="S41" s="3"/>
      <c r="T41" s="23"/>
      <c r="U41" s="23"/>
      <c r="V41" s="23"/>
      <c r="W41" s="23"/>
    </row>
    <row r="42" ht="20.25" spans="1:23">
      <c r="A42" s="3"/>
      <c r="B42" s="3"/>
      <c r="C42" s="3" t="s">
        <v>28</v>
      </c>
      <c r="D42" s="3" t="s">
        <v>29</v>
      </c>
      <c r="E42" s="3" t="s">
        <v>30</v>
      </c>
      <c r="F42" s="3" t="s">
        <v>31</v>
      </c>
      <c r="G42" s="3" t="s">
        <v>32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23"/>
      <c r="U42" s="23"/>
      <c r="V42" s="23"/>
      <c r="W42" s="23"/>
    </row>
    <row r="43" ht="20.25" spans="1:23">
      <c r="A43" s="3"/>
      <c r="B43" s="3" t="s">
        <v>51</v>
      </c>
      <c r="C43" s="3">
        <v>23.25</v>
      </c>
      <c r="D43" s="3">
        <v>0</v>
      </c>
      <c r="E43" s="3">
        <v>58.75</v>
      </c>
      <c r="F43" s="3">
        <v>10</v>
      </c>
      <c r="G43" s="3">
        <v>8</v>
      </c>
      <c r="H43" s="3"/>
      <c r="I43" s="3"/>
      <c r="J43" s="3">
        <f>SUM(C43:G43)</f>
        <v>100</v>
      </c>
      <c r="K43" s="3"/>
      <c r="L43" s="3"/>
      <c r="M43" s="3"/>
      <c r="N43" s="3"/>
      <c r="O43" s="3"/>
      <c r="P43" s="3"/>
      <c r="Q43" s="3"/>
      <c r="R43" s="3"/>
      <c r="S43" s="3"/>
      <c r="T43" s="23"/>
      <c r="U43" s="23"/>
      <c r="V43" s="23"/>
      <c r="W43" s="23"/>
    </row>
    <row r="44" ht="20.25" spans="1:23">
      <c r="A44" s="3"/>
      <c r="B44" s="3" t="s">
        <v>52</v>
      </c>
      <c r="C44" s="3">
        <f>C43/$J$43*100</f>
        <v>23.25</v>
      </c>
      <c r="D44" s="3">
        <f t="shared" ref="D44:G44" si="3">D43/$J$43*100</f>
        <v>0</v>
      </c>
      <c r="E44" s="3">
        <f t="shared" si="3"/>
        <v>58.75</v>
      </c>
      <c r="F44" s="3">
        <f t="shared" si="3"/>
        <v>10</v>
      </c>
      <c r="G44" s="3">
        <f t="shared" si="3"/>
        <v>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3"/>
      <c r="U44" s="23"/>
      <c r="V44" s="23"/>
      <c r="W44" s="23"/>
    </row>
    <row r="45" ht="20.25" spans="1:23">
      <c r="A45" s="3"/>
      <c r="B45" s="3"/>
      <c r="C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3"/>
      <c r="U45" s="23"/>
      <c r="V45" s="23"/>
      <c r="W45" s="23"/>
    </row>
    <row r="46" ht="20.25" spans="1:23">
      <c r="A46" s="3"/>
      <c r="B46" s="27" t="s">
        <v>53</v>
      </c>
      <c r="C46" s="27"/>
      <c r="D46" s="27"/>
      <c r="E46" s="27"/>
      <c r="F46" s="27"/>
      <c r="G46" s="2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3"/>
      <c r="U46" s="23"/>
      <c r="V46" s="23"/>
      <c r="W46" s="23"/>
    </row>
    <row r="47" ht="20.25" spans="1:23">
      <c r="A47" s="3"/>
      <c r="B47" s="3" t="s">
        <v>6</v>
      </c>
      <c r="C47" s="3" t="s">
        <v>7</v>
      </c>
      <c r="D47" s="3" t="s">
        <v>8</v>
      </c>
      <c r="E47" s="3" t="s">
        <v>9</v>
      </c>
      <c r="F47" s="3" t="s">
        <v>10</v>
      </c>
      <c r="G47" s="3" t="s">
        <v>11</v>
      </c>
      <c r="H47" s="3"/>
      <c r="I47" s="3"/>
      <c r="J47" s="3"/>
      <c r="K47" s="3"/>
      <c r="L47" s="3" t="s">
        <v>54</v>
      </c>
      <c r="M47" s="3" t="s">
        <v>55</v>
      </c>
      <c r="N47" s="3" t="s">
        <v>56</v>
      </c>
      <c r="O47" s="3"/>
      <c r="P47" s="3"/>
      <c r="Q47" s="3"/>
      <c r="R47" s="3"/>
      <c r="S47" s="3"/>
      <c r="T47" s="23"/>
      <c r="U47" s="23"/>
      <c r="V47" s="23"/>
      <c r="W47" s="23"/>
    </row>
    <row r="48" ht="20.25" spans="1:23">
      <c r="A48" s="3"/>
      <c r="B48" s="16">
        <f>($C$44*B4+$D$44*B5+$E$44*B6+$F$44*B7+$G$44*B8)/100</f>
        <v>12.33895</v>
      </c>
      <c r="C48" s="16">
        <f>($C$44*C4+$D$44*C5+$E$44*C6+$F$44*C7+$G$44*C8)/100</f>
        <v>7.6099</v>
      </c>
      <c r="D48" s="16">
        <f>($C$44*D4+$D$44*D5+$E$44*D6+$F$44*D7+$G$44*D8)/100</f>
        <v>39.819925</v>
      </c>
      <c r="E48" s="16">
        <f t="shared" ref="E48:G48" si="4">($C$44*E4+$D$44*E5+$E$44*E6+$F$44*E7+$G$44*E8)/100</f>
        <v>1.15505</v>
      </c>
      <c r="F48" s="16">
        <f t="shared" si="4"/>
        <v>0.8846</v>
      </c>
      <c r="G48" s="16">
        <f t="shared" si="4"/>
        <v>5.63739285714286</v>
      </c>
      <c r="H48" s="3"/>
      <c r="I48" s="3"/>
      <c r="J48" s="3">
        <f>SUM(B48:G48)/100</f>
        <v>0.674458178571429</v>
      </c>
      <c r="K48" s="3"/>
      <c r="L48" s="3">
        <v>172</v>
      </c>
      <c r="M48" s="3">
        <v>1386.7</v>
      </c>
      <c r="N48" s="3">
        <v>610.3</v>
      </c>
      <c r="O48" s="3"/>
      <c r="P48" s="3"/>
      <c r="Q48" s="3"/>
      <c r="R48" s="3"/>
      <c r="S48" s="3"/>
      <c r="T48" s="23"/>
      <c r="U48" s="23"/>
      <c r="V48" s="23"/>
      <c r="W48" s="23"/>
    </row>
    <row r="49" ht="20.25" spans="1:23">
      <c r="A49" s="3" t="s">
        <v>57</v>
      </c>
      <c r="B49" s="16">
        <f>B48/$J$48</f>
        <v>18.2946109811214</v>
      </c>
      <c r="C49" s="16">
        <f>C48/$J$48</f>
        <v>11.2829827582765</v>
      </c>
      <c r="D49" s="16">
        <f>D48/$J$48</f>
        <v>59.0398726935785</v>
      </c>
      <c r="E49" s="16">
        <f>E48/$J$48</f>
        <v>1.71255985426185</v>
      </c>
      <c r="F49" s="16">
        <f>F48/$J$48</f>
        <v>1.31157131473099</v>
      </c>
      <c r="G49" s="16">
        <f t="shared" ref="G49" si="5">G48/$J$48</f>
        <v>8.35840239803072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3"/>
      <c r="U49" s="23"/>
      <c r="V49" s="23"/>
      <c r="W49" s="23"/>
    </row>
    <row r="50" ht="20.25" spans="1:23">
      <c r="A50" s="3" t="s">
        <v>27</v>
      </c>
      <c r="B50" s="16">
        <f>B49/B3</f>
        <v>0.30491018301869</v>
      </c>
      <c r="C50" s="16">
        <f>C49/C3</f>
        <v>0.110617478022319</v>
      </c>
      <c r="D50" s="16">
        <f>D49/D3</f>
        <v>1.05428344095676</v>
      </c>
      <c r="E50" s="16">
        <f t="shared" ref="E50:G50" si="6">E49/E3</f>
        <v>0.0107034990891366</v>
      </c>
      <c r="F50" s="16">
        <f t="shared" si="6"/>
        <v>0.0327892828682749</v>
      </c>
      <c r="G50" s="16">
        <f t="shared" si="6"/>
        <v>0.104480029975384</v>
      </c>
      <c r="H50" s="3" t="s">
        <v>58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3"/>
      <c r="U50" s="23"/>
      <c r="V50" s="23"/>
      <c r="W50" s="23"/>
    </row>
    <row r="51" ht="20.25" spans="1:23">
      <c r="A51" s="3"/>
      <c r="B51" s="16"/>
      <c r="C51" s="16"/>
      <c r="D51" s="16"/>
      <c r="E51" s="16"/>
      <c r="F51" s="16"/>
      <c r="G51" s="16"/>
      <c r="H51" s="3">
        <f>D50/C50</f>
        <v>9.53089384974084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3"/>
      <c r="U51" s="23"/>
      <c r="V51" s="23"/>
      <c r="W51" s="23"/>
    </row>
    <row r="52" spans="1:23">
      <c r="B52" s="11" t="s">
        <v>59</v>
      </c>
      <c r="L52" s="28">
        <v>42.67</v>
      </c>
      <c r="M52" s="28">
        <v>29.98</v>
      </c>
      <c r="N52" s="28">
        <v>0.59</v>
      </c>
      <c r="O52" s="28">
        <v>4.48</v>
      </c>
      <c r="P52" s="28">
        <v>0.18</v>
      </c>
      <c r="Q52" s="28">
        <v>2.59</v>
      </c>
      <c r="R52" s="28">
        <v>10.51</v>
      </c>
      <c r="S52" s="28">
        <v>8.43</v>
      </c>
      <c r="T52" s="28">
        <v>0.66</v>
      </c>
    </row>
    <row r="53" spans="1:23">
      <c r="B53" s="11">
        <f>B50*2*D3</f>
        <v>34.1499404980933</v>
      </c>
      <c r="C53" s="11">
        <f>C50/3*4*D3</f>
        <v>8.25943835899979</v>
      </c>
      <c r="D53" s="11">
        <f>B53+C53</f>
        <v>42.4093788570931</v>
      </c>
    </row>
    <row r="55" ht="22.5" spans="1:23">
      <c r="B55" s="29"/>
      <c r="C55" s="29"/>
      <c r="D55" s="29"/>
      <c r="E55" s="29"/>
    </row>
    <row r="56" ht="22.5" spans="1:23">
      <c r="B56" s="29"/>
      <c r="C56" s="29"/>
      <c r="D56" s="30" t="s">
        <v>60</v>
      </c>
      <c r="E56" s="29"/>
    </row>
    <row r="57" ht="22.5" spans="1:23">
      <c r="B57" s="29">
        <f>B50*2</f>
        <v>0.60982036603738</v>
      </c>
      <c r="C57" s="29">
        <f>C50/7*12</f>
        <v>0.189629962323975</v>
      </c>
      <c r="D57" s="31">
        <f>(D50-B57-C57)*D3</f>
        <v>14.2706543053426</v>
      </c>
      <c r="E57" s="29"/>
    </row>
    <row r="61" ht="15.75" spans="1:23">
      <c r="B61" s="32" t="s">
        <v>61</v>
      </c>
      <c r="C61" s="11">
        <f>D50/(2*B50+12/7*C50)</f>
        <v>1.31876040768879</v>
      </c>
    </row>
  </sheetData>
  <mergeCells count="5">
    <mergeCell ref="B1:K1"/>
    <mergeCell ref="B9:J9"/>
    <mergeCell ref="B41:J41"/>
    <mergeCell ref="B46:G46"/>
    <mergeCell ref="B52:D5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S12" sqref="S12"/>
    </sheetView>
  </sheetViews>
  <sheetFormatPr defaultColWidth="8.88333333333333" defaultRowHeight="20.25"/>
  <cols>
    <col min="1" max="1" width="12.1083333333333" style="8" customWidth="1"/>
    <col min="2" max="12" width="8.88333333333333" style="8"/>
    <col min="13" max="13" width="9.44166666666667" style="8" customWidth="1"/>
    <col min="14" max="14" width="11.1083333333333" style="8" customWidth="1"/>
    <col min="15" max="15" width="9.21666666666667" style="8" customWidth="1"/>
    <col min="16" max="16384" width="8.88333333333333" style="8"/>
  </cols>
  <sheetData>
    <row r="1" spans="1:15">
      <c r="A1" s="9"/>
      <c r="B1" s="9" t="s">
        <v>62</v>
      </c>
      <c r="C1" s="9"/>
      <c r="D1" s="9"/>
      <c r="E1" s="9"/>
      <c r="F1" s="9"/>
      <c r="G1" s="9"/>
      <c r="H1" s="9"/>
      <c r="I1" s="9"/>
      <c r="J1" s="9"/>
      <c r="K1" s="9"/>
      <c r="L1" s="9" t="s">
        <v>63</v>
      </c>
    </row>
    <row r="2" spans="1:15">
      <c r="A2" s="9"/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3" t="s">
        <v>12</v>
      </c>
      <c r="I2" s="3" t="s">
        <v>13</v>
      </c>
      <c r="J2" s="9" t="s">
        <v>14</v>
      </c>
      <c r="K2" s="9"/>
      <c r="L2" s="9"/>
      <c r="M2" s="10" t="s">
        <v>23</v>
      </c>
      <c r="N2" s="9" t="s">
        <v>64</v>
      </c>
      <c r="O2" s="9" t="s">
        <v>65</v>
      </c>
    </row>
    <row r="3" spans="1:15">
      <c r="A3" s="9" t="s">
        <v>66</v>
      </c>
      <c r="B3" s="9">
        <v>60</v>
      </c>
      <c r="C3" s="9">
        <v>102</v>
      </c>
      <c r="D3" s="9">
        <v>56</v>
      </c>
      <c r="E3" s="9">
        <v>160</v>
      </c>
      <c r="F3" s="9">
        <v>40</v>
      </c>
      <c r="G3" s="9">
        <v>80</v>
      </c>
      <c r="H3" s="9">
        <v>44</v>
      </c>
      <c r="I3" s="9">
        <v>18</v>
      </c>
      <c r="J3" s="9"/>
      <c r="K3" s="9"/>
      <c r="L3" s="9"/>
      <c r="M3" s="9"/>
      <c r="N3" s="9"/>
      <c r="O3" s="9"/>
    </row>
    <row r="4" spans="1:15">
      <c r="A4" s="8" t="s">
        <v>67</v>
      </c>
      <c r="B4" s="8">
        <v>36.37</v>
      </c>
      <c r="C4" s="8">
        <v>45.8</v>
      </c>
      <c r="D4" s="8">
        <v>5.1</v>
      </c>
      <c r="E4" s="8">
        <v>4.19</v>
      </c>
      <c r="F4" s="8">
        <v>0.32</v>
      </c>
      <c r="G4" s="8">
        <v>0.933797909407665</v>
      </c>
      <c r="H4" s="8">
        <v>4.00714285714286</v>
      </c>
      <c r="J4" s="8">
        <v>96.7209407665505</v>
      </c>
      <c r="M4" s="8">
        <v>4.67</v>
      </c>
      <c r="N4" s="8">
        <v>56.6872287581699</v>
      </c>
      <c r="O4" s="8">
        <v>32.2327712418301</v>
      </c>
    </row>
    <row r="11" spans="1:15">
      <c r="E11"/>
    </row>
  </sheetData>
  <mergeCells count="1">
    <mergeCell ref="B1:K1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Origin95.Graph" r:id="rId3">
          <objectPr defaultSize="0" r:id="rId4">
            <anchor moveWithCells="1" sizeWithCells="1">
              <from>
                <xdr:col>9</xdr:col>
                <xdr:colOff>518160</xdr:colOff>
                <xdr:row>4</xdr:row>
                <xdr:rowOff>175260</xdr:rowOff>
              </from>
              <to>
                <xdr:col>14</xdr:col>
                <xdr:colOff>678180</xdr:colOff>
                <xdr:row>15</xdr:row>
                <xdr:rowOff>228600</xdr:rowOff>
              </to>
            </anchor>
          </objectPr>
        </oleObject>
      </mc:Choice>
      <mc:Fallback>
        <oleObject shapeId="1025" progId="Origin95.Graph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Q9" sqref="Q9"/>
    </sheetView>
  </sheetViews>
  <sheetFormatPr defaultColWidth="8.88333333333333" defaultRowHeight="18.75"/>
  <cols>
    <col min="1" max="1" width="8.88333333333333" style="1"/>
    <col min="2" max="3" width="9.44166666666667" style="1" customWidth="1"/>
    <col min="4" max="6" width="9" style="1" customWidth="1"/>
    <col min="7" max="8" width="9.44166666666667" style="1" customWidth="1"/>
    <col min="9" max="10" width="11.2166666666667" style="1" customWidth="1"/>
    <col min="11" max="12" width="8.88333333333333" style="1"/>
    <col min="13" max="13" width="13.2166666666667" style="1" customWidth="1"/>
    <col min="14" max="14" width="11.6666666666667" style="1" customWidth="1"/>
    <col min="15" max="16" width="9" style="1" customWidth="1"/>
    <col min="17" max="16384" width="8.88333333333333" style="1"/>
  </cols>
  <sheetData>
    <row r="1" spans="1:17">
      <c r="A1" s="2"/>
      <c r="B1" s="2" t="s">
        <v>68</v>
      </c>
      <c r="C1" s="2"/>
      <c r="D1" s="2"/>
      <c r="E1" s="2"/>
      <c r="F1" s="2"/>
      <c r="G1" s="2"/>
      <c r="H1" s="2"/>
      <c r="I1" s="2"/>
      <c r="J1" s="2"/>
      <c r="K1" s="2"/>
      <c r="L1" s="2" t="s">
        <v>69</v>
      </c>
      <c r="M1" s="2"/>
    </row>
    <row r="2" ht="20.25" spans="1:17">
      <c r="A2" s="2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3" t="s">
        <v>12</v>
      </c>
      <c r="I2" s="3" t="s">
        <v>13</v>
      </c>
      <c r="J2" s="2" t="s">
        <v>14</v>
      </c>
      <c r="K2" s="2"/>
      <c r="L2" s="2"/>
      <c r="M2" s="6" t="s">
        <v>21</v>
      </c>
      <c r="N2" s="6" t="s">
        <v>70</v>
      </c>
      <c r="O2" s="2" t="s">
        <v>71</v>
      </c>
      <c r="P2" s="2"/>
    </row>
    <row r="3" ht="19.5" spans="1:17">
      <c r="A3" s="2" t="s">
        <v>72</v>
      </c>
      <c r="B3" s="2">
        <v>60</v>
      </c>
      <c r="C3" s="2">
        <v>102</v>
      </c>
      <c r="D3" s="2">
        <v>56</v>
      </c>
      <c r="E3" s="2">
        <v>160</v>
      </c>
      <c r="F3" s="2">
        <v>40</v>
      </c>
      <c r="G3" s="2">
        <v>80</v>
      </c>
      <c r="H3" s="2">
        <v>44</v>
      </c>
      <c r="I3" s="2">
        <v>18</v>
      </c>
      <c r="J3" s="2"/>
      <c r="K3" s="2"/>
      <c r="L3" s="2"/>
      <c r="M3" s="2">
        <v>172.2</v>
      </c>
      <c r="N3" s="2">
        <v>258.2</v>
      </c>
      <c r="O3" s="2">
        <v>60</v>
      </c>
      <c r="P3" s="2"/>
    </row>
    <row r="4" spans="1:17">
      <c r="A4" s="2" t="s">
        <v>73</v>
      </c>
      <c r="B4" s="7">
        <v>42.71</v>
      </c>
      <c r="C4" s="7">
        <v>30.01</v>
      </c>
      <c r="D4" s="7">
        <v>0.59</v>
      </c>
      <c r="E4" s="7">
        <v>4.48</v>
      </c>
      <c r="F4" s="7">
        <v>0.18</v>
      </c>
      <c r="G4" s="5">
        <f>D4/$D$3*$G$3</f>
        <v>0.842857142857143</v>
      </c>
      <c r="H4" s="5">
        <f>E4/$D$3*$H$3</f>
        <v>3.52</v>
      </c>
      <c r="I4" s="5">
        <f>B4/B3/2*I3*2</f>
        <v>12.813</v>
      </c>
      <c r="J4" s="5">
        <f>SUM(B4:I4)</f>
        <v>95.1458571428572</v>
      </c>
      <c r="K4" s="2"/>
      <c r="L4" s="2"/>
      <c r="M4" s="2">
        <v>7</v>
      </c>
      <c r="N4" s="2">
        <v>75</v>
      </c>
      <c r="O4" s="2">
        <v>18</v>
      </c>
      <c r="P4" s="2"/>
    </row>
    <row r="14" spans="1:17">
      <c r="Q14"/>
    </row>
  </sheetData>
  <mergeCells count="1">
    <mergeCell ref="B1:K1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2049" progId="Origin95.Graph" r:id="rId3">
          <objectPr defaultSize="0" r:id="rId4">
            <anchor moveWithCells="1" sizeWithCells="1">
              <from>
                <xdr:col>9</xdr:col>
                <xdr:colOff>632460</xdr:colOff>
                <xdr:row>5</xdr:row>
                <xdr:rowOff>68580</xdr:rowOff>
              </from>
              <to>
                <xdr:col>15</xdr:col>
                <xdr:colOff>182880</xdr:colOff>
                <xdr:row>17</xdr:row>
                <xdr:rowOff>0</xdr:rowOff>
              </to>
            </anchor>
          </objectPr>
        </oleObject>
      </mc:Choice>
      <mc:Fallback>
        <oleObject shapeId="2049" progId="Origin95.Graph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Q11" sqref="Q11"/>
    </sheetView>
  </sheetViews>
  <sheetFormatPr defaultColWidth="8.88333333333333" defaultRowHeight="18.75"/>
  <cols>
    <col min="1" max="1" width="8.88333333333333" style="1"/>
    <col min="2" max="3" width="9" style="1" customWidth="1"/>
    <col min="4" max="4" width="9.44166666666667" style="1" customWidth="1"/>
    <col min="5" max="6" width="9" style="1" customWidth="1"/>
    <col min="7" max="7" width="11.2166666666667" style="1" customWidth="1"/>
    <col min="8" max="8" width="9" style="1" customWidth="1"/>
    <col min="9" max="9" width="9.44166666666667" style="1" customWidth="1"/>
    <col min="10" max="10" width="9.10833333333333" style="1" customWidth="1"/>
    <col min="11" max="12" width="8.88333333333333" style="1"/>
    <col min="13" max="13" width="9" style="1" customWidth="1"/>
    <col min="14" max="16384" width="8.88333333333333" style="1"/>
  </cols>
  <sheetData>
    <row r="1" spans="1:13">
      <c r="A1" s="2"/>
      <c r="B1" s="2" t="s">
        <v>68</v>
      </c>
      <c r="C1" s="2"/>
      <c r="D1" s="2"/>
      <c r="E1" s="2"/>
      <c r="F1" s="2"/>
      <c r="G1" s="2"/>
      <c r="H1" s="2"/>
      <c r="I1" s="2"/>
      <c r="J1" s="2"/>
      <c r="K1" s="2"/>
      <c r="L1" s="2" t="s">
        <v>69</v>
      </c>
      <c r="M1" s="2"/>
    </row>
    <row r="2" ht="20.25" spans="1:13">
      <c r="A2" s="2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3" t="s">
        <v>12</v>
      </c>
      <c r="I2" s="3" t="s">
        <v>13</v>
      </c>
      <c r="J2" s="2" t="s">
        <v>14</v>
      </c>
      <c r="K2" s="2"/>
      <c r="L2" s="2"/>
      <c r="M2" s="2" t="s">
        <v>74</v>
      </c>
    </row>
    <row r="3" spans="1:13">
      <c r="A3" s="2" t="s">
        <v>72</v>
      </c>
      <c r="B3" s="2">
        <v>60</v>
      </c>
      <c r="C3" s="2">
        <v>102</v>
      </c>
      <c r="D3" s="2">
        <v>56</v>
      </c>
      <c r="E3" s="2">
        <v>160</v>
      </c>
      <c r="F3" s="2">
        <v>40</v>
      </c>
      <c r="G3" s="2">
        <v>80</v>
      </c>
      <c r="H3" s="2">
        <v>44</v>
      </c>
      <c r="I3" s="2">
        <v>18</v>
      </c>
      <c r="J3" s="2"/>
      <c r="K3" s="2"/>
      <c r="L3" s="2"/>
      <c r="M3" s="2">
        <v>145.2</v>
      </c>
    </row>
    <row r="4" spans="1:13">
      <c r="A4" s="2" t="s">
        <v>75</v>
      </c>
      <c r="B4" s="5">
        <v>2.15</v>
      </c>
      <c r="C4" s="5">
        <v>0.73</v>
      </c>
      <c r="D4" s="5">
        <v>38.09</v>
      </c>
      <c r="E4" s="5">
        <v>0.12</v>
      </c>
      <c r="F4" s="5">
        <v>0.29</v>
      </c>
      <c r="G4" s="5">
        <f>D4/$D$3*$G$3</f>
        <v>54.4142857142857</v>
      </c>
      <c r="H4" s="5"/>
      <c r="I4" s="5">
        <v>4.12</v>
      </c>
      <c r="J4" s="5">
        <f>SUM(B4:I4)</f>
        <v>99.9142857142857</v>
      </c>
      <c r="K4" s="2"/>
      <c r="L4" s="2"/>
      <c r="M4" s="2">
        <v>100</v>
      </c>
    </row>
    <row r="13" spans="1:13">
      <c r="M13"/>
    </row>
  </sheetData>
  <mergeCells count="1">
    <mergeCell ref="B1:K1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3073" progId="Origin95.Graph" r:id="rId3">
          <objectPr defaultSize="0" r:id="rId4">
            <anchor moveWithCells="1" sizeWithCells="1">
              <from>
                <xdr:col>10</xdr:col>
                <xdr:colOff>259080</xdr:colOff>
                <xdr:row>5</xdr:row>
                <xdr:rowOff>121920</xdr:rowOff>
              </from>
              <to>
                <xdr:col>15</xdr:col>
                <xdr:colOff>647700</xdr:colOff>
                <xdr:row>17</xdr:row>
                <xdr:rowOff>137160</xdr:rowOff>
              </to>
            </anchor>
          </objectPr>
        </oleObject>
      </mc:Choice>
      <mc:Fallback>
        <oleObject shapeId="3073" progId="Origin95.Graph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R12" sqref="R12"/>
    </sheetView>
  </sheetViews>
  <sheetFormatPr defaultColWidth="8.88333333333333" defaultRowHeight="18.75"/>
  <cols>
    <col min="1" max="1" width="8.88333333333333" style="1"/>
    <col min="2" max="3" width="9" style="1" customWidth="1"/>
    <col min="4" max="4" width="9.44166666666667" style="1" customWidth="1"/>
    <col min="5" max="7" width="9" style="1" customWidth="1"/>
    <col min="8" max="8" width="11.2166666666667" style="1" customWidth="1"/>
    <col min="9" max="9" width="9" style="1" customWidth="1"/>
    <col min="10" max="10" width="11.2166666666667" style="1" customWidth="1"/>
    <col min="11" max="12" width="8.88333333333333" style="1"/>
    <col min="13" max="14" width="9" style="1" customWidth="1"/>
    <col min="15" max="16384" width="8.88333333333333" style="1"/>
  </cols>
  <sheetData>
    <row r="1" spans="1:14">
      <c r="A1" s="2"/>
      <c r="B1" s="2" t="s">
        <v>68</v>
      </c>
      <c r="C1" s="2"/>
      <c r="D1" s="2"/>
      <c r="E1" s="2"/>
      <c r="F1" s="2"/>
      <c r="G1" s="2"/>
      <c r="H1" s="2"/>
      <c r="I1" s="2"/>
      <c r="J1" s="2"/>
      <c r="K1" s="2"/>
      <c r="L1" s="2" t="s">
        <v>69</v>
      </c>
      <c r="M1" s="2"/>
      <c r="N1" s="2"/>
    </row>
    <row r="2" ht="20.25" spans="1:14">
      <c r="A2" s="2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3" t="s">
        <v>12</v>
      </c>
      <c r="I2" s="3" t="s">
        <v>13</v>
      </c>
      <c r="J2" s="2" t="s">
        <v>14</v>
      </c>
      <c r="K2" s="2"/>
      <c r="L2" s="2"/>
      <c r="M2" s="2" t="s">
        <v>16</v>
      </c>
      <c r="N2" s="6" t="s">
        <v>17</v>
      </c>
    </row>
    <row r="3" spans="1:14">
      <c r="A3" s="2" t="s">
        <v>72</v>
      </c>
      <c r="B3" s="2">
        <v>60</v>
      </c>
      <c r="C3" s="2">
        <v>102</v>
      </c>
      <c r="D3" s="2">
        <v>56</v>
      </c>
      <c r="E3" s="2">
        <v>160</v>
      </c>
      <c r="F3" s="2">
        <v>40</v>
      </c>
      <c r="G3" s="2">
        <v>80</v>
      </c>
      <c r="H3" s="2">
        <v>44</v>
      </c>
      <c r="I3" s="2">
        <v>18</v>
      </c>
      <c r="J3" s="2"/>
      <c r="K3" s="2"/>
      <c r="L3" s="2"/>
      <c r="M3" s="2">
        <v>100</v>
      </c>
      <c r="N3" s="2">
        <v>184.4</v>
      </c>
    </row>
    <row r="4" spans="1:14">
      <c r="A4" s="2" t="s">
        <v>76</v>
      </c>
      <c r="B4" s="5">
        <v>3.21</v>
      </c>
      <c r="C4" s="5">
        <v>0.77</v>
      </c>
      <c r="D4" s="5">
        <v>52.34</v>
      </c>
      <c r="E4" s="5">
        <v>0.14</v>
      </c>
      <c r="F4" s="5">
        <v>1.14</v>
      </c>
      <c r="G4" s="5"/>
      <c r="H4" s="5">
        <f t="shared" ref="H4" si="0">D4/$D$3*$H$3</f>
        <v>41.1242857142857</v>
      </c>
      <c r="I4" s="5"/>
      <c r="J4" s="5">
        <f>SUM(B4:I4)</f>
        <v>98.7242857142857</v>
      </c>
      <c r="K4" s="2"/>
      <c r="L4" s="2"/>
      <c r="M4" s="2">
        <v>82.8</v>
      </c>
      <c r="N4" s="2">
        <v>17.2</v>
      </c>
    </row>
    <row r="12" spans="1:14">
      <c r="L12"/>
    </row>
  </sheetData>
  <mergeCells count="1">
    <mergeCell ref="B1:K1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4097" progId="Origin95.Graph" r:id="rId3">
          <objectPr defaultSize="0" r:id="rId4">
            <anchor moveWithCells="1" sizeWithCells="1">
              <from>
                <xdr:col>10</xdr:col>
                <xdr:colOff>160020</xdr:colOff>
                <xdr:row>5</xdr:row>
                <xdr:rowOff>45720</xdr:rowOff>
              </from>
              <to>
                <xdr:col>15</xdr:col>
                <xdr:colOff>541020</xdr:colOff>
                <xdr:row>16</xdr:row>
                <xdr:rowOff>175260</xdr:rowOff>
              </to>
            </anchor>
          </objectPr>
        </oleObject>
      </mc:Choice>
      <mc:Fallback>
        <oleObject shapeId="4097" progId="Origin95.Graph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opLeftCell="C1" workbookViewId="0">
      <selection activeCell="K7" sqref="K7"/>
    </sheetView>
  </sheetViews>
  <sheetFormatPr defaultColWidth="8.88333333333333" defaultRowHeight="18.75"/>
  <cols>
    <col min="1" max="1" width="8.88333333333333" style="1"/>
    <col min="2" max="3" width="9" style="1" customWidth="1"/>
    <col min="4" max="4" width="9.44166666666667" style="1" customWidth="1"/>
    <col min="5" max="7" width="9" style="1" customWidth="1"/>
    <col min="8" max="8" width="9.44166666666667" style="1" customWidth="1"/>
    <col min="9" max="10" width="11.2166666666667" style="1" customWidth="1"/>
    <col min="11" max="12" width="8.88333333333333" style="1"/>
    <col min="13" max="14" width="9" style="1" customWidth="1"/>
    <col min="15" max="16384" width="8.88333333333333" style="1"/>
  </cols>
  <sheetData>
    <row r="1" spans="1:15">
      <c r="A1" s="2"/>
      <c r="B1" s="2" t="s">
        <v>68</v>
      </c>
      <c r="C1" s="2"/>
      <c r="D1" s="2"/>
      <c r="E1" s="2"/>
      <c r="F1" s="2"/>
      <c r="G1" s="2"/>
      <c r="H1" s="2"/>
      <c r="I1" s="2"/>
      <c r="J1" s="2"/>
      <c r="K1" s="2"/>
      <c r="L1" s="2" t="s">
        <v>69</v>
      </c>
      <c r="M1" s="2"/>
      <c r="N1" s="2"/>
    </row>
    <row r="2" ht="20.25" spans="1:15">
      <c r="A2" s="2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3" t="s">
        <v>12</v>
      </c>
      <c r="I2" s="3" t="s">
        <v>13</v>
      </c>
      <c r="J2" s="2" t="s">
        <v>14</v>
      </c>
      <c r="K2" s="2"/>
      <c r="L2" s="2"/>
      <c r="M2" s="2" t="s">
        <v>16</v>
      </c>
      <c r="N2" s="2" t="s">
        <v>18</v>
      </c>
    </row>
    <row r="3" spans="1:15">
      <c r="A3" s="2" t="s">
        <v>72</v>
      </c>
      <c r="B3" s="2">
        <v>60</v>
      </c>
      <c r="C3" s="2">
        <v>102</v>
      </c>
      <c r="D3" s="2">
        <v>56</v>
      </c>
      <c r="E3" s="2">
        <v>160</v>
      </c>
      <c r="F3" s="2">
        <v>40</v>
      </c>
      <c r="G3" s="2">
        <v>80</v>
      </c>
      <c r="H3" s="2">
        <v>44</v>
      </c>
      <c r="I3" s="2">
        <v>18</v>
      </c>
      <c r="J3" s="2"/>
      <c r="K3" s="2"/>
      <c r="L3" s="2"/>
      <c r="M3" s="2">
        <v>100</v>
      </c>
      <c r="N3" s="2">
        <v>74.1</v>
      </c>
    </row>
    <row r="4" ht="19.5" spans="1:15">
      <c r="A4" s="2" t="s">
        <v>77</v>
      </c>
      <c r="B4" s="4">
        <v>3.85</v>
      </c>
      <c r="C4" s="4">
        <v>1.34</v>
      </c>
      <c r="D4" s="4">
        <v>64.05</v>
      </c>
      <c r="E4" s="4">
        <v>0.24</v>
      </c>
      <c r="F4" s="4">
        <v>1.8</v>
      </c>
      <c r="G4" s="5"/>
      <c r="H4" s="5">
        <f>D4/$D$3*$H$3*M4/100</f>
        <v>7.800375</v>
      </c>
      <c r="I4" s="5">
        <f>D4/$D$3*$I$3*0.845</f>
        <v>17.3964375</v>
      </c>
      <c r="J4" s="5">
        <f>SUM(B4:I4)</f>
        <v>96.4768125</v>
      </c>
      <c r="K4" s="2"/>
      <c r="L4" s="2"/>
      <c r="M4" s="2">
        <v>15.5</v>
      </c>
      <c r="N4" s="2">
        <v>84.5</v>
      </c>
    </row>
    <row r="11" spans="1:15">
      <c r="O11"/>
    </row>
  </sheetData>
  <mergeCells count="1">
    <mergeCell ref="B1:K1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5121" progId="Origin95.Graph" r:id="rId3">
          <objectPr defaultSize="0" r:id="rId4">
            <anchor moveWithCells="1" sizeWithCells="1">
              <from>
                <xdr:col>11</xdr:col>
                <xdr:colOff>373380</xdr:colOff>
                <xdr:row>6</xdr:row>
                <xdr:rowOff>45720</xdr:rowOff>
              </from>
              <to>
                <xdr:col>17</xdr:col>
                <xdr:colOff>76200</xdr:colOff>
                <xdr:row>18</xdr:row>
                <xdr:rowOff>0</xdr:rowOff>
              </to>
            </anchor>
          </objectPr>
        </oleObject>
      </mc:Choice>
      <mc:Fallback>
        <oleObject shapeId="5121" progId="Origin95.Graph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总表</vt:lpstr>
      <vt:lpstr>粉煤灰</vt:lpstr>
      <vt:lpstr>煤矸石</vt:lpstr>
      <vt:lpstr>脱硫石膏</vt:lpstr>
      <vt:lpstr>石灰石</vt:lpstr>
      <vt:lpstr>电石渣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某律师</dc:creator>
  <cp:lastModifiedBy>张宇轩</cp:lastModifiedBy>
  <dcterms:created xsi:type="dcterms:W3CDTF">2015-06-05T18:19:00Z</dcterms:created>
  <dcterms:modified xsi:type="dcterms:W3CDTF">2026-08-18T12:50:02Z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6EACEBA847E5482DBDE436993AF9E8AA_12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